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tif" ContentType="image/tiff"/>
  <Override PartName="/xl/workbook.xml" ContentType="application/vnd.openxmlformats-officedocument.spreadsheetml.sheet.main+xml"/>
  <Override PartName="/xl/worksheets/sheet4.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trlProps/ctrlProp37.xml" ContentType="application/vnd.ms-excel.controlproperties+xml"/>
  <Override PartName="/xl/ctrlProps/ctrlProp15.xml" ContentType="application/vnd.ms-excel.controlproperties+xml"/>
  <Override PartName="/xl/comments8.xml" ContentType="application/vnd.openxmlformats-officedocument.spreadsheetml.comments+xml"/>
  <Override PartName="/xl/ctrlProps/ctrlProp14.xml" ContentType="application/vnd.ms-excel.controlproperties+xml"/>
  <Override PartName="/xl/comments9.xml" ContentType="application/vnd.openxmlformats-officedocument.spreadsheetml.comments+xml"/>
  <Override PartName="/xl/ctrlProps/ctrlProp184.xml" ContentType="application/vnd.ms-excel.controlproperties+xml"/>
  <Override PartName="/xl/ctrlProps/ctrlProp187.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3.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8.xml" ContentType="application/vnd.ms-excel.controlproperties+xml"/>
  <Override PartName="/xl/ctrlProps/ctrlProp193.xml" ContentType="application/vnd.ms-excel.controlproperties+xml"/>
  <Override PartName="/xl/ctrlProps/ctrlProp190.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198.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81.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89.xml" ContentType="application/vnd.ms-excel.controlproperties+xml"/>
  <Override PartName="/xl/ctrlProps/ctrlProp176.xml" ContentType="application/vnd.ms-excel.controlproperties+xml"/>
  <Override PartName="/xl/ctrlProps/ctrlProp179.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57.xml" ContentType="application/vnd.ms-excel.controlproperties+xml"/>
  <Override PartName="/xl/ctrlProps/ctrlProp156.xml" ContentType="application/vnd.ms-excel.controlproperties+xml"/>
  <Override PartName="/xl/ctrlProps/ctrlProp15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204.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3.xml" ContentType="application/vnd.ms-excel.controlproperties+xml"/>
  <Override PartName="/xl/ctrlProps/ctrlProp172.xml" ContentType="application/vnd.ms-excel.controlproperties+xml"/>
  <Override PartName="/xl/ctrlProps/ctrlProp171.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80.xml" ContentType="application/vnd.ms-excel.controlproperties+xml"/>
  <Override PartName="/xl/ctrlProps/ctrlProp209.xml" ContentType="application/vnd.ms-excel.controlproperties+xml"/>
  <Override PartName="/xl/ctrlProps/ctrlProp206.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xl/ctrlProps/ctrlProp8.xml" ContentType="application/vnd.ms-excel.controlproperties+xml"/>
  <Override PartName="/xl/ctrlProps/ctrlProp7.xml" ContentType="application/vnd.ms-excel.controlproperties+xml"/>
  <Override PartName="/docProps/app.xml" ContentType="application/vnd.openxmlformats-officedocument.extended-properties+xml"/>
  <Override PartName="/xl/ctrlProps/ctrlProp39.xml" ContentType="application/vnd.ms-excel.controlproperties+xml"/>
  <Override PartName="/xl/ctrlProps/ctrlProp40.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ctrlProps/ctrlProp43.xml" ContentType="application/vnd.ms-excel.controlproperties+xml"/>
  <Override PartName="/xl/comments1.xml" ContentType="application/vnd.openxmlformats-officedocument.spreadsheetml.comments+xml"/>
  <Override PartName="/xl/ctrlProps/ctrlProp41.xml" ContentType="application/vnd.ms-excel.controlproperties+xml"/>
  <Override PartName="/xl/ctrlProps/ctrlProp42.xml" ContentType="application/vnd.ms-excel.controlproperties+xml"/>
  <Override PartName="/xl/ctrlProps/ctrlProp12.xml" ContentType="application/vnd.ms-excel.controlproperties+xml"/>
  <Override PartName="/xl/comments10.xml" ContentType="application/vnd.openxmlformats-officedocument.spreadsheetml.comment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14.xml" ContentType="application/vnd.ms-excel.controlproperties+xml"/>
  <Override PartName="/xl/ctrlProps/ctrlProp213.xml" ContentType="application/vnd.ms-excel.controlproperties+xml"/>
  <Override PartName="/xl/ctrlProps/ctrlProp212.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14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0.xml" ContentType="application/vnd.ms-excel.controlproperties+xml"/>
  <Override PartName="/xl/ctrlProps/ctrlProp229.xml" ContentType="application/vnd.ms-excel.controlproperties+xml"/>
  <Override PartName="/xl/ctrlProps/ctrlProp228.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05.xml" ContentType="application/vnd.ms-excel.controlproperties+xml"/>
  <Override PartName="/xl/ctrlProps/ctrlProp148.xml" ContentType="application/vnd.ms-excel.controlproperties+xml"/>
  <Override PartName="/xl/ctrlProps/ctrlProp147.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0.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87.xml" ContentType="application/vnd.ms-excel.controlproperties+xml"/>
  <Override PartName="/xl/ctrlProps/ctrlProp86.xml" ContentType="application/vnd.ms-excel.controlproperties+xml"/>
  <Override PartName="/xl/ctrlProps/ctrlProp85.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62.xml" ContentType="application/vnd.ms-excel.controlproperties+xml"/>
  <Override PartName="/xl/ctrlProps/ctrlProp61.xml" ContentType="application/vnd.ms-excel.controlproperties+xml"/>
  <Override PartName="/xl/ctrlProps/ctrlProp60.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25.xml" ContentType="application/vnd.ms-excel.controlproperties+xml"/>
  <Override PartName="/xl/ctrlProps/ctrlProp24.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6.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33.xml" ContentType="application/vnd.ms-excel.controlproperties+xml"/>
  <Override PartName="/xl/ctrlProps/ctrlProp32.xml" ContentType="application/vnd.ms-excel.controlproperties+xml"/>
  <Override PartName="/xl/comments3.xml" ContentType="application/vnd.openxmlformats-officedocument.spreadsheetml.comments+xml"/>
  <Override PartName="/xl/ctrlProps/ctrlProp23.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54.xml" ContentType="application/vnd.ms-excel.controlproperties+xml"/>
  <Override PartName="/xl/ctrlProps/ctrlProp53.xml" ContentType="application/vnd.ms-excel.controlproperties+xml"/>
  <Override PartName="/xl/ctrlProps/ctrlProp52.xml" ContentType="application/vnd.ms-excel.controlproperties+xml"/>
  <Override PartName="/xl/ctrlProps/ctrlProp22.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94.xml" ContentType="application/vnd.ms-excel.controlproperties+xml"/>
  <Override PartName="/xl/comments4.xml" ContentType="application/vnd.openxmlformats-officedocument.spreadsheetml.comment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0.xml" ContentType="application/vnd.ms-excel.controlproperties+xml"/>
  <Override PartName="/xl/ctrlProps/ctrlProp129.xml" ContentType="application/vnd.ms-excel.controlproperties+xml"/>
  <Override PartName="/xl/ctrlProps/ctrlProp128.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6.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7.xml" ContentType="application/vnd.ms-excel.controlproperties+xml"/>
  <Override PartName="/xl/comments7.xml" ContentType="application/vnd.openxmlformats-officedocument.spreadsheetml.comments+xml"/>
  <Override PartName="/xl/ctrlProps/ctrlProp140.xml" ContentType="application/vnd.ms-excel.controlproperties+xml"/>
  <Override PartName="/xl/ctrlProps/ctrlProp141.xml" ContentType="application/vnd.ms-excel.controlproperties+xml"/>
  <Override PartName="/xl/comments6.xml" ContentType="application/vnd.openxmlformats-officedocument.spreadsheetml.comments+xml"/>
  <Override PartName="/xl/ctrlProps/ctrlProp18.xml" ContentType="application/vnd.ms-excel.controlproperties+xml"/>
  <Override PartName="/xl/ctrlProps/ctrlProp122.xml" ContentType="application/vnd.ms-excel.controlproperties+xml"/>
  <Override PartName="/xl/ctrlProps/ctrlProp121.xml" ContentType="application/vnd.ms-excel.controlproperties+xml"/>
  <Override PartName="/xl/ctrlProps/ctrlProp120.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97.xml" ContentType="application/vnd.ms-excel.controlproperties+xml"/>
  <Override PartName="/xl/ctrlProps/ctrlProp96.xml" ContentType="application/vnd.ms-excel.controlproperties+xml"/>
  <Override PartName="/xl/ctrlProps/ctrlProp95.xml" ContentType="application/vnd.ms-excel.controlproperties+xml"/>
  <Override PartName="/xl/ctrlProps/ctrlProp21.xml" ContentType="application/vnd.ms-excel.controlproperties+xml"/>
  <Override PartName="/xl/comments5.xml" ContentType="application/vnd.openxmlformats-officedocument.spreadsheetml.comments+xml"/>
  <Override PartName="/xl/ctrlProps/ctrlProp20.xml" ContentType="application/vnd.ms-excel.controlproperties+xml"/>
  <Override PartName="/xl/ctrlProps/ctrlProp19.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14.xml" ContentType="application/vnd.ms-excel.controlproperties+xml"/>
  <Override PartName="/xl/ctrlProps/ctrlProp113.xml" ContentType="application/vnd.ms-excel.controlproperties+xml"/>
  <Override PartName="/xl/ctrlProps/ctrlProp112.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38.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DieseArbeitsmappe"/>
  <mc:AlternateContent xmlns:mc="http://schemas.openxmlformats.org/markup-compatibility/2006">
    <mc:Choice Requires="x15">
      <x15ac:absPath xmlns:x15ac="http://schemas.microsoft.com/office/spreadsheetml/2010/11/ac" url="C:\Users\425\OneDrive - Sky-Frame AG\06 Listen\02 In Arbeit\01 Sky-Lean Bestellformular\SKY-FRAME 1\02 Excel-Formulare\"/>
    </mc:Choice>
  </mc:AlternateContent>
  <xr:revisionPtr revIDLastSave="42" documentId="8_{4043E699-8936-4B5D-B229-52BB1D81CCB0}" xr6:coauthVersionLast="34" xr6:coauthVersionMax="34" xr10:uidLastSave="{5BDF258E-225E-42A5-A765-D365214D038C}"/>
  <workbookProtection workbookAlgorithmName="SHA-512" workbookHashValue="fFl4dhK2986kPGIdAPjtMDg+uUxkRN1wUNuGMCRQft8xwukoSiiF3FDlAScz3ORxaGyxbNAl5pTMQtp4AvzH0Q==" workbookSaltValue="LrEbt+Yu/J5fpnd79le5aQ==" workbookSpinCount="100000" lockStructure="1"/>
  <bookViews>
    <workbookView xWindow="0" yWindow="0" windowWidth="19950" windowHeight="11685" firstSheet="1" activeTab="1" xr2:uid="{00000000-000D-0000-FFFF-FFFF00000000}"/>
  </bookViews>
  <sheets>
    <sheet name="INDEX" sheetId="3" state="hidden" r:id="rId1"/>
    <sheet name="NOTES" sheetId="6" r:id="rId2"/>
    <sheet name="Sprachen &amp; Rückgabewerte" sheetId="1" state="hidden" r:id="rId3"/>
    <sheet name="Pos. 1" sheetId="2" r:id="rId4"/>
    <sheet name="Sprachen &amp; Rückgabewerte(2)" sheetId="7" state="hidden" r:id="rId5"/>
    <sheet name="Pos. 2" sheetId="8" r:id="rId6"/>
    <sheet name="Sprachen &amp; Rückgabewerte(3)" sheetId="9" state="hidden" r:id="rId7"/>
    <sheet name="Pos. 3" sheetId="10" r:id="rId8"/>
    <sheet name="Sprachen &amp; Rückgabewerte(4)" sheetId="11" state="hidden" r:id="rId9"/>
    <sheet name="Pos. 4" sheetId="12" r:id="rId10"/>
    <sheet name="Sprachen &amp; Rückgabewerte(5)" sheetId="13" state="hidden" r:id="rId11"/>
    <sheet name="Pos. 5" sheetId="14" r:id="rId12"/>
    <sheet name="INFO" sheetId="4" r:id="rId13"/>
  </sheets>
  <definedNames>
    <definedName name="_xlnm.Print_Area" localSheetId="12">INFO!$B$2:$I$41</definedName>
    <definedName name="_xlnm.Print_Area" localSheetId="1">NOTES!$B$2:$N$87</definedName>
    <definedName name="_xlnm.Print_Area" localSheetId="3">'Pos. 1'!$B$2:$AU$136</definedName>
    <definedName name="_xlnm.Print_Area" localSheetId="5">'Pos. 2'!$B$2:$AU$136</definedName>
    <definedName name="_xlnm.Print_Area" localSheetId="7">'Pos. 3'!$B$2:$AU$136</definedName>
    <definedName name="_xlnm.Print_Area" localSheetId="9">'Pos. 4'!$B$2:$AU$136</definedName>
    <definedName name="_xlnm.Print_Area" localSheetId="11">'Pos. 5'!$B$2:$AU$136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4" i="4" l="1"/>
  <c r="K81" i="6" l="1"/>
  <c r="K80" i="6"/>
  <c r="K79" i="6"/>
  <c r="K77" i="6"/>
  <c r="K76" i="6"/>
  <c r="E78" i="6"/>
  <c r="E76" i="6"/>
  <c r="E74" i="6"/>
  <c r="C74" i="6"/>
  <c r="M63" i="6"/>
  <c r="K65" i="6"/>
  <c r="K64" i="6"/>
  <c r="K63" i="6"/>
  <c r="K61" i="6"/>
  <c r="K60" i="6"/>
  <c r="E62" i="6"/>
  <c r="E60" i="6"/>
  <c r="E58" i="6"/>
  <c r="C62" i="6"/>
  <c r="M47" i="6"/>
  <c r="K49" i="6"/>
  <c r="K48" i="6"/>
  <c r="K47" i="6"/>
  <c r="K45" i="6"/>
  <c r="K44" i="6"/>
  <c r="E46" i="6"/>
  <c r="E44" i="6"/>
  <c r="E42" i="6"/>
  <c r="C46" i="6"/>
  <c r="C44" i="6"/>
  <c r="K33" i="6"/>
  <c r="K32" i="6"/>
  <c r="K31" i="6"/>
  <c r="K29" i="6"/>
  <c r="K28" i="6"/>
  <c r="E30" i="6"/>
  <c r="E28" i="6"/>
  <c r="E26" i="6"/>
  <c r="E116" i="14"/>
  <c r="V95" i="14"/>
  <c r="O95" i="14"/>
  <c r="H95" i="14"/>
  <c r="AS86" i="14"/>
  <c r="AO86" i="14"/>
  <c r="AO84" i="14"/>
  <c r="O84" i="14"/>
  <c r="H84" i="14"/>
  <c r="AN83" i="14"/>
  <c r="AE79" i="14"/>
  <c r="X71" i="14"/>
  <c r="R71" i="14"/>
  <c r="L71" i="14"/>
  <c r="F71" i="14"/>
  <c r="AK53" i="14"/>
  <c r="AX43" i="14"/>
  <c r="AW42" i="14"/>
  <c r="AW41" i="14"/>
  <c r="O50" i="13" s="1"/>
  <c r="AW40" i="14"/>
  <c r="AW39" i="14"/>
  <c r="AW38" i="14"/>
  <c r="O47" i="13" s="1"/>
  <c r="AO38" i="14"/>
  <c r="AM38" i="14"/>
  <c r="M79" i="6" s="1"/>
  <c r="AW37" i="14"/>
  <c r="O46" i="13" s="1"/>
  <c r="AW36" i="14"/>
  <c r="O45" i="13" s="1"/>
  <c r="AW35" i="14"/>
  <c r="AW34" i="14"/>
  <c r="F34" i="14"/>
  <c r="AW33" i="14"/>
  <c r="AW30" i="14"/>
  <c r="A28" i="14"/>
  <c r="F20" i="14"/>
  <c r="AP14" i="14"/>
  <c r="AL14" i="14"/>
  <c r="AH14" i="14"/>
  <c r="AD14" i="14"/>
  <c r="Z14" i="14"/>
  <c r="V14" i="14"/>
  <c r="R14" i="14"/>
  <c r="N14" i="14"/>
  <c r="J14" i="14"/>
  <c r="F14" i="14"/>
  <c r="AR13" i="14"/>
  <c r="AN13" i="14"/>
  <c r="AJ13" i="14"/>
  <c r="AF13" i="14"/>
  <c r="AB13" i="14"/>
  <c r="X13" i="14"/>
  <c r="T13" i="14"/>
  <c r="P13" i="14"/>
  <c r="L13" i="14"/>
  <c r="H13" i="14"/>
  <c r="E13" i="14"/>
  <c r="AR12" i="14"/>
  <c r="AN12" i="14"/>
  <c r="AJ12" i="14"/>
  <c r="AF12" i="14"/>
  <c r="AB12" i="14"/>
  <c r="X12" i="14"/>
  <c r="T12" i="14"/>
  <c r="P12" i="14"/>
  <c r="L12" i="14"/>
  <c r="H12" i="14"/>
  <c r="C11" i="14"/>
  <c r="AX9" i="14"/>
  <c r="AN7" i="14"/>
  <c r="BL5" i="14"/>
  <c r="BK5" i="14"/>
  <c r="BE9" i="14" s="1"/>
  <c r="BJ5" i="14"/>
  <c r="BF5" i="14"/>
  <c r="AN5" i="14"/>
  <c r="BG4" i="14"/>
  <c r="BB3" i="14"/>
  <c r="BB2" i="14"/>
  <c r="N72" i="6" s="1"/>
  <c r="H206" i="13"/>
  <c r="H205" i="13"/>
  <c r="H204" i="13"/>
  <c r="H203" i="13"/>
  <c r="H202" i="13"/>
  <c r="H201" i="13"/>
  <c r="H200" i="13"/>
  <c r="H199" i="13"/>
  <c r="H198" i="13"/>
  <c r="H197" i="13"/>
  <c r="H196" i="13"/>
  <c r="H195" i="13"/>
  <c r="AX10" i="14" s="1"/>
  <c r="H194" i="13"/>
  <c r="H193" i="13"/>
  <c r="AX7" i="14" s="1"/>
  <c r="H192" i="13"/>
  <c r="H191" i="13"/>
  <c r="H190" i="13"/>
  <c r="H189" i="13"/>
  <c r="H188" i="13"/>
  <c r="H187" i="13"/>
  <c r="H186" i="13"/>
  <c r="H185" i="13"/>
  <c r="H184" i="13"/>
  <c r="BE4" i="14" s="1"/>
  <c r="H183" i="13"/>
  <c r="BE3" i="14" s="1"/>
  <c r="H182" i="13"/>
  <c r="AW95" i="14" s="1"/>
  <c r="H181" i="13"/>
  <c r="AE96" i="14" s="1"/>
  <c r="H180" i="13"/>
  <c r="AQ76" i="14" s="1"/>
  <c r="H179" i="13"/>
  <c r="J178" i="13"/>
  <c r="H178" i="13"/>
  <c r="H177" i="13"/>
  <c r="J177" i="13" s="1"/>
  <c r="H176" i="13"/>
  <c r="AF47" i="14" s="1"/>
  <c r="H175" i="13"/>
  <c r="J175" i="13" s="1"/>
  <c r="H174" i="13"/>
  <c r="J174" i="13" s="1"/>
  <c r="H173" i="13"/>
  <c r="H172" i="13"/>
  <c r="H171" i="13"/>
  <c r="H170" i="13"/>
  <c r="H169" i="13"/>
  <c r="H168" i="13"/>
  <c r="H167" i="13"/>
  <c r="H166" i="13"/>
  <c r="H165" i="13"/>
  <c r="H164" i="13"/>
  <c r="H163" i="13"/>
  <c r="H162" i="13"/>
  <c r="H161" i="13"/>
  <c r="K82" i="13" s="1"/>
  <c r="H160" i="13"/>
  <c r="H159" i="13"/>
  <c r="H158" i="13"/>
  <c r="H157" i="13"/>
  <c r="AX22" i="14" s="1"/>
  <c r="H156" i="13"/>
  <c r="H155" i="13"/>
  <c r="H154" i="13"/>
  <c r="H153" i="13"/>
  <c r="J153" i="13" s="1"/>
  <c r="J152" i="13"/>
  <c r="H152" i="13"/>
  <c r="H151" i="13"/>
  <c r="J151" i="13" s="1"/>
  <c r="H150" i="13"/>
  <c r="AW46" i="14" s="1"/>
  <c r="H149" i="13"/>
  <c r="R114" i="14" s="1"/>
  <c r="H148" i="13"/>
  <c r="H147" i="13"/>
  <c r="J147" i="13" s="1"/>
  <c r="H146" i="13"/>
  <c r="J146" i="13" s="1"/>
  <c r="H145" i="13"/>
  <c r="H144" i="13"/>
  <c r="J144" i="13" s="1"/>
  <c r="H143" i="13"/>
  <c r="J143" i="13" s="1"/>
  <c r="R112" i="14" s="1"/>
  <c r="H142" i="13"/>
  <c r="E110" i="14" s="1"/>
  <c r="H141" i="13"/>
  <c r="E108" i="14" s="1"/>
  <c r="H140" i="13"/>
  <c r="E106" i="14" s="1"/>
  <c r="H139" i="13"/>
  <c r="E104" i="14" s="1"/>
  <c r="M138" i="13"/>
  <c r="H138" i="13"/>
  <c r="E102" i="14" s="1"/>
  <c r="M137" i="13"/>
  <c r="H137" i="13"/>
  <c r="M136" i="13"/>
  <c r="H136" i="13"/>
  <c r="J136" i="13" s="1"/>
  <c r="M135" i="13"/>
  <c r="J135" i="13"/>
  <c r="H135" i="13"/>
  <c r="M134" i="13"/>
  <c r="J134" i="13"/>
  <c r="H134" i="13"/>
  <c r="AE32" i="14" s="1"/>
  <c r="M133" i="13"/>
  <c r="I133" i="13"/>
  <c r="H133" i="13"/>
  <c r="M132" i="13"/>
  <c r="H132" i="13"/>
  <c r="M131" i="13"/>
  <c r="H131" i="13"/>
  <c r="AX14" i="14" s="1"/>
  <c r="C78" i="6" s="1"/>
  <c r="M130" i="13"/>
  <c r="H130" i="13"/>
  <c r="S5" i="14" s="1"/>
  <c r="M129" i="13"/>
  <c r="H129" i="13"/>
  <c r="M128" i="13"/>
  <c r="H128" i="13"/>
  <c r="M127" i="13"/>
  <c r="H127" i="13"/>
  <c r="M126" i="13"/>
  <c r="H126" i="13"/>
  <c r="M125" i="13"/>
  <c r="H125" i="13"/>
  <c r="M124" i="13"/>
  <c r="H124" i="13"/>
  <c r="M123" i="13"/>
  <c r="H123" i="13"/>
  <c r="B78" i="13" s="1"/>
  <c r="M122" i="13"/>
  <c r="H122" i="13"/>
  <c r="M121" i="13"/>
  <c r="H121" i="13"/>
  <c r="B75" i="13" s="1"/>
  <c r="M120" i="13"/>
  <c r="H120" i="13"/>
  <c r="M119" i="13"/>
  <c r="H119" i="13"/>
  <c r="M118" i="13"/>
  <c r="H118" i="13"/>
  <c r="M117" i="13"/>
  <c r="H117" i="13"/>
  <c r="M116" i="13"/>
  <c r="H116" i="13"/>
  <c r="M115" i="13"/>
  <c r="H115" i="13"/>
  <c r="B72" i="13" s="1"/>
  <c r="M114" i="13"/>
  <c r="H114" i="13"/>
  <c r="M113" i="13"/>
  <c r="H113" i="13"/>
  <c r="B69" i="13" s="1"/>
  <c r="M112" i="13"/>
  <c r="H112" i="13"/>
  <c r="M111" i="13"/>
  <c r="H111" i="13"/>
  <c r="L60" i="14" s="1"/>
  <c r="M110" i="13"/>
  <c r="H110" i="13"/>
  <c r="F60" i="14" s="1"/>
  <c r="M109" i="13"/>
  <c r="H109" i="13"/>
  <c r="M108" i="13"/>
  <c r="H108" i="13"/>
  <c r="M107" i="13"/>
  <c r="H107" i="13"/>
  <c r="M106" i="13"/>
  <c r="H106" i="13"/>
  <c r="M105" i="13"/>
  <c r="H105" i="13"/>
  <c r="M104" i="13"/>
  <c r="H104" i="13"/>
  <c r="M103" i="13"/>
  <c r="M102" i="13"/>
  <c r="H102" i="13"/>
  <c r="AE90" i="14" s="1"/>
  <c r="M101" i="13"/>
  <c r="H101" i="13"/>
  <c r="M100" i="13"/>
  <c r="H100" i="13"/>
  <c r="M99" i="13"/>
  <c r="H99" i="13"/>
  <c r="M98" i="13"/>
  <c r="H98" i="13"/>
  <c r="M97" i="13"/>
  <c r="H97" i="13"/>
  <c r="M96" i="13"/>
  <c r="J96" i="13"/>
  <c r="H96" i="13"/>
  <c r="M95" i="13"/>
  <c r="H95" i="13"/>
  <c r="U69" i="13" s="1"/>
  <c r="M94" i="13"/>
  <c r="H94" i="13"/>
  <c r="M93" i="13"/>
  <c r="H93" i="13"/>
  <c r="J93" i="13" s="1"/>
  <c r="C93" i="13"/>
  <c r="M92" i="13"/>
  <c r="H92" i="13"/>
  <c r="J92" i="13" s="1"/>
  <c r="C92" i="13"/>
  <c r="M91" i="13"/>
  <c r="H91" i="13"/>
  <c r="AF48" i="14" s="1"/>
  <c r="C91" i="13"/>
  <c r="M90" i="13"/>
  <c r="H90" i="13"/>
  <c r="AE88" i="14" s="1"/>
  <c r="C90" i="13"/>
  <c r="M89" i="13"/>
  <c r="H89" i="13"/>
  <c r="J89" i="13" s="1"/>
  <c r="C89" i="13"/>
  <c r="M88" i="13"/>
  <c r="H88" i="13"/>
  <c r="L77" i="13" s="1"/>
  <c r="U77" i="13" s="1"/>
  <c r="V77" i="13" s="1"/>
  <c r="C88" i="13"/>
  <c r="M87" i="13"/>
  <c r="H87" i="13"/>
  <c r="AE83" i="14" s="1"/>
  <c r="J86" i="13"/>
  <c r="H86" i="13"/>
  <c r="H85" i="13"/>
  <c r="J85" i="13" s="1"/>
  <c r="H84" i="13"/>
  <c r="AE80" i="14" s="1"/>
  <c r="H83" i="13"/>
  <c r="H82" i="13"/>
  <c r="J82" i="13" s="1"/>
  <c r="H81" i="13"/>
  <c r="J81" i="13" s="1"/>
  <c r="B81" i="13"/>
  <c r="H80" i="13"/>
  <c r="U79" i="13"/>
  <c r="V79" i="13" s="1"/>
  <c r="H79" i="13"/>
  <c r="J79" i="13" s="1"/>
  <c r="U78" i="13"/>
  <c r="V78" i="13" s="1"/>
  <c r="H78" i="13"/>
  <c r="J78" i="13" s="1"/>
  <c r="H77" i="13"/>
  <c r="AE78" i="14" s="1"/>
  <c r="B77" i="13"/>
  <c r="L76" i="13"/>
  <c r="U76" i="13" s="1"/>
  <c r="V76" i="13" s="1"/>
  <c r="H76" i="13"/>
  <c r="AE77" i="14" s="1"/>
  <c r="L75" i="13"/>
  <c r="U75" i="13" s="1"/>
  <c r="V75" i="13" s="1"/>
  <c r="H75" i="13"/>
  <c r="AG75" i="14" s="1"/>
  <c r="L74" i="13"/>
  <c r="U74" i="13" s="1"/>
  <c r="V74" i="13" s="1"/>
  <c r="J74" i="13"/>
  <c r="H74" i="13"/>
  <c r="AM76" i="14" s="1"/>
  <c r="B74" i="13"/>
  <c r="H73" i="13"/>
  <c r="H72" i="13"/>
  <c r="AM74" i="14" s="1"/>
  <c r="L71" i="13"/>
  <c r="M71" i="13" s="1"/>
  <c r="U71" i="13" s="1"/>
  <c r="V71" i="13" s="1"/>
  <c r="H71" i="13"/>
  <c r="AF74" i="14" s="1"/>
  <c r="B71" i="13"/>
  <c r="H70" i="13"/>
  <c r="AE73" i="14" s="1"/>
  <c r="V69" i="13"/>
  <c r="R69" i="13"/>
  <c r="L69" i="13"/>
  <c r="H69" i="13"/>
  <c r="J69" i="13" s="1"/>
  <c r="V68" i="13"/>
  <c r="U68" i="13"/>
  <c r="P68" i="13"/>
  <c r="L68" i="13"/>
  <c r="H68" i="13"/>
  <c r="J68" i="13" s="1"/>
  <c r="B68" i="13"/>
  <c r="U67" i="13"/>
  <c r="V67" i="13" s="1"/>
  <c r="R67" i="13"/>
  <c r="P67" i="13"/>
  <c r="Q67" i="13" s="1"/>
  <c r="L67" i="13"/>
  <c r="H67" i="13"/>
  <c r="K80" i="13" s="1"/>
  <c r="N80" i="13" s="1"/>
  <c r="P66" i="13"/>
  <c r="L66" i="13"/>
  <c r="H66" i="13"/>
  <c r="K81" i="13" s="1"/>
  <c r="P65" i="13"/>
  <c r="L65" i="13"/>
  <c r="H65" i="13"/>
  <c r="K79" i="13" s="1"/>
  <c r="N79" i="13" s="1"/>
  <c r="U64" i="13"/>
  <c r="V64" i="13" s="1"/>
  <c r="R64" i="13"/>
  <c r="Q64" i="13"/>
  <c r="P64" i="13"/>
  <c r="L64" i="13"/>
  <c r="H64" i="13"/>
  <c r="AE60" i="14" s="1"/>
  <c r="C64" i="13"/>
  <c r="U63" i="13"/>
  <c r="V63" i="13" s="1"/>
  <c r="P63" i="13"/>
  <c r="R63" i="13" s="1"/>
  <c r="L63" i="13"/>
  <c r="H63" i="13"/>
  <c r="P62" i="13"/>
  <c r="R62" i="13" s="1"/>
  <c r="L62" i="13"/>
  <c r="A9" i="14" s="1"/>
  <c r="H62" i="13"/>
  <c r="P61" i="13"/>
  <c r="L61" i="13"/>
  <c r="H61" i="13"/>
  <c r="Q60" i="13"/>
  <c r="P60" i="13"/>
  <c r="R60" i="13" s="1"/>
  <c r="L60" i="13"/>
  <c r="H60" i="13"/>
  <c r="R59" i="13"/>
  <c r="Q59" i="13"/>
  <c r="P59" i="13"/>
  <c r="L59" i="13"/>
  <c r="H59" i="13"/>
  <c r="U58" i="13"/>
  <c r="V58" i="13" s="1"/>
  <c r="L58" i="13"/>
  <c r="H58" i="13"/>
  <c r="L57" i="13"/>
  <c r="H57" i="13"/>
  <c r="AH7" i="14" s="1"/>
  <c r="L56" i="13"/>
  <c r="H56" i="13"/>
  <c r="AH6" i="14" s="1"/>
  <c r="C76" i="6" s="1"/>
  <c r="V55" i="13"/>
  <c r="L55" i="13"/>
  <c r="U55" i="13" s="1"/>
  <c r="H55" i="13"/>
  <c r="AH5" i="14" s="1"/>
  <c r="M54" i="13"/>
  <c r="L54" i="13"/>
  <c r="U54" i="13" s="1"/>
  <c r="V54" i="13" s="1"/>
  <c r="H54" i="13"/>
  <c r="L53" i="13"/>
  <c r="U53" i="13" s="1"/>
  <c r="V53" i="13" s="1"/>
  <c r="H53" i="13"/>
  <c r="O52" i="13"/>
  <c r="L52" i="13"/>
  <c r="U52" i="13" s="1"/>
  <c r="V52" i="13" s="1"/>
  <c r="H52" i="13"/>
  <c r="U51" i="13"/>
  <c r="V51" i="13" s="1"/>
  <c r="P51" i="13"/>
  <c r="O51" i="13" s="1"/>
  <c r="L51" i="13"/>
  <c r="H51" i="13"/>
  <c r="AO85" i="14" s="1"/>
  <c r="N50" i="13"/>
  <c r="L50" i="13"/>
  <c r="U50" i="13" s="1"/>
  <c r="V50" i="13" s="1"/>
  <c r="H50" i="13"/>
  <c r="U49" i="13"/>
  <c r="V49" i="13" s="1"/>
  <c r="O49" i="13"/>
  <c r="N49" i="13"/>
  <c r="H49" i="13"/>
  <c r="A49" i="13"/>
  <c r="O48" i="13"/>
  <c r="N48" i="13"/>
  <c r="L48" i="13"/>
  <c r="L49" i="13" s="1"/>
  <c r="H48" i="13"/>
  <c r="A48" i="13"/>
  <c r="N47" i="13"/>
  <c r="L47" i="13"/>
  <c r="U47" i="13" s="1"/>
  <c r="V47" i="13" s="1"/>
  <c r="H47" i="13"/>
  <c r="AE87" i="14" s="1"/>
  <c r="B47" i="13"/>
  <c r="V84" i="14" s="1"/>
  <c r="A47" i="13"/>
  <c r="N46" i="13"/>
  <c r="L46" i="13"/>
  <c r="U46" i="13" s="1"/>
  <c r="V46" i="13" s="1"/>
  <c r="H46" i="13"/>
  <c r="A46" i="13"/>
  <c r="U45" i="13"/>
  <c r="V45" i="13" s="1"/>
  <c r="N45" i="13"/>
  <c r="L45" i="13"/>
  <c r="H45" i="13"/>
  <c r="AF57" i="14" s="1"/>
  <c r="A45" i="13"/>
  <c r="O44" i="13"/>
  <c r="N44" i="13"/>
  <c r="L44" i="13"/>
  <c r="U44" i="13" s="1"/>
  <c r="V44" i="13" s="1"/>
  <c r="H44" i="13"/>
  <c r="B44" i="13"/>
  <c r="A44" i="13"/>
  <c r="O43" i="13"/>
  <c r="N43" i="13"/>
  <c r="L43" i="13"/>
  <c r="U43" i="13" s="1"/>
  <c r="V43" i="13" s="1"/>
  <c r="H43" i="13"/>
  <c r="A43" i="13"/>
  <c r="N42" i="13"/>
  <c r="L42" i="13"/>
  <c r="U42" i="13" s="1"/>
  <c r="V42" i="13" s="1"/>
  <c r="H42" i="13"/>
  <c r="AE52" i="14" s="1"/>
  <c r="A42" i="13"/>
  <c r="S41" i="13"/>
  <c r="O41" i="13"/>
  <c r="N41" i="13"/>
  <c r="L41" i="13"/>
  <c r="U41" i="13" s="1"/>
  <c r="V41" i="13" s="1"/>
  <c r="H41" i="13"/>
  <c r="A41" i="13"/>
  <c r="H40" i="13"/>
  <c r="AF46" i="14" s="1"/>
  <c r="H39" i="13"/>
  <c r="AF45" i="14" s="1"/>
  <c r="H38" i="13"/>
  <c r="H37" i="13"/>
  <c r="H36" i="13"/>
  <c r="AF43" i="14" s="1"/>
  <c r="Y35" i="13"/>
  <c r="X35" i="13"/>
  <c r="W35" i="13"/>
  <c r="V35" i="13"/>
  <c r="H35" i="13"/>
  <c r="AE42" i="14" s="1"/>
  <c r="Y34" i="13"/>
  <c r="X34" i="13"/>
  <c r="W34" i="13"/>
  <c r="V34" i="13"/>
  <c r="U34" i="13"/>
  <c r="H34" i="13"/>
  <c r="Z46" i="14" s="1"/>
  <c r="Y33" i="13"/>
  <c r="X33" i="13"/>
  <c r="W33" i="13"/>
  <c r="V33" i="13"/>
  <c r="O33" i="13"/>
  <c r="Z33" i="13" s="1"/>
  <c r="H33" i="13"/>
  <c r="P44" i="14" s="1"/>
  <c r="Y32" i="13"/>
  <c r="X32" i="13"/>
  <c r="W32" i="13"/>
  <c r="V32" i="13"/>
  <c r="O32" i="13"/>
  <c r="Z32" i="13" s="1"/>
  <c r="H32" i="13"/>
  <c r="H49" i="14" s="1"/>
  <c r="Y31" i="13"/>
  <c r="X31" i="13"/>
  <c r="W31" i="13"/>
  <c r="V31" i="13"/>
  <c r="O31" i="13"/>
  <c r="Z31" i="13" s="1"/>
  <c r="H31" i="13"/>
  <c r="N40" i="14" s="1"/>
  <c r="Y30" i="13"/>
  <c r="X30" i="13"/>
  <c r="W30" i="13"/>
  <c r="V30" i="13"/>
  <c r="O30" i="13"/>
  <c r="Z30" i="13" s="1"/>
  <c r="H30" i="13"/>
  <c r="F40" i="14" s="1"/>
  <c r="C30" i="13"/>
  <c r="Y29" i="13"/>
  <c r="X29" i="13"/>
  <c r="W29" i="13"/>
  <c r="V29" i="13"/>
  <c r="O29" i="13"/>
  <c r="Z29" i="13" s="1"/>
  <c r="H29" i="13"/>
  <c r="C29" i="13"/>
  <c r="Y28" i="13"/>
  <c r="X28" i="13"/>
  <c r="W28" i="13"/>
  <c r="V28" i="13"/>
  <c r="O28" i="13"/>
  <c r="Z28" i="13" s="1"/>
  <c r="H28" i="13"/>
  <c r="C28" i="13"/>
  <c r="Y27" i="13"/>
  <c r="X27" i="13"/>
  <c r="W27" i="13"/>
  <c r="V27" i="13"/>
  <c r="O27" i="13"/>
  <c r="Z27" i="13" s="1"/>
  <c r="H27" i="13"/>
  <c r="Y26" i="13"/>
  <c r="X26" i="13"/>
  <c r="W26" i="13"/>
  <c r="V26" i="13"/>
  <c r="H26" i="13"/>
  <c r="Y25" i="13"/>
  <c r="X25" i="13"/>
  <c r="W25" i="13"/>
  <c r="V25" i="13"/>
  <c r="O25" i="13"/>
  <c r="Z25" i="13" s="1"/>
  <c r="H25" i="13"/>
  <c r="AF37" i="14" s="1"/>
  <c r="C25" i="13"/>
  <c r="Y24" i="13"/>
  <c r="X24" i="13"/>
  <c r="W24" i="13"/>
  <c r="V24" i="13"/>
  <c r="O24" i="13"/>
  <c r="Z24" i="13" s="1"/>
  <c r="H24" i="13"/>
  <c r="C24" i="13"/>
  <c r="Y23" i="13"/>
  <c r="X23" i="13"/>
  <c r="W23" i="13"/>
  <c r="V23" i="13"/>
  <c r="U23" i="13"/>
  <c r="H23" i="13"/>
  <c r="C23" i="13"/>
  <c r="Y22" i="13"/>
  <c r="X22" i="13"/>
  <c r="W22" i="13"/>
  <c r="V22" i="13"/>
  <c r="H22" i="13"/>
  <c r="AF39" i="14" s="1"/>
  <c r="C22" i="13"/>
  <c r="Y21" i="13"/>
  <c r="X21" i="13"/>
  <c r="W21" i="13"/>
  <c r="V21" i="13"/>
  <c r="H21" i="13"/>
  <c r="C21" i="13"/>
  <c r="Y20" i="13"/>
  <c r="X20" i="13"/>
  <c r="W20" i="13"/>
  <c r="V20" i="13"/>
  <c r="H20" i="13"/>
  <c r="AF38" i="14" s="1"/>
  <c r="C20" i="13"/>
  <c r="Y19" i="13"/>
  <c r="X19" i="13"/>
  <c r="W19" i="13"/>
  <c r="V19" i="13"/>
  <c r="H19" i="13"/>
  <c r="C19" i="13"/>
  <c r="Y18" i="13"/>
  <c r="X18" i="13"/>
  <c r="W18" i="13"/>
  <c r="V18" i="13"/>
  <c r="H18" i="13"/>
  <c r="AF36" i="14" s="1"/>
  <c r="C18" i="13"/>
  <c r="Y17" i="13"/>
  <c r="X17" i="13"/>
  <c r="W17" i="13"/>
  <c r="V17" i="13"/>
  <c r="H17" i="13"/>
  <c r="AF35" i="14" s="1"/>
  <c r="C17" i="13"/>
  <c r="Z16" i="13"/>
  <c r="Y16" i="13"/>
  <c r="X16" i="13"/>
  <c r="W16" i="13"/>
  <c r="V16" i="13"/>
  <c r="O16" i="13"/>
  <c r="H16" i="13"/>
  <c r="C16" i="13"/>
  <c r="Y15" i="13"/>
  <c r="X15" i="13"/>
  <c r="W15" i="13"/>
  <c r="V15" i="13"/>
  <c r="O15" i="13"/>
  <c r="Z15" i="13" s="1"/>
  <c r="H15" i="13"/>
  <c r="AF34" i="14" s="1"/>
  <c r="Y14" i="13"/>
  <c r="X14" i="13"/>
  <c r="W14" i="13"/>
  <c r="V14" i="13"/>
  <c r="H14" i="13"/>
  <c r="Z13" i="13"/>
  <c r="Y13" i="13"/>
  <c r="X13" i="13"/>
  <c r="W13" i="13"/>
  <c r="V13" i="13"/>
  <c r="O13" i="13"/>
  <c r="H13" i="13"/>
  <c r="F33" i="14" s="1"/>
  <c r="Y12" i="13"/>
  <c r="X12" i="13"/>
  <c r="W12" i="13"/>
  <c r="V12" i="13"/>
  <c r="O12" i="13"/>
  <c r="Z12" i="13" s="1"/>
  <c r="H12" i="13"/>
  <c r="Y11" i="13"/>
  <c r="X11" i="13"/>
  <c r="W11" i="13"/>
  <c r="V11" i="13"/>
  <c r="O11" i="13"/>
  <c r="Z11" i="13" s="1"/>
  <c r="H11" i="13"/>
  <c r="AN6" i="14" s="1"/>
  <c r="Y10" i="13"/>
  <c r="X10" i="13"/>
  <c r="W10" i="13"/>
  <c r="V10" i="13"/>
  <c r="H10" i="13"/>
  <c r="Z9" i="13"/>
  <c r="Y9" i="13"/>
  <c r="X9" i="13"/>
  <c r="W9" i="13"/>
  <c r="V9" i="13"/>
  <c r="U9" i="13"/>
  <c r="H9" i="13"/>
  <c r="Z8" i="13"/>
  <c r="Y8" i="13"/>
  <c r="X8" i="13"/>
  <c r="W8" i="13"/>
  <c r="V8" i="13"/>
  <c r="H8" i="13"/>
  <c r="S7" i="14" s="1"/>
  <c r="Z7" i="13"/>
  <c r="Y7" i="13"/>
  <c r="X7" i="13"/>
  <c r="W7" i="13"/>
  <c r="V7" i="13"/>
  <c r="H7" i="13"/>
  <c r="S6" i="14" s="1"/>
  <c r="Y6" i="13"/>
  <c r="X6" i="13"/>
  <c r="W6" i="13"/>
  <c r="V6" i="13"/>
  <c r="O6" i="13"/>
  <c r="Z6" i="13" s="1"/>
  <c r="H6" i="13"/>
  <c r="F7" i="14" s="1"/>
  <c r="Z5" i="13"/>
  <c r="Y5" i="13"/>
  <c r="X5" i="13"/>
  <c r="W5" i="13"/>
  <c r="V5" i="13"/>
  <c r="H5" i="13"/>
  <c r="F6" i="14" s="1"/>
  <c r="Z4" i="13"/>
  <c r="Y4" i="13"/>
  <c r="X4" i="13"/>
  <c r="W4" i="13"/>
  <c r="V4" i="13"/>
  <c r="H4" i="13"/>
  <c r="E5" i="14" s="1"/>
  <c r="Z3" i="13"/>
  <c r="Y3" i="13"/>
  <c r="X3" i="13"/>
  <c r="W3" i="13"/>
  <c r="V3" i="13"/>
  <c r="H3" i="13"/>
  <c r="H2" i="13"/>
  <c r="AX3" i="14" s="1"/>
  <c r="Y1" i="13"/>
  <c r="AO53" i="14" s="1"/>
  <c r="X1" i="13"/>
  <c r="W1" i="13"/>
  <c r="AH53" i="14" s="1"/>
  <c r="E116" i="12"/>
  <c r="E102" i="12"/>
  <c r="V95" i="12"/>
  <c r="O95" i="12"/>
  <c r="H95" i="12"/>
  <c r="AE87" i="12"/>
  <c r="AS86" i="12"/>
  <c r="AO86" i="12"/>
  <c r="O84" i="12"/>
  <c r="H84" i="12"/>
  <c r="AE78" i="12"/>
  <c r="AM76" i="12"/>
  <c r="R71" i="12"/>
  <c r="L71" i="12"/>
  <c r="F71" i="12"/>
  <c r="AX43" i="12"/>
  <c r="AW42" i="12"/>
  <c r="AE42" i="12"/>
  <c r="AW41" i="12"/>
  <c r="AW40" i="12"/>
  <c r="AW39" i="12"/>
  <c r="AW38" i="12"/>
  <c r="O47" i="11" s="1"/>
  <c r="AO38" i="12"/>
  <c r="AM38" i="12"/>
  <c r="AW37" i="12"/>
  <c r="O46" i="11" s="1"/>
  <c r="AF37" i="12"/>
  <c r="AW36" i="12"/>
  <c r="O45" i="11" s="1"/>
  <c r="AW35" i="12"/>
  <c r="AW34" i="12"/>
  <c r="O43" i="11" s="1"/>
  <c r="AW33" i="12"/>
  <c r="AW30" i="12"/>
  <c r="A28" i="12"/>
  <c r="F20" i="12"/>
  <c r="AP14" i="12"/>
  <c r="AL14" i="12"/>
  <c r="AH14" i="12"/>
  <c r="AD14" i="12"/>
  <c r="Z14" i="12"/>
  <c r="V14" i="12"/>
  <c r="R14" i="12"/>
  <c r="N14" i="12"/>
  <c r="J14" i="12"/>
  <c r="F14" i="12"/>
  <c r="AR13" i="12"/>
  <c r="AN13" i="12"/>
  <c r="AJ13" i="12"/>
  <c r="AF13" i="12"/>
  <c r="AB13" i="12"/>
  <c r="X13" i="12"/>
  <c r="T13" i="12"/>
  <c r="P13" i="12"/>
  <c r="L13" i="12"/>
  <c r="H13" i="12"/>
  <c r="E13" i="12"/>
  <c r="AR12" i="12"/>
  <c r="AN12" i="12"/>
  <c r="AJ12" i="12"/>
  <c r="AF12" i="12"/>
  <c r="AB12" i="12"/>
  <c r="X12" i="12"/>
  <c r="T12" i="12"/>
  <c r="P12" i="12"/>
  <c r="L12" i="12"/>
  <c r="H12" i="12"/>
  <c r="C11" i="12"/>
  <c r="AN7" i="12"/>
  <c r="BL5" i="12"/>
  <c r="BK5" i="12"/>
  <c r="BJ5" i="12"/>
  <c r="BF5" i="12"/>
  <c r="AN5" i="12"/>
  <c r="BG4" i="12"/>
  <c r="BE4" i="12"/>
  <c r="BB3" i="12"/>
  <c r="BB2" i="12"/>
  <c r="N56" i="6" s="1"/>
  <c r="H206" i="11"/>
  <c r="H205" i="11"/>
  <c r="H204" i="11"/>
  <c r="H203" i="11"/>
  <c r="H202" i="11"/>
  <c r="H201" i="11"/>
  <c r="H200" i="11"/>
  <c r="H199" i="11"/>
  <c r="H198" i="11"/>
  <c r="H197" i="11"/>
  <c r="H196" i="11"/>
  <c r="H195" i="11"/>
  <c r="AX10" i="12" s="1"/>
  <c r="H194" i="11"/>
  <c r="AX9" i="12" s="1"/>
  <c r="H193" i="11"/>
  <c r="AX7" i="12" s="1"/>
  <c r="H192" i="11"/>
  <c r="H191" i="11"/>
  <c r="H190" i="11"/>
  <c r="H189" i="11"/>
  <c r="H188" i="11"/>
  <c r="H187" i="11"/>
  <c r="H186" i="11"/>
  <c r="H185" i="11"/>
  <c r="H184" i="11"/>
  <c r="H183" i="11"/>
  <c r="BE3" i="12" s="1"/>
  <c r="H182" i="11"/>
  <c r="AW95" i="12" s="1"/>
  <c r="H181" i="11"/>
  <c r="AE96" i="12" s="1"/>
  <c r="H180" i="11"/>
  <c r="AQ76" i="12" s="1"/>
  <c r="H179" i="11"/>
  <c r="J178" i="11"/>
  <c r="H178" i="11"/>
  <c r="H177" i="11"/>
  <c r="J177" i="11" s="1"/>
  <c r="H176" i="11"/>
  <c r="AF47" i="12" s="1"/>
  <c r="H175" i="11"/>
  <c r="J175" i="11" s="1"/>
  <c r="H174" i="11"/>
  <c r="J174" i="11" s="1"/>
  <c r="H173" i="11"/>
  <c r="H172" i="11"/>
  <c r="H171" i="11"/>
  <c r="H170" i="11"/>
  <c r="H169" i="11"/>
  <c r="H168" i="11"/>
  <c r="H167" i="11"/>
  <c r="H166" i="11"/>
  <c r="H165" i="11"/>
  <c r="H164" i="11"/>
  <c r="H163" i="11"/>
  <c r="H162" i="11"/>
  <c r="H161" i="11"/>
  <c r="H160" i="11"/>
  <c r="H159" i="11"/>
  <c r="J134" i="11" s="1"/>
  <c r="H158" i="11"/>
  <c r="H157" i="11"/>
  <c r="AX22" i="12" s="1"/>
  <c r="H156" i="11"/>
  <c r="H155" i="11"/>
  <c r="H154" i="11"/>
  <c r="H153" i="11"/>
  <c r="J153" i="11" s="1"/>
  <c r="J152" i="11"/>
  <c r="H152" i="11"/>
  <c r="H151" i="11"/>
  <c r="J151" i="11" s="1"/>
  <c r="H150" i="11"/>
  <c r="AW46" i="12" s="1"/>
  <c r="H149" i="11"/>
  <c r="R114" i="12" s="1"/>
  <c r="H148" i="11"/>
  <c r="H147" i="11"/>
  <c r="J147" i="11" s="1"/>
  <c r="H146" i="11"/>
  <c r="J146" i="11" s="1"/>
  <c r="H145" i="11"/>
  <c r="H144" i="11"/>
  <c r="J144" i="11" s="1"/>
  <c r="H143" i="11"/>
  <c r="J143" i="11" s="1"/>
  <c r="R112" i="12" s="1"/>
  <c r="H142" i="11"/>
  <c r="E110" i="12" s="1"/>
  <c r="H141" i="11"/>
  <c r="E108" i="12" s="1"/>
  <c r="H140" i="11"/>
  <c r="E106" i="12" s="1"/>
  <c r="H139" i="11"/>
  <c r="E104" i="12" s="1"/>
  <c r="M138" i="11"/>
  <c r="H138" i="11"/>
  <c r="M137" i="11"/>
  <c r="H137" i="11"/>
  <c r="M136" i="11"/>
  <c r="H136" i="11"/>
  <c r="J136" i="11" s="1"/>
  <c r="M135" i="11"/>
  <c r="H135" i="11"/>
  <c r="J135" i="11" s="1"/>
  <c r="M134" i="11"/>
  <c r="H134" i="11"/>
  <c r="AE32" i="12" s="1"/>
  <c r="M133" i="11"/>
  <c r="I133" i="11"/>
  <c r="H133" i="11"/>
  <c r="M132" i="11"/>
  <c r="H132" i="11"/>
  <c r="M131" i="11"/>
  <c r="H131" i="11"/>
  <c r="AX14" i="12" s="1"/>
  <c r="M130" i="11"/>
  <c r="H130" i="11"/>
  <c r="S5" i="12" s="1"/>
  <c r="M129" i="11"/>
  <c r="H129" i="11"/>
  <c r="M128" i="11"/>
  <c r="H128" i="11"/>
  <c r="M127" i="11"/>
  <c r="H127" i="11"/>
  <c r="M126" i="11"/>
  <c r="H126" i="11"/>
  <c r="M125" i="11"/>
  <c r="H125" i="11"/>
  <c r="M124" i="11"/>
  <c r="H124" i="11"/>
  <c r="M123" i="11"/>
  <c r="H123" i="11"/>
  <c r="B78" i="11" s="1"/>
  <c r="M122" i="11"/>
  <c r="H122" i="11"/>
  <c r="B77" i="11" s="1"/>
  <c r="M121" i="11"/>
  <c r="H121" i="11"/>
  <c r="M120" i="11"/>
  <c r="H120" i="11"/>
  <c r="M119" i="11"/>
  <c r="H119" i="11"/>
  <c r="M118" i="11"/>
  <c r="H118" i="11"/>
  <c r="M117" i="11"/>
  <c r="H117" i="11"/>
  <c r="M116" i="11"/>
  <c r="H116" i="11"/>
  <c r="M115" i="11"/>
  <c r="H115" i="11"/>
  <c r="B72" i="11" s="1"/>
  <c r="M114" i="11"/>
  <c r="H114" i="11"/>
  <c r="B71" i="11" s="1"/>
  <c r="M113" i="11"/>
  <c r="H113" i="11"/>
  <c r="B69" i="11" s="1"/>
  <c r="M112" i="11"/>
  <c r="H112" i="11"/>
  <c r="B68" i="11" s="1"/>
  <c r="M111" i="11"/>
  <c r="H111" i="11"/>
  <c r="L60" i="12" s="1"/>
  <c r="M110" i="11"/>
  <c r="H110" i="11"/>
  <c r="F60" i="12" s="1"/>
  <c r="M109" i="11"/>
  <c r="H109" i="11"/>
  <c r="M108" i="11"/>
  <c r="H108" i="11"/>
  <c r="M107" i="11"/>
  <c r="H107" i="11"/>
  <c r="M106" i="11"/>
  <c r="H106" i="11"/>
  <c r="F21" i="12" s="1"/>
  <c r="M105" i="11"/>
  <c r="H105" i="11"/>
  <c r="M104" i="11"/>
  <c r="H104" i="11"/>
  <c r="M103" i="11"/>
  <c r="M102" i="11"/>
  <c r="H102" i="11"/>
  <c r="AE90" i="12" s="1"/>
  <c r="M101" i="11"/>
  <c r="H101" i="11"/>
  <c r="M100" i="11"/>
  <c r="H100" i="11"/>
  <c r="M99" i="11"/>
  <c r="H99" i="11"/>
  <c r="M98" i="11"/>
  <c r="H98" i="11"/>
  <c r="M97" i="11"/>
  <c r="H97" i="11"/>
  <c r="M96" i="11"/>
  <c r="H96" i="11"/>
  <c r="J96" i="11" s="1"/>
  <c r="M95" i="11"/>
  <c r="H95" i="11"/>
  <c r="M94" i="11"/>
  <c r="H94" i="11"/>
  <c r="M93" i="11"/>
  <c r="H93" i="11"/>
  <c r="J93" i="11" s="1"/>
  <c r="C93" i="11"/>
  <c r="M92" i="11"/>
  <c r="H92" i="11"/>
  <c r="J92" i="11" s="1"/>
  <c r="C92" i="11"/>
  <c r="M91" i="11"/>
  <c r="H91" i="11"/>
  <c r="AF48" i="12" s="1"/>
  <c r="C91" i="11"/>
  <c r="M90" i="11"/>
  <c r="H90" i="11"/>
  <c r="AE88" i="12" s="1"/>
  <c r="C90" i="11"/>
  <c r="M89" i="11"/>
  <c r="H89" i="11"/>
  <c r="J89" i="11" s="1"/>
  <c r="C89" i="11"/>
  <c r="M88" i="11"/>
  <c r="H88" i="11"/>
  <c r="J88" i="11" s="1"/>
  <c r="C88" i="11"/>
  <c r="M87" i="11"/>
  <c r="H87" i="11"/>
  <c r="AE83" i="12" s="1"/>
  <c r="H86" i="11"/>
  <c r="J86" i="11" s="1"/>
  <c r="H85" i="11"/>
  <c r="J85" i="11" s="1"/>
  <c r="H84" i="11"/>
  <c r="AE80" i="12" s="1"/>
  <c r="H83" i="11"/>
  <c r="K82" i="11"/>
  <c r="J82" i="11"/>
  <c r="H82" i="11"/>
  <c r="H81" i="11"/>
  <c r="J81" i="11" s="1"/>
  <c r="B81" i="11"/>
  <c r="J80" i="11"/>
  <c r="H80" i="11"/>
  <c r="U79" i="11"/>
  <c r="V79" i="11" s="1"/>
  <c r="H79" i="11"/>
  <c r="J79" i="11" s="1"/>
  <c r="U78" i="11"/>
  <c r="V78" i="11" s="1"/>
  <c r="W78" i="11" s="1"/>
  <c r="H78" i="11"/>
  <c r="J78" i="11" s="1"/>
  <c r="L77" i="11"/>
  <c r="U77" i="11" s="1"/>
  <c r="V77" i="11" s="1"/>
  <c r="J77" i="11"/>
  <c r="H77" i="11"/>
  <c r="L76" i="11"/>
  <c r="U76" i="11" s="1"/>
  <c r="V76" i="11" s="1"/>
  <c r="H76" i="11"/>
  <c r="AE77" i="12" s="1"/>
  <c r="L75" i="11"/>
  <c r="U75" i="11" s="1"/>
  <c r="V75" i="11" s="1"/>
  <c r="H75" i="11"/>
  <c r="AG75" i="12" s="1"/>
  <c r="B75" i="11"/>
  <c r="L74" i="11"/>
  <c r="U74" i="11" s="1"/>
  <c r="V74" i="11" s="1"/>
  <c r="H74" i="11"/>
  <c r="J74" i="11" s="1"/>
  <c r="B74" i="11"/>
  <c r="H73" i="11"/>
  <c r="H72" i="11"/>
  <c r="AM74" i="12" s="1"/>
  <c r="L71" i="11"/>
  <c r="M71" i="11" s="1"/>
  <c r="U71" i="11" s="1"/>
  <c r="V71" i="11" s="1"/>
  <c r="H71" i="11"/>
  <c r="AF74" i="12" s="1"/>
  <c r="H70" i="11"/>
  <c r="AE73" i="12" s="1"/>
  <c r="R69" i="11"/>
  <c r="U67" i="11" s="1"/>
  <c r="V67" i="11" s="1"/>
  <c r="L69" i="11"/>
  <c r="H69" i="11"/>
  <c r="J69" i="11" s="1"/>
  <c r="V68" i="11"/>
  <c r="U68" i="11"/>
  <c r="P68" i="11"/>
  <c r="R68" i="11" s="1"/>
  <c r="L68" i="11"/>
  <c r="H68" i="11"/>
  <c r="J68" i="11" s="1"/>
  <c r="R67" i="11"/>
  <c r="Q67" i="11"/>
  <c r="P67" i="11"/>
  <c r="L67" i="11"/>
  <c r="H67" i="11"/>
  <c r="K80" i="11" s="1"/>
  <c r="N80" i="11" s="1"/>
  <c r="P66" i="11"/>
  <c r="R66" i="11" s="1"/>
  <c r="L66" i="11"/>
  <c r="M66" i="11" s="1"/>
  <c r="U66" i="11" s="1"/>
  <c r="V66" i="11" s="1"/>
  <c r="H66" i="11"/>
  <c r="K81" i="11" s="1"/>
  <c r="P65" i="11"/>
  <c r="Q65" i="11" s="1"/>
  <c r="L65" i="11"/>
  <c r="H65" i="11"/>
  <c r="K79" i="11" s="1"/>
  <c r="N79" i="11" s="1"/>
  <c r="U64" i="11"/>
  <c r="V64" i="11" s="1"/>
  <c r="P64" i="11"/>
  <c r="R64" i="11" s="1"/>
  <c r="L64" i="11"/>
  <c r="H64" i="11"/>
  <c r="AE60" i="12" s="1"/>
  <c r="C64" i="11"/>
  <c r="U63" i="11"/>
  <c r="V63" i="11" s="1"/>
  <c r="P63" i="11"/>
  <c r="L63" i="11"/>
  <c r="H63" i="11"/>
  <c r="P62" i="11"/>
  <c r="R62" i="11" s="1"/>
  <c r="L62" i="11"/>
  <c r="A9" i="12" s="1"/>
  <c r="H62" i="11"/>
  <c r="P61" i="11"/>
  <c r="Q61" i="11" s="1"/>
  <c r="L61" i="11"/>
  <c r="H61" i="11"/>
  <c r="P60" i="11"/>
  <c r="L60" i="11"/>
  <c r="H60" i="11"/>
  <c r="Q59" i="11"/>
  <c r="P59" i="11"/>
  <c r="R59" i="11" s="1"/>
  <c r="L59" i="11"/>
  <c r="H59" i="11"/>
  <c r="L58" i="11"/>
  <c r="H58" i="11"/>
  <c r="L57" i="11"/>
  <c r="H57" i="11"/>
  <c r="AH7" i="12" s="1"/>
  <c r="L56" i="11"/>
  <c r="M56" i="11" s="1"/>
  <c r="U56" i="11" s="1"/>
  <c r="V56" i="11" s="1"/>
  <c r="H56" i="11"/>
  <c r="AH6" i="12" s="1"/>
  <c r="C60" i="6" s="1"/>
  <c r="L55" i="11"/>
  <c r="U55" i="11" s="1"/>
  <c r="V55" i="11" s="1"/>
  <c r="H55" i="11"/>
  <c r="AH5" i="12" s="1"/>
  <c r="C58" i="6" s="1"/>
  <c r="V54" i="11"/>
  <c r="M54" i="11"/>
  <c r="L54" i="11"/>
  <c r="U54" i="11" s="1"/>
  <c r="H54" i="11"/>
  <c r="U34" i="11" s="1"/>
  <c r="L53" i="11"/>
  <c r="U53" i="11" s="1"/>
  <c r="V53" i="11" s="1"/>
  <c r="H53" i="11"/>
  <c r="O52" i="11"/>
  <c r="L52" i="11"/>
  <c r="U52" i="11" s="1"/>
  <c r="V52" i="11" s="1"/>
  <c r="H52" i="11"/>
  <c r="AE79" i="12" s="1"/>
  <c r="L51" i="11"/>
  <c r="U51" i="11" s="1"/>
  <c r="V51" i="11" s="1"/>
  <c r="H51" i="11"/>
  <c r="AO85" i="12" s="1"/>
  <c r="O50" i="11"/>
  <c r="N50" i="11"/>
  <c r="L50" i="11"/>
  <c r="U50" i="11" s="1"/>
  <c r="V50" i="11" s="1"/>
  <c r="H50" i="11"/>
  <c r="AO84" i="12" s="1"/>
  <c r="U49" i="11"/>
  <c r="V49" i="11" s="1"/>
  <c r="O49" i="11"/>
  <c r="N49" i="11"/>
  <c r="H49" i="11"/>
  <c r="AN83" i="12" s="1"/>
  <c r="A49" i="11"/>
  <c r="O48" i="11"/>
  <c r="N48" i="11"/>
  <c r="L48" i="11"/>
  <c r="L49" i="11" s="1"/>
  <c r="H48" i="11"/>
  <c r="A48" i="11"/>
  <c r="N47" i="11"/>
  <c r="L47" i="11"/>
  <c r="U47" i="11" s="1"/>
  <c r="V47" i="11" s="1"/>
  <c r="H47" i="11"/>
  <c r="B47" i="11"/>
  <c r="V84" i="12" s="1"/>
  <c r="A47" i="11"/>
  <c r="N46" i="11"/>
  <c r="L46" i="11"/>
  <c r="U46" i="11" s="1"/>
  <c r="V46" i="11" s="1"/>
  <c r="H46" i="11"/>
  <c r="A46" i="11"/>
  <c r="N45" i="11"/>
  <c r="L45" i="11"/>
  <c r="U45" i="11" s="1"/>
  <c r="V45" i="11" s="1"/>
  <c r="H45" i="11"/>
  <c r="AF57" i="12" s="1"/>
  <c r="A45" i="11"/>
  <c r="U44" i="11"/>
  <c r="V44" i="11" s="1"/>
  <c r="O44" i="11"/>
  <c r="N44" i="11"/>
  <c r="L44" i="11"/>
  <c r="H44" i="11"/>
  <c r="B44" i="11"/>
  <c r="X71" i="12" s="1"/>
  <c r="A44" i="11"/>
  <c r="N43" i="11"/>
  <c r="L43" i="11"/>
  <c r="U43" i="11" s="1"/>
  <c r="V43" i="11" s="1"/>
  <c r="H43" i="11"/>
  <c r="A43" i="11"/>
  <c r="N42" i="11"/>
  <c r="L42" i="11"/>
  <c r="U42" i="11" s="1"/>
  <c r="V42" i="11" s="1"/>
  <c r="H42" i="11"/>
  <c r="AE52" i="12" s="1"/>
  <c r="A42" i="11"/>
  <c r="S41" i="11"/>
  <c r="O41" i="11"/>
  <c r="N41" i="11"/>
  <c r="L41" i="11"/>
  <c r="U41" i="11" s="1"/>
  <c r="V41" i="11" s="1"/>
  <c r="H41" i="11"/>
  <c r="A41" i="11"/>
  <c r="H40" i="11"/>
  <c r="AF46" i="12" s="1"/>
  <c r="H39" i="11"/>
  <c r="AF45" i="12" s="1"/>
  <c r="H38" i="11"/>
  <c r="H37" i="11"/>
  <c r="H36" i="11"/>
  <c r="AF43" i="12" s="1"/>
  <c r="Y35" i="11"/>
  <c r="X35" i="11"/>
  <c r="W35" i="11"/>
  <c r="V35" i="11"/>
  <c r="H35" i="11"/>
  <c r="Y34" i="11"/>
  <c r="X34" i="11"/>
  <c r="W34" i="11"/>
  <c r="V34" i="11"/>
  <c r="H34" i="11"/>
  <c r="Z46" i="12" s="1"/>
  <c r="Y33" i="11"/>
  <c r="X33" i="11"/>
  <c r="W33" i="11"/>
  <c r="V33" i="11"/>
  <c r="H33" i="11"/>
  <c r="P44" i="12" s="1"/>
  <c r="Y32" i="11"/>
  <c r="X32" i="11"/>
  <c r="W32" i="11"/>
  <c r="V32" i="11"/>
  <c r="H32" i="11"/>
  <c r="H49" i="12" s="1"/>
  <c r="Y31" i="11"/>
  <c r="X31" i="11"/>
  <c r="W31" i="11"/>
  <c r="V31" i="11"/>
  <c r="H31" i="11"/>
  <c r="N40" i="12" s="1"/>
  <c r="Y30" i="11"/>
  <c r="X30" i="11"/>
  <c r="W30" i="11"/>
  <c r="V30" i="11"/>
  <c r="H30" i="11"/>
  <c r="F40" i="12" s="1"/>
  <c r="C30" i="11"/>
  <c r="Y29" i="11"/>
  <c r="X29" i="11"/>
  <c r="W29" i="11"/>
  <c r="V29" i="11"/>
  <c r="H29" i="11"/>
  <c r="C29" i="11"/>
  <c r="Y28" i="11"/>
  <c r="X28" i="11"/>
  <c r="W28" i="11"/>
  <c r="V28" i="11"/>
  <c r="H28" i="11"/>
  <c r="C28" i="11"/>
  <c r="Y27" i="11"/>
  <c r="X27" i="11"/>
  <c r="W27" i="11"/>
  <c r="V27" i="11"/>
  <c r="H27" i="11"/>
  <c r="Y26" i="11"/>
  <c r="X26" i="11"/>
  <c r="W26" i="11"/>
  <c r="V26" i="11"/>
  <c r="H26" i="11"/>
  <c r="Y25" i="11"/>
  <c r="X25" i="11"/>
  <c r="W25" i="11"/>
  <c r="V25" i="11"/>
  <c r="H25" i="11"/>
  <c r="C25" i="11"/>
  <c r="Y24" i="11"/>
  <c r="X24" i="11"/>
  <c r="W24" i="11"/>
  <c r="V24" i="11"/>
  <c r="H24" i="11"/>
  <c r="C24" i="11"/>
  <c r="Y23" i="11"/>
  <c r="X23" i="11"/>
  <c r="W23" i="11"/>
  <c r="V23" i="11"/>
  <c r="H23" i="11"/>
  <c r="C23" i="11"/>
  <c r="Y22" i="11"/>
  <c r="X22" i="11"/>
  <c r="W22" i="11"/>
  <c r="V22" i="11"/>
  <c r="H22" i="11"/>
  <c r="AF39" i="12" s="1"/>
  <c r="C22" i="11"/>
  <c r="Y21" i="11"/>
  <c r="X21" i="11"/>
  <c r="W21" i="11"/>
  <c r="V21" i="11"/>
  <c r="H21" i="11"/>
  <c r="C21" i="11"/>
  <c r="Y20" i="11"/>
  <c r="X20" i="11"/>
  <c r="W20" i="11"/>
  <c r="V20" i="11"/>
  <c r="H20" i="11"/>
  <c r="AF38" i="12" s="1"/>
  <c r="C20" i="11"/>
  <c r="Y19" i="11"/>
  <c r="X19" i="11"/>
  <c r="W19" i="11"/>
  <c r="V19" i="11"/>
  <c r="H19" i="11"/>
  <c r="C19" i="11"/>
  <c r="Y18" i="11"/>
  <c r="X18" i="11"/>
  <c r="W18" i="11"/>
  <c r="V18" i="11"/>
  <c r="H18" i="11"/>
  <c r="AF36" i="12" s="1"/>
  <c r="C18" i="11"/>
  <c r="Y17" i="11"/>
  <c r="X17" i="11"/>
  <c r="W17" i="11"/>
  <c r="V17" i="11"/>
  <c r="H17" i="11"/>
  <c r="AF35" i="12" s="1"/>
  <c r="C17" i="11"/>
  <c r="Y16" i="11"/>
  <c r="X16" i="11"/>
  <c r="W16" i="11"/>
  <c r="V16" i="11"/>
  <c r="H16" i="11"/>
  <c r="C16" i="11"/>
  <c r="Y15" i="11"/>
  <c r="X15" i="11"/>
  <c r="W15" i="11"/>
  <c r="V15" i="11"/>
  <c r="H15" i="11"/>
  <c r="AF34" i="12" s="1"/>
  <c r="Y14" i="11"/>
  <c r="X14" i="11"/>
  <c r="W14" i="11"/>
  <c r="V14" i="11"/>
  <c r="H14" i="11"/>
  <c r="F34" i="12" s="1"/>
  <c r="Y13" i="11"/>
  <c r="X13" i="11"/>
  <c r="W13" i="11"/>
  <c r="V13" i="11"/>
  <c r="H13" i="11"/>
  <c r="F33" i="12" s="1"/>
  <c r="Y12" i="11"/>
  <c r="X12" i="11"/>
  <c r="W12" i="11"/>
  <c r="V12" i="11"/>
  <c r="H12" i="11"/>
  <c r="Y11" i="11"/>
  <c r="X11" i="11"/>
  <c r="W11" i="11"/>
  <c r="V11" i="11"/>
  <c r="H11" i="11"/>
  <c r="AN6" i="12" s="1"/>
  <c r="Y10" i="11"/>
  <c r="X10" i="11"/>
  <c r="W10" i="11"/>
  <c r="V10" i="11"/>
  <c r="H10" i="11"/>
  <c r="Z9" i="11"/>
  <c r="Y9" i="11"/>
  <c r="X9" i="11"/>
  <c r="W9" i="11"/>
  <c r="V9" i="11"/>
  <c r="H9" i="11"/>
  <c r="Z8" i="11"/>
  <c r="Y8" i="11"/>
  <c r="X8" i="11"/>
  <c r="W8" i="11"/>
  <c r="V8" i="11"/>
  <c r="H8" i="11"/>
  <c r="S7" i="12" s="1"/>
  <c r="Z7" i="11"/>
  <c r="Y7" i="11"/>
  <c r="X7" i="11"/>
  <c r="W7" i="11"/>
  <c r="V7" i="11"/>
  <c r="H7" i="11"/>
  <c r="S6" i="12" s="1"/>
  <c r="Y6" i="11"/>
  <c r="X6" i="11"/>
  <c r="W6" i="11"/>
  <c r="V6" i="11"/>
  <c r="H6" i="11"/>
  <c r="F7" i="12" s="1"/>
  <c r="Z5" i="11"/>
  <c r="Y5" i="11"/>
  <c r="X5" i="11"/>
  <c r="W5" i="11"/>
  <c r="V5" i="11"/>
  <c r="H5" i="11"/>
  <c r="F6" i="12" s="1"/>
  <c r="Z4" i="11"/>
  <c r="Y4" i="11"/>
  <c r="X4" i="11"/>
  <c r="W4" i="11"/>
  <c r="V4" i="11"/>
  <c r="H4" i="11"/>
  <c r="E5" i="12" s="1"/>
  <c r="Z3" i="11"/>
  <c r="Y3" i="11"/>
  <c r="X3" i="11"/>
  <c r="W3" i="11"/>
  <c r="V3" i="11"/>
  <c r="H3" i="11"/>
  <c r="H2" i="11"/>
  <c r="AX3" i="12" s="1"/>
  <c r="Y1" i="11"/>
  <c r="AO53" i="12" s="1"/>
  <c r="X1" i="11"/>
  <c r="AK53" i="12" s="1"/>
  <c r="W1" i="11"/>
  <c r="AH53" i="12" s="1"/>
  <c r="E116" i="10"/>
  <c r="E102" i="10"/>
  <c r="O95" i="10"/>
  <c r="H95" i="10"/>
  <c r="AS86" i="10"/>
  <c r="AO86" i="10"/>
  <c r="O84" i="10"/>
  <c r="H84" i="10"/>
  <c r="AE79" i="10"/>
  <c r="R71" i="10"/>
  <c r="L71" i="10"/>
  <c r="F71" i="10"/>
  <c r="AX43" i="10"/>
  <c r="AW42" i="10"/>
  <c r="AW41" i="10"/>
  <c r="AW40" i="10"/>
  <c r="O49" i="9" s="1"/>
  <c r="AW39" i="10"/>
  <c r="O48" i="9" s="1"/>
  <c r="AW38" i="10"/>
  <c r="O47" i="9" s="1"/>
  <c r="AM38" i="10"/>
  <c r="AW37" i="10"/>
  <c r="O46" i="9" s="1"/>
  <c r="AF37" i="10"/>
  <c r="AW36" i="10"/>
  <c r="AW35" i="10"/>
  <c r="AW34" i="10"/>
  <c r="AW33" i="10"/>
  <c r="AW30" i="10"/>
  <c r="A28" i="10"/>
  <c r="AP14" i="10"/>
  <c r="AL14" i="10"/>
  <c r="AH14" i="10"/>
  <c r="AD14" i="10"/>
  <c r="Z14" i="10"/>
  <c r="V14" i="10"/>
  <c r="R14" i="10"/>
  <c r="N14" i="10"/>
  <c r="J14" i="10"/>
  <c r="F14" i="10"/>
  <c r="AR13" i="10"/>
  <c r="AN13" i="10"/>
  <c r="AJ13" i="10"/>
  <c r="AF13" i="10"/>
  <c r="AB13" i="10"/>
  <c r="X13" i="10"/>
  <c r="T13" i="10"/>
  <c r="P13" i="10"/>
  <c r="L13" i="10"/>
  <c r="H13" i="10"/>
  <c r="E13" i="10"/>
  <c r="AR12" i="10"/>
  <c r="AN12" i="10"/>
  <c r="AJ12" i="10"/>
  <c r="AF12" i="10"/>
  <c r="AB12" i="10"/>
  <c r="X12" i="10"/>
  <c r="T12" i="10"/>
  <c r="P12" i="10"/>
  <c r="L12" i="10"/>
  <c r="H12" i="10"/>
  <c r="C11" i="10"/>
  <c r="AX9" i="10"/>
  <c r="AN7" i="10"/>
  <c r="BL5" i="10"/>
  <c r="BK5" i="10"/>
  <c r="BJ5" i="10"/>
  <c r="BE9" i="10" s="1"/>
  <c r="BF5" i="10"/>
  <c r="BB3" i="10"/>
  <c r="BB2" i="10"/>
  <c r="N40" i="6" s="1"/>
  <c r="H206" i="9"/>
  <c r="H205" i="9"/>
  <c r="H204" i="9"/>
  <c r="H203" i="9"/>
  <c r="H202" i="9"/>
  <c r="H201" i="9"/>
  <c r="H200" i="9"/>
  <c r="H199" i="9"/>
  <c r="H198" i="9"/>
  <c r="H197" i="9"/>
  <c r="H196" i="9"/>
  <c r="H195" i="9"/>
  <c r="AX10" i="10" s="1"/>
  <c r="H194" i="9"/>
  <c r="H193" i="9"/>
  <c r="AX7" i="10" s="1"/>
  <c r="H192" i="9"/>
  <c r="H191" i="9"/>
  <c r="H190" i="9"/>
  <c r="H189" i="9"/>
  <c r="H188" i="9"/>
  <c r="H187" i="9"/>
  <c r="H186" i="9"/>
  <c r="H185" i="9"/>
  <c r="BG4" i="10" s="1"/>
  <c r="H184" i="9"/>
  <c r="BE4" i="10" s="1"/>
  <c r="H183" i="9"/>
  <c r="BE3" i="10" s="1"/>
  <c r="H182" i="9"/>
  <c r="AW95" i="10" s="1"/>
  <c r="H181" i="9"/>
  <c r="AE96" i="10" s="1"/>
  <c r="H180" i="9"/>
  <c r="AQ76" i="10" s="1"/>
  <c r="H179" i="9"/>
  <c r="H178" i="9"/>
  <c r="J178" i="9" s="1"/>
  <c r="H177" i="9"/>
  <c r="J177" i="9" s="1"/>
  <c r="H176" i="9"/>
  <c r="AF47" i="10" s="1"/>
  <c r="J175" i="9"/>
  <c r="H175" i="9"/>
  <c r="H174" i="9"/>
  <c r="J174" i="9" s="1"/>
  <c r="H173" i="9"/>
  <c r="H172" i="9"/>
  <c r="H171" i="9"/>
  <c r="H170" i="9"/>
  <c r="H169" i="9"/>
  <c r="H168" i="9"/>
  <c r="H167" i="9"/>
  <c r="H166" i="9"/>
  <c r="H165" i="9"/>
  <c r="H164" i="9"/>
  <c r="H163" i="9"/>
  <c r="H162" i="9"/>
  <c r="H161" i="9"/>
  <c r="K82" i="9" s="1"/>
  <c r="H160" i="9"/>
  <c r="H159" i="9"/>
  <c r="H158" i="9"/>
  <c r="H157" i="9"/>
  <c r="AX22" i="10" s="1"/>
  <c r="H156" i="9"/>
  <c r="H155" i="9"/>
  <c r="H154" i="9"/>
  <c r="M128" i="9" s="1"/>
  <c r="J153" i="9"/>
  <c r="H153" i="9"/>
  <c r="H152" i="9"/>
  <c r="J152" i="9" s="1"/>
  <c r="J151" i="9"/>
  <c r="H151" i="9"/>
  <c r="H150" i="9"/>
  <c r="AW46" i="10" s="1"/>
  <c r="H149" i="9"/>
  <c r="R114" i="10" s="1"/>
  <c r="H148" i="9"/>
  <c r="H147" i="9"/>
  <c r="J147" i="9" s="1"/>
  <c r="H146" i="9"/>
  <c r="J146" i="9" s="1"/>
  <c r="H145" i="9"/>
  <c r="J144" i="9"/>
  <c r="H144" i="9"/>
  <c r="H143" i="9"/>
  <c r="J143" i="9" s="1"/>
  <c r="H142" i="9"/>
  <c r="E110" i="10" s="1"/>
  <c r="H141" i="9"/>
  <c r="E108" i="10" s="1"/>
  <c r="H140" i="9"/>
  <c r="E106" i="10" s="1"/>
  <c r="H139" i="9"/>
  <c r="E104" i="10" s="1"/>
  <c r="M138" i="9"/>
  <c r="H138" i="9"/>
  <c r="H137" i="9"/>
  <c r="H136" i="9"/>
  <c r="J136" i="9" s="1"/>
  <c r="J135" i="9"/>
  <c r="H135" i="9"/>
  <c r="J134" i="9"/>
  <c r="H134" i="9"/>
  <c r="M133" i="9"/>
  <c r="I133" i="9"/>
  <c r="H133" i="9"/>
  <c r="M132" i="9"/>
  <c r="H132" i="9"/>
  <c r="H131" i="9"/>
  <c r="AX14" i="10" s="1"/>
  <c r="H130" i="9"/>
  <c r="S5" i="10" s="1"/>
  <c r="H129" i="9"/>
  <c r="H128" i="9"/>
  <c r="H127" i="9"/>
  <c r="M126" i="9"/>
  <c r="H126" i="9"/>
  <c r="H125" i="9"/>
  <c r="M124" i="9"/>
  <c r="H124" i="9"/>
  <c r="F20" i="10" s="1"/>
  <c r="H123" i="9"/>
  <c r="B78" i="9" s="1"/>
  <c r="H122" i="9"/>
  <c r="B77" i="9" s="1"/>
  <c r="H121" i="9"/>
  <c r="B75" i="9" s="1"/>
  <c r="H120" i="9"/>
  <c r="H119" i="9"/>
  <c r="M118" i="9"/>
  <c r="H118" i="9"/>
  <c r="H117" i="9"/>
  <c r="M116" i="9"/>
  <c r="H116" i="9"/>
  <c r="V95" i="10" s="1"/>
  <c r="H115" i="9"/>
  <c r="B72" i="9" s="1"/>
  <c r="H114" i="9"/>
  <c r="H113" i="9"/>
  <c r="B69" i="9" s="1"/>
  <c r="H112" i="9"/>
  <c r="B68" i="9" s="1"/>
  <c r="H111" i="9"/>
  <c r="L60" i="10" s="1"/>
  <c r="M110" i="9"/>
  <c r="H110" i="9"/>
  <c r="F60" i="10" s="1"/>
  <c r="H109" i="9"/>
  <c r="M108" i="9"/>
  <c r="H108" i="9"/>
  <c r="H107" i="9"/>
  <c r="H106" i="9"/>
  <c r="H105" i="9"/>
  <c r="H104" i="9"/>
  <c r="H102" i="9"/>
  <c r="AE90" i="10" s="1"/>
  <c r="M101" i="9"/>
  <c r="H101" i="9"/>
  <c r="H100" i="9"/>
  <c r="M99" i="9"/>
  <c r="H99" i="9"/>
  <c r="H98" i="9"/>
  <c r="H97" i="9"/>
  <c r="J96" i="9"/>
  <c r="H96" i="9"/>
  <c r="H95" i="9"/>
  <c r="M94" i="9"/>
  <c r="H94" i="9"/>
  <c r="H93" i="9"/>
  <c r="J93" i="9" s="1"/>
  <c r="C93" i="9"/>
  <c r="H92" i="9"/>
  <c r="J92" i="9" s="1"/>
  <c r="C92" i="9"/>
  <c r="H91" i="9"/>
  <c r="AF48" i="10" s="1"/>
  <c r="C91" i="9"/>
  <c r="M90" i="9"/>
  <c r="H90" i="9"/>
  <c r="AE88" i="10" s="1"/>
  <c r="C90" i="9"/>
  <c r="J89" i="9"/>
  <c r="H89" i="9"/>
  <c r="C89" i="9"/>
  <c r="H88" i="9"/>
  <c r="L77" i="9" s="1"/>
  <c r="U77" i="9" s="1"/>
  <c r="V77" i="9" s="1"/>
  <c r="C88" i="9"/>
  <c r="H87" i="9"/>
  <c r="AE83" i="10" s="1"/>
  <c r="J86" i="9"/>
  <c r="H86" i="9"/>
  <c r="H85" i="9"/>
  <c r="J85" i="9" s="1"/>
  <c r="H84" i="9"/>
  <c r="AE80" i="10" s="1"/>
  <c r="H83" i="9"/>
  <c r="H82" i="9"/>
  <c r="J82" i="9" s="1"/>
  <c r="H81" i="9"/>
  <c r="J81" i="9" s="1"/>
  <c r="B81" i="9"/>
  <c r="H80" i="9"/>
  <c r="V79" i="9"/>
  <c r="U79" i="9"/>
  <c r="H79" i="9"/>
  <c r="J79" i="9" s="1"/>
  <c r="U78" i="9"/>
  <c r="V78" i="9" s="1"/>
  <c r="H78" i="9"/>
  <c r="J78" i="9" s="1"/>
  <c r="H77" i="9"/>
  <c r="AE78" i="10" s="1"/>
  <c r="L76" i="9"/>
  <c r="U76" i="9" s="1"/>
  <c r="V76" i="9" s="1"/>
  <c r="H76" i="9"/>
  <c r="AE77" i="10" s="1"/>
  <c r="L75" i="9"/>
  <c r="U75" i="9" s="1"/>
  <c r="V75" i="9" s="1"/>
  <c r="H75" i="9"/>
  <c r="AG75" i="10" s="1"/>
  <c r="L74" i="9"/>
  <c r="U74" i="9" s="1"/>
  <c r="V74" i="9" s="1"/>
  <c r="H74" i="9"/>
  <c r="J74" i="9" s="1"/>
  <c r="B74" i="9"/>
  <c r="H73" i="9"/>
  <c r="AM75" i="10" s="1"/>
  <c r="H72" i="9"/>
  <c r="J72" i="9" s="1"/>
  <c r="U71" i="9"/>
  <c r="V71" i="9" s="1"/>
  <c r="M71" i="9"/>
  <c r="L71" i="9"/>
  <c r="H71" i="9"/>
  <c r="AF74" i="10" s="1"/>
  <c r="B71" i="9"/>
  <c r="H70" i="9"/>
  <c r="AE73" i="10" s="1"/>
  <c r="R69" i="9"/>
  <c r="L69" i="9"/>
  <c r="J69" i="9"/>
  <c r="H69" i="9"/>
  <c r="U68" i="9"/>
  <c r="V68" i="9" s="1"/>
  <c r="P68" i="9"/>
  <c r="R68" i="9" s="1"/>
  <c r="L68" i="9"/>
  <c r="H68" i="9"/>
  <c r="J68" i="9" s="1"/>
  <c r="U67" i="9"/>
  <c r="V67" i="9" s="1"/>
  <c r="P67" i="9"/>
  <c r="L67" i="9"/>
  <c r="H67" i="9"/>
  <c r="K80" i="9" s="1"/>
  <c r="N80" i="9" s="1"/>
  <c r="P66" i="9"/>
  <c r="R66" i="9" s="1"/>
  <c r="L66" i="9"/>
  <c r="H66" i="9"/>
  <c r="K81" i="9" s="1"/>
  <c r="P65" i="9"/>
  <c r="Q65" i="9" s="1"/>
  <c r="L65" i="9"/>
  <c r="H65" i="9"/>
  <c r="K79" i="9" s="1"/>
  <c r="N79" i="9" s="1"/>
  <c r="U64" i="9"/>
  <c r="V64" i="9" s="1"/>
  <c r="R64" i="9"/>
  <c r="P64" i="9"/>
  <c r="Q64" i="9" s="1"/>
  <c r="L64" i="9"/>
  <c r="H64" i="9"/>
  <c r="AE60" i="10" s="1"/>
  <c r="C64" i="9"/>
  <c r="U63" i="9"/>
  <c r="V63" i="9" s="1"/>
  <c r="R63" i="9"/>
  <c r="Q63" i="9"/>
  <c r="P63" i="9"/>
  <c r="L63" i="9"/>
  <c r="H63" i="9"/>
  <c r="R62" i="9"/>
  <c r="P62" i="9"/>
  <c r="Q62" i="9" s="1"/>
  <c r="L62" i="9"/>
  <c r="A9" i="10" s="1"/>
  <c r="H62" i="9"/>
  <c r="P61" i="9"/>
  <c r="Q61" i="9" s="1"/>
  <c r="L61" i="9"/>
  <c r="M60" i="9" s="1"/>
  <c r="U60" i="9" s="1"/>
  <c r="V60" i="9" s="1"/>
  <c r="H61" i="9"/>
  <c r="P60" i="9"/>
  <c r="L60" i="9"/>
  <c r="H60" i="9"/>
  <c r="R59" i="9"/>
  <c r="Q59" i="9"/>
  <c r="P59" i="9"/>
  <c r="L59" i="9"/>
  <c r="H59" i="9"/>
  <c r="L58" i="9"/>
  <c r="H58" i="9"/>
  <c r="L57" i="9"/>
  <c r="H57" i="9"/>
  <c r="AH7" i="10" s="1"/>
  <c r="L56" i="9"/>
  <c r="M56" i="9" s="1"/>
  <c r="U56" i="9" s="1"/>
  <c r="V56" i="9" s="1"/>
  <c r="H56" i="9"/>
  <c r="AH6" i="10" s="1"/>
  <c r="L55" i="9"/>
  <c r="U55" i="9" s="1"/>
  <c r="V55" i="9" s="1"/>
  <c r="H55" i="9"/>
  <c r="AH5" i="10" s="1"/>
  <c r="C42" i="6" s="1"/>
  <c r="M54" i="9"/>
  <c r="L54" i="9" s="1"/>
  <c r="U54" i="9" s="1"/>
  <c r="V54" i="9" s="1"/>
  <c r="H54" i="9"/>
  <c r="O28" i="9" s="1"/>
  <c r="Z28" i="9" s="1"/>
  <c r="L53" i="9"/>
  <c r="U53" i="9" s="1"/>
  <c r="V53" i="9" s="1"/>
  <c r="H53" i="9"/>
  <c r="O52" i="9"/>
  <c r="L52" i="9"/>
  <c r="U52" i="9" s="1"/>
  <c r="V52" i="9" s="1"/>
  <c r="H52" i="9"/>
  <c r="L51" i="9"/>
  <c r="U51" i="9" s="1"/>
  <c r="V51" i="9" s="1"/>
  <c r="H51" i="9"/>
  <c r="AO85" i="10" s="1"/>
  <c r="O50" i="9"/>
  <c r="N50" i="9"/>
  <c r="L50" i="9"/>
  <c r="U50" i="9" s="1"/>
  <c r="V50" i="9" s="1"/>
  <c r="H50" i="9"/>
  <c r="AO84" i="10" s="1"/>
  <c r="N49" i="9"/>
  <c r="H49" i="9"/>
  <c r="AN83" i="10" s="1"/>
  <c r="A49" i="9"/>
  <c r="N48" i="9"/>
  <c r="L48" i="9"/>
  <c r="L49" i="9" s="1"/>
  <c r="H48" i="9"/>
  <c r="A48" i="9"/>
  <c r="V47" i="9"/>
  <c r="U47" i="9"/>
  <c r="N47" i="9"/>
  <c r="L47" i="9"/>
  <c r="H47" i="9"/>
  <c r="AE87" i="10" s="1"/>
  <c r="B47" i="9"/>
  <c r="V84" i="10" s="1"/>
  <c r="A47" i="9"/>
  <c r="N46" i="9"/>
  <c r="L46" i="9"/>
  <c r="U46" i="9" s="1"/>
  <c r="V46" i="9" s="1"/>
  <c r="H46" i="9"/>
  <c r="A46" i="9"/>
  <c r="O45" i="9"/>
  <c r="N45" i="9"/>
  <c r="L45" i="9"/>
  <c r="U45" i="9" s="1"/>
  <c r="V45" i="9" s="1"/>
  <c r="H45" i="9"/>
  <c r="AF57" i="10" s="1"/>
  <c r="A45" i="9"/>
  <c r="U44" i="9"/>
  <c r="V44" i="9" s="1"/>
  <c r="O44" i="9"/>
  <c r="N44" i="9"/>
  <c r="L44" i="9"/>
  <c r="U49" i="9" s="1"/>
  <c r="V49" i="9" s="1"/>
  <c r="H44" i="9"/>
  <c r="B44" i="9"/>
  <c r="X71" i="10" s="1"/>
  <c r="A44" i="9"/>
  <c r="U43" i="9"/>
  <c r="V43" i="9" s="1"/>
  <c r="O43" i="9"/>
  <c r="N43" i="9"/>
  <c r="L43" i="9"/>
  <c r="H43" i="9"/>
  <c r="A43" i="9"/>
  <c r="A50" i="9" s="1"/>
  <c r="L73" i="9" s="1"/>
  <c r="U73" i="9" s="1"/>
  <c r="V73" i="9" s="1"/>
  <c r="N42" i="9"/>
  <c r="L42" i="9"/>
  <c r="U42" i="9" s="1"/>
  <c r="V42" i="9" s="1"/>
  <c r="H42" i="9"/>
  <c r="AE52" i="10" s="1"/>
  <c r="A42" i="9"/>
  <c r="S41" i="9"/>
  <c r="O41" i="9"/>
  <c r="N41" i="9"/>
  <c r="L41" i="9"/>
  <c r="U41" i="9" s="1"/>
  <c r="V41" i="9" s="1"/>
  <c r="H41" i="9"/>
  <c r="A41" i="9"/>
  <c r="H40" i="9"/>
  <c r="AF46" i="10" s="1"/>
  <c r="H39" i="9"/>
  <c r="AF45" i="10" s="1"/>
  <c r="H38" i="9"/>
  <c r="H37" i="9"/>
  <c r="H36" i="9"/>
  <c r="AF43" i="10" s="1"/>
  <c r="Y35" i="9"/>
  <c r="X35" i="9"/>
  <c r="W35" i="9"/>
  <c r="V35" i="9"/>
  <c r="H35" i="9"/>
  <c r="AE42" i="10" s="1"/>
  <c r="Y34" i="9"/>
  <c r="X34" i="9"/>
  <c r="W34" i="9"/>
  <c r="V34" i="9"/>
  <c r="H34" i="9"/>
  <c r="Z46" i="10" s="1"/>
  <c r="Y33" i="9"/>
  <c r="X33" i="9"/>
  <c r="W33" i="9"/>
  <c r="V33" i="9"/>
  <c r="H33" i="9"/>
  <c r="P44" i="10" s="1"/>
  <c r="Z32" i="9"/>
  <c r="Y32" i="9"/>
  <c r="X32" i="9"/>
  <c r="W32" i="9"/>
  <c r="V32" i="9"/>
  <c r="O32" i="9"/>
  <c r="H32" i="9"/>
  <c r="H49" i="10" s="1"/>
  <c r="Y31" i="9"/>
  <c r="X31" i="9"/>
  <c r="W31" i="9"/>
  <c r="V31" i="9"/>
  <c r="H31" i="9"/>
  <c r="N40" i="10" s="1"/>
  <c r="Y30" i="9"/>
  <c r="X30" i="9"/>
  <c r="W30" i="9"/>
  <c r="V30" i="9"/>
  <c r="H30" i="9"/>
  <c r="F40" i="10" s="1"/>
  <c r="C30" i="9"/>
  <c r="Y29" i="9"/>
  <c r="X29" i="9"/>
  <c r="W29" i="9"/>
  <c r="V29" i="9"/>
  <c r="H29" i="9"/>
  <c r="C29" i="9"/>
  <c r="Y28" i="9"/>
  <c r="X28" i="9"/>
  <c r="W28" i="9"/>
  <c r="V28" i="9"/>
  <c r="H28" i="9"/>
  <c r="C28" i="9"/>
  <c r="Y27" i="9"/>
  <c r="X27" i="9"/>
  <c r="W27" i="9"/>
  <c r="V27" i="9"/>
  <c r="H27" i="9"/>
  <c r="Y26" i="9"/>
  <c r="X26" i="9"/>
  <c r="W26" i="9"/>
  <c r="V26" i="9"/>
  <c r="H26" i="9"/>
  <c r="Y25" i="9"/>
  <c r="X25" i="9"/>
  <c r="W25" i="9"/>
  <c r="V25" i="9"/>
  <c r="H25" i="9"/>
  <c r="C25" i="9"/>
  <c r="Y24" i="9"/>
  <c r="X24" i="9"/>
  <c r="W24" i="9"/>
  <c r="V24" i="9"/>
  <c r="O24" i="9"/>
  <c r="Z24" i="9" s="1"/>
  <c r="H24" i="9"/>
  <c r="C24" i="9"/>
  <c r="Y23" i="9"/>
  <c r="X23" i="9"/>
  <c r="W23" i="9"/>
  <c r="V23" i="9"/>
  <c r="U23" i="9"/>
  <c r="H23" i="9"/>
  <c r="C23" i="9"/>
  <c r="Y22" i="9"/>
  <c r="X22" i="9"/>
  <c r="W22" i="9"/>
  <c r="V22" i="9"/>
  <c r="H22" i="9"/>
  <c r="AF39" i="10" s="1"/>
  <c r="C22" i="9"/>
  <c r="Y21" i="9"/>
  <c r="X21" i="9"/>
  <c r="W21" i="9"/>
  <c r="V21" i="9"/>
  <c r="H21" i="9"/>
  <c r="AO38" i="10" s="1"/>
  <c r="C21" i="9"/>
  <c r="Y20" i="9"/>
  <c r="X20" i="9"/>
  <c r="W20" i="9"/>
  <c r="V20" i="9"/>
  <c r="H20" i="9"/>
  <c r="AF38" i="10" s="1"/>
  <c r="C20" i="9"/>
  <c r="Y19" i="9"/>
  <c r="X19" i="9"/>
  <c r="W19" i="9"/>
  <c r="V19" i="9"/>
  <c r="AM53" i="10" s="1"/>
  <c r="H19" i="9"/>
  <c r="C19" i="9"/>
  <c r="Y18" i="9"/>
  <c r="X18" i="9"/>
  <c r="W18" i="9"/>
  <c r="V18" i="9"/>
  <c r="H18" i="9"/>
  <c r="AF36" i="10" s="1"/>
  <c r="C18" i="9"/>
  <c r="Y17" i="9"/>
  <c r="X17" i="9"/>
  <c r="W17" i="9"/>
  <c r="V17" i="9"/>
  <c r="H17" i="9"/>
  <c r="AF35" i="10" s="1"/>
  <c r="C17" i="9"/>
  <c r="Y16" i="9"/>
  <c r="X16" i="9"/>
  <c r="W16" i="9"/>
  <c r="V16" i="9"/>
  <c r="H16" i="9"/>
  <c r="C16" i="9"/>
  <c r="Y15" i="9"/>
  <c r="X15" i="9"/>
  <c r="W15" i="9"/>
  <c r="V15" i="9"/>
  <c r="H15" i="9"/>
  <c r="AF34" i="10" s="1"/>
  <c r="Y14" i="9"/>
  <c r="X14" i="9"/>
  <c r="W14" i="9"/>
  <c r="V14" i="9"/>
  <c r="H14" i="9"/>
  <c r="F34" i="10" s="1"/>
  <c r="Y13" i="9"/>
  <c r="X13" i="9"/>
  <c r="W13" i="9"/>
  <c r="V13" i="9"/>
  <c r="H13" i="9"/>
  <c r="F33" i="10" s="1"/>
  <c r="Z12" i="9"/>
  <c r="Y12" i="9"/>
  <c r="X12" i="9"/>
  <c r="W12" i="9"/>
  <c r="V12" i="9"/>
  <c r="O12" i="9"/>
  <c r="H12" i="9"/>
  <c r="Y11" i="9"/>
  <c r="X11" i="9"/>
  <c r="W11" i="9"/>
  <c r="V11" i="9"/>
  <c r="H11" i="9"/>
  <c r="AN6" i="10" s="1"/>
  <c r="Y10" i="9"/>
  <c r="X10" i="9"/>
  <c r="W10" i="9"/>
  <c r="V10" i="9"/>
  <c r="H10" i="9"/>
  <c r="AN5" i="10" s="1"/>
  <c r="Z9" i="9"/>
  <c r="Y9" i="9"/>
  <c r="X9" i="9"/>
  <c r="W9" i="9"/>
  <c r="V9" i="9"/>
  <c r="U9" i="9"/>
  <c r="H9" i="9"/>
  <c r="Z8" i="9"/>
  <c r="Y8" i="9"/>
  <c r="X8" i="9"/>
  <c r="W8" i="9"/>
  <c r="V8" i="9"/>
  <c r="H8" i="9"/>
  <c r="S7" i="10" s="1"/>
  <c r="Z7" i="9"/>
  <c r="Y7" i="9"/>
  <c r="X7" i="9"/>
  <c r="W7" i="9"/>
  <c r="V7" i="9"/>
  <c r="H7" i="9"/>
  <c r="S6" i="10" s="1"/>
  <c r="Y6" i="9"/>
  <c r="X6" i="9"/>
  <c r="W6" i="9"/>
  <c r="V6" i="9"/>
  <c r="H6" i="9"/>
  <c r="F7" i="10" s="1"/>
  <c r="Z5" i="9"/>
  <c r="Y5" i="9"/>
  <c r="X5" i="9"/>
  <c r="W5" i="9"/>
  <c r="V5" i="9"/>
  <c r="H5" i="9"/>
  <c r="F6" i="10" s="1"/>
  <c r="Z4" i="9"/>
  <c r="Y4" i="9"/>
  <c r="X4" i="9"/>
  <c r="W4" i="9"/>
  <c r="V4" i="9"/>
  <c r="H4" i="9"/>
  <c r="E5" i="10" s="1"/>
  <c r="Z3" i="9"/>
  <c r="Y3" i="9"/>
  <c r="X3" i="9"/>
  <c r="W3" i="9"/>
  <c r="V3" i="9"/>
  <c r="H3" i="9"/>
  <c r="H2" i="9"/>
  <c r="AX3" i="10" s="1"/>
  <c r="Y1" i="9"/>
  <c r="AO53" i="10" s="1"/>
  <c r="X1" i="9"/>
  <c r="AK53" i="10" s="1"/>
  <c r="W1" i="9"/>
  <c r="AH53" i="10" s="1"/>
  <c r="E116" i="8"/>
  <c r="O95" i="8"/>
  <c r="H95" i="8"/>
  <c r="AS86" i="8"/>
  <c r="AO86" i="8"/>
  <c r="O84" i="8"/>
  <c r="H84" i="8"/>
  <c r="AQ74" i="8"/>
  <c r="R71" i="8"/>
  <c r="L71" i="8"/>
  <c r="F71" i="8"/>
  <c r="AX43" i="8"/>
  <c r="AW42" i="8"/>
  <c r="AW41" i="8"/>
  <c r="AW40" i="8"/>
  <c r="O49" i="7" s="1"/>
  <c r="AW39" i="8"/>
  <c r="AW38" i="8"/>
  <c r="O47" i="7" s="1"/>
  <c r="AM38" i="8"/>
  <c r="M31" i="6" s="1"/>
  <c r="AW37" i="8"/>
  <c r="O46" i="7" s="1"/>
  <c r="AW36" i="8"/>
  <c r="AW35" i="8"/>
  <c r="AW34" i="8"/>
  <c r="AW33" i="8"/>
  <c r="AW30" i="8"/>
  <c r="A28" i="8"/>
  <c r="AP14" i="8"/>
  <c r="AL14" i="8"/>
  <c r="AH14" i="8"/>
  <c r="AD14" i="8"/>
  <c r="Z14" i="8"/>
  <c r="V14" i="8"/>
  <c r="R14" i="8"/>
  <c r="N14" i="8"/>
  <c r="J14" i="8"/>
  <c r="F14" i="8"/>
  <c r="AR13" i="8"/>
  <c r="AN13" i="8"/>
  <c r="AJ13" i="8"/>
  <c r="AF13" i="8"/>
  <c r="AB13" i="8"/>
  <c r="X13" i="8"/>
  <c r="T13" i="8"/>
  <c r="P13" i="8"/>
  <c r="L13" i="8"/>
  <c r="H13" i="8"/>
  <c r="E13" i="8"/>
  <c r="AR12" i="8"/>
  <c r="AN12" i="8"/>
  <c r="AJ12" i="8"/>
  <c r="AF12" i="8"/>
  <c r="AB12" i="8"/>
  <c r="X12" i="8"/>
  <c r="T12" i="8"/>
  <c r="P12" i="8"/>
  <c r="L12" i="8"/>
  <c r="H12" i="8"/>
  <c r="C11" i="8"/>
  <c r="AX9" i="8"/>
  <c r="AN7" i="8"/>
  <c r="BL5" i="8"/>
  <c r="BK5" i="8"/>
  <c r="BE9" i="8" s="1"/>
  <c r="BJ5" i="8"/>
  <c r="BF5" i="8"/>
  <c r="BG4" i="8"/>
  <c r="BE4" i="8"/>
  <c r="BB3" i="8"/>
  <c r="BB2" i="8"/>
  <c r="N24" i="6" s="1"/>
  <c r="H206" i="7"/>
  <c r="H205" i="7"/>
  <c r="H204" i="7"/>
  <c r="H203" i="7"/>
  <c r="H202" i="7"/>
  <c r="H201" i="7"/>
  <c r="H200" i="7"/>
  <c r="H199" i="7"/>
  <c r="H198" i="7"/>
  <c r="H197" i="7"/>
  <c r="H196" i="7"/>
  <c r="H195" i="7"/>
  <c r="AX10" i="8" s="1"/>
  <c r="H194" i="7"/>
  <c r="H193" i="7"/>
  <c r="AX7" i="8" s="1"/>
  <c r="H192" i="7"/>
  <c r="H191" i="7"/>
  <c r="H190" i="7"/>
  <c r="H189" i="7"/>
  <c r="H188" i="7"/>
  <c r="H187" i="7"/>
  <c r="H186" i="7"/>
  <c r="H185" i="7"/>
  <c r="H184" i="7"/>
  <c r="H183" i="7"/>
  <c r="BE3" i="8" s="1"/>
  <c r="H182" i="7"/>
  <c r="AW95" i="8" s="1"/>
  <c r="H181" i="7"/>
  <c r="AE96" i="8" s="1"/>
  <c r="H180" i="7"/>
  <c r="AQ76" i="8" s="1"/>
  <c r="H179" i="7"/>
  <c r="H178" i="7"/>
  <c r="J178" i="7" s="1"/>
  <c r="H177" i="7"/>
  <c r="J177" i="7" s="1"/>
  <c r="H176" i="7"/>
  <c r="AF47" i="8" s="1"/>
  <c r="H175" i="7"/>
  <c r="J175" i="7" s="1"/>
  <c r="J174" i="7"/>
  <c r="H174" i="7"/>
  <c r="H173" i="7"/>
  <c r="H172" i="7"/>
  <c r="H171" i="7"/>
  <c r="H170" i="7"/>
  <c r="H169" i="7"/>
  <c r="H168" i="7"/>
  <c r="H167" i="7"/>
  <c r="H166" i="7"/>
  <c r="H165" i="7"/>
  <c r="H164" i="7"/>
  <c r="H163" i="7"/>
  <c r="H162" i="7"/>
  <c r="H161" i="7"/>
  <c r="H160" i="7"/>
  <c r="H159" i="7"/>
  <c r="J134" i="7" s="1"/>
  <c r="H158" i="7"/>
  <c r="H157" i="7"/>
  <c r="AX22" i="8" s="1"/>
  <c r="H156" i="7"/>
  <c r="H155" i="7"/>
  <c r="H154" i="7"/>
  <c r="H153" i="7"/>
  <c r="J153" i="7" s="1"/>
  <c r="J152" i="7"/>
  <c r="H152" i="7"/>
  <c r="H151" i="7"/>
  <c r="J151" i="7" s="1"/>
  <c r="H150" i="7"/>
  <c r="AW46" i="8" s="1"/>
  <c r="H149" i="7"/>
  <c r="R114" i="8" s="1"/>
  <c r="H148" i="7"/>
  <c r="H147" i="7"/>
  <c r="J147" i="7" s="1"/>
  <c r="H146" i="7"/>
  <c r="J146" i="7" s="1"/>
  <c r="H145" i="7"/>
  <c r="J144" i="7"/>
  <c r="H144" i="7"/>
  <c r="H143" i="7"/>
  <c r="J143" i="7" s="1"/>
  <c r="H142" i="7"/>
  <c r="E110" i="8" s="1"/>
  <c r="H141" i="7"/>
  <c r="E108" i="8" s="1"/>
  <c r="H140" i="7"/>
  <c r="E106" i="8" s="1"/>
  <c r="H139" i="7"/>
  <c r="E104" i="8" s="1"/>
  <c r="M138" i="7"/>
  <c r="H138" i="7"/>
  <c r="E102" i="8" s="1"/>
  <c r="M137" i="7"/>
  <c r="H137" i="7"/>
  <c r="M136" i="7"/>
  <c r="H136" i="7"/>
  <c r="J136" i="7" s="1"/>
  <c r="M135" i="7"/>
  <c r="H135" i="7"/>
  <c r="J135" i="7" s="1"/>
  <c r="M134" i="7"/>
  <c r="H134" i="7"/>
  <c r="AE32" i="8" s="1"/>
  <c r="M133" i="7"/>
  <c r="I133" i="7"/>
  <c r="H133" i="7"/>
  <c r="M132" i="7"/>
  <c r="H132" i="7"/>
  <c r="M131" i="7"/>
  <c r="H131" i="7"/>
  <c r="AX14" i="8" s="1"/>
  <c r="C30" i="6" s="1"/>
  <c r="M130" i="7"/>
  <c r="H130" i="7"/>
  <c r="S5" i="8" s="1"/>
  <c r="M129" i="7"/>
  <c r="H129" i="7"/>
  <c r="M128" i="7"/>
  <c r="H128" i="7"/>
  <c r="M127" i="7"/>
  <c r="H127" i="7"/>
  <c r="M126" i="7"/>
  <c r="H126" i="7"/>
  <c r="M125" i="7"/>
  <c r="H125" i="7"/>
  <c r="M124" i="7"/>
  <c r="H124" i="7"/>
  <c r="F20" i="8" s="1"/>
  <c r="M123" i="7"/>
  <c r="H123" i="7"/>
  <c r="B78" i="7" s="1"/>
  <c r="M122" i="7"/>
  <c r="H122" i="7"/>
  <c r="B77" i="7" s="1"/>
  <c r="M121" i="7"/>
  <c r="H121" i="7"/>
  <c r="B75" i="7" s="1"/>
  <c r="M120" i="7"/>
  <c r="H120" i="7"/>
  <c r="B74" i="7" s="1"/>
  <c r="M119" i="7"/>
  <c r="H119" i="7"/>
  <c r="M118" i="7"/>
  <c r="H118" i="7"/>
  <c r="M117" i="7"/>
  <c r="H117" i="7"/>
  <c r="M116" i="7"/>
  <c r="H116" i="7"/>
  <c r="V95" i="8" s="1"/>
  <c r="M115" i="7"/>
  <c r="H115" i="7"/>
  <c r="B72" i="7" s="1"/>
  <c r="M114" i="7"/>
  <c r="H114" i="7"/>
  <c r="B71" i="7" s="1"/>
  <c r="M113" i="7"/>
  <c r="H113" i="7"/>
  <c r="B69" i="7" s="1"/>
  <c r="M112" i="7"/>
  <c r="H112" i="7"/>
  <c r="B68" i="7" s="1"/>
  <c r="M111" i="7"/>
  <c r="H111" i="7"/>
  <c r="L60" i="8" s="1"/>
  <c r="M110" i="7"/>
  <c r="H110" i="7"/>
  <c r="F60" i="8" s="1"/>
  <c r="M109" i="7"/>
  <c r="H109" i="7"/>
  <c r="M108" i="7"/>
  <c r="H108" i="7"/>
  <c r="M107" i="7"/>
  <c r="H107" i="7"/>
  <c r="M106" i="7"/>
  <c r="H106" i="7"/>
  <c r="M105" i="7"/>
  <c r="H105" i="7"/>
  <c r="M104" i="7"/>
  <c r="H104" i="7"/>
  <c r="M103" i="7"/>
  <c r="M102" i="7"/>
  <c r="H102" i="7"/>
  <c r="AE90" i="8" s="1"/>
  <c r="M101" i="7"/>
  <c r="H101" i="7"/>
  <c r="M100" i="7"/>
  <c r="H100" i="7"/>
  <c r="M99" i="7"/>
  <c r="H99" i="7"/>
  <c r="M98" i="7"/>
  <c r="H98" i="7"/>
  <c r="M97" i="7"/>
  <c r="H97" i="7"/>
  <c r="M96" i="7"/>
  <c r="H96" i="7"/>
  <c r="J96" i="7" s="1"/>
  <c r="M95" i="7"/>
  <c r="H95" i="7"/>
  <c r="U69" i="7" s="1"/>
  <c r="M94" i="7"/>
  <c r="H94" i="7"/>
  <c r="M93" i="7"/>
  <c r="H93" i="7"/>
  <c r="J93" i="7" s="1"/>
  <c r="C93" i="7"/>
  <c r="M92" i="7"/>
  <c r="H92" i="7"/>
  <c r="J92" i="7" s="1"/>
  <c r="C92" i="7"/>
  <c r="M91" i="7"/>
  <c r="H91" i="7"/>
  <c r="AF48" i="8" s="1"/>
  <c r="C91" i="7"/>
  <c r="M90" i="7"/>
  <c r="H90" i="7"/>
  <c r="AE88" i="8" s="1"/>
  <c r="C90" i="7"/>
  <c r="M89" i="7"/>
  <c r="H89" i="7"/>
  <c r="J89" i="7" s="1"/>
  <c r="C89" i="7"/>
  <c r="M88" i="7"/>
  <c r="H88" i="7"/>
  <c r="J88" i="7" s="1"/>
  <c r="C88" i="7"/>
  <c r="M87" i="7"/>
  <c r="H87" i="7"/>
  <c r="AE83" i="8" s="1"/>
  <c r="H86" i="7"/>
  <c r="J86" i="7" s="1"/>
  <c r="H85" i="7"/>
  <c r="J85" i="7" s="1"/>
  <c r="H84" i="7"/>
  <c r="AE80" i="8" s="1"/>
  <c r="H83" i="7"/>
  <c r="K82" i="7"/>
  <c r="J82" i="7"/>
  <c r="H82" i="7"/>
  <c r="H81" i="7"/>
  <c r="J81" i="7" s="1"/>
  <c r="B81" i="7"/>
  <c r="J80" i="7"/>
  <c r="H80" i="7"/>
  <c r="U79" i="7"/>
  <c r="V79" i="7" s="1"/>
  <c r="H79" i="7"/>
  <c r="J79" i="7" s="1"/>
  <c r="U78" i="7"/>
  <c r="V78" i="7" s="1"/>
  <c r="W78" i="7" s="1"/>
  <c r="H78" i="7"/>
  <c r="J78" i="7" s="1"/>
  <c r="L77" i="7"/>
  <c r="U77" i="7" s="1"/>
  <c r="V77" i="7" s="1"/>
  <c r="J77" i="7"/>
  <c r="H77" i="7"/>
  <c r="AE78" i="8" s="1"/>
  <c r="L76" i="7"/>
  <c r="U76" i="7" s="1"/>
  <c r="V76" i="7" s="1"/>
  <c r="H76" i="7"/>
  <c r="AE77" i="8" s="1"/>
  <c r="L75" i="7"/>
  <c r="U75" i="7" s="1"/>
  <c r="V75" i="7" s="1"/>
  <c r="H75" i="7"/>
  <c r="AG75" i="8" s="1"/>
  <c r="L74" i="7"/>
  <c r="U74" i="7" s="1"/>
  <c r="V74" i="7" s="1"/>
  <c r="J74" i="7"/>
  <c r="H74" i="7"/>
  <c r="AM76" i="8" s="1"/>
  <c r="H73" i="7"/>
  <c r="H72" i="7"/>
  <c r="J72" i="7" s="1"/>
  <c r="L71" i="7"/>
  <c r="M71" i="7" s="1"/>
  <c r="U71" i="7" s="1"/>
  <c r="V71" i="7" s="1"/>
  <c r="H71" i="7"/>
  <c r="AF74" i="8" s="1"/>
  <c r="H70" i="7"/>
  <c r="AE73" i="8" s="1"/>
  <c r="V69" i="7"/>
  <c r="R69" i="7"/>
  <c r="U67" i="7" s="1"/>
  <c r="V67" i="7" s="1"/>
  <c r="L69" i="7"/>
  <c r="H69" i="7"/>
  <c r="J69" i="7" s="1"/>
  <c r="V68" i="7"/>
  <c r="W68" i="7" s="1"/>
  <c r="U68" i="7"/>
  <c r="P68" i="7"/>
  <c r="R68" i="7" s="1"/>
  <c r="L68" i="7"/>
  <c r="H68" i="7"/>
  <c r="J68" i="7" s="1"/>
  <c r="R67" i="7"/>
  <c r="Q67" i="7"/>
  <c r="P67" i="7"/>
  <c r="L67" i="7"/>
  <c r="H67" i="7"/>
  <c r="K80" i="7" s="1"/>
  <c r="N80" i="7" s="1"/>
  <c r="P66" i="7"/>
  <c r="R66" i="7" s="1"/>
  <c r="L66" i="7"/>
  <c r="M66" i="7" s="1"/>
  <c r="U66" i="7" s="1"/>
  <c r="V66" i="7" s="1"/>
  <c r="H66" i="7"/>
  <c r="K81" i="7" s="1"/>
  <c r="P65" i="7"/>
  <c r="Q65" i="7" s="1"/>
  <c r="L65" i="7"/>
  <c r="H65" i="7"/>
  <c r="K79" i="7" s="1"/>
  <c r="N79" i="7" s="1"/>
  <c r="U64" i="7"/>
  <c r="V64" i="7" s="1"/>
  <c r="Q64" i="7"/>
  <c r="P64" i="7"/>
  <c r="R64" i="7" s="1"/>
  <c r="L64" i="7"/>
  <c r="H64" i="7"/>
  <c r="AE60" i="8" s="1"/>
  <c r="C64" i="7"/>
  <c r="U63" i="7"/>
  <c r="V63" i="7" s="1"/>
  <c r="P63" i="7"/>
  <c r="R63" i="7" s="1"/>
  <c r="L63" i="7"/>
  <c r="H63" i="7"/>
  <c r="P62" i="7"/>
  <c r="R62" i="7" s="1"/>
  <c r="L62" i="7"/>
  <c r="A9" i="8" s="1"/>
  <c r="H62" i="7"/>
  <c r="P61" i="7"/>
  <c r="Q61" i="7" s="1"/>
  <c r="L61" i="7"/>
  <c r="H61" i="7"/>
  <c r="P60" i="7"/>
  <c r="R60" i="7" s="1"/>
  <c r="L60" i="7"/>
  <c r="H60" i="7"/>
  <c r="Q59" i="7"/>
  <c r="P59" i="7"/>
  <c r="R59" i="7" s="1"/>
  <c r="L59" i="7"/>
  <c r="H59" i="7"/>
  <c r="L58" i="7"/>
  <c r="H58" i="7"/>
  <c r="L57" i="7"/>
  <c r="H57" i="7"/>
  <c r="AH7" i="8" s="1"/>
  <c r="L56" i="7"/>
  <c r="M56" i="7" s="1"/>
  <c r="U56" i="7" s="1"/>
  <c r="V56" i="7" s="1"/>
  <c r="H56" i="7"/>
  <c r="AH6" i="8" s="1"/>
  <c r="C28" i="6" s="1"/>
  <c r="L55" i="7"/>
  <c r="U55" i="7" s="1"/>
  <c r="V55" i="7" s="1"/>
  <c r="H55" i="7"/>
  <c r="AH5" i="8" s="1"/>
  <c r="C26" i="6" s="1"/>
  <c r="V54" i="7"/>
  <c r="M54" i="7"/>
  <c r="L54" i="7"/>
  <c r="U54" i="7" s="1"/>
  <c r="H54" i="7"/>
  <c r="U34" i="7" s="1"/>
  <c r="L53" i="7"/>
  <c r="U53" i="7" s="1"/>
  <c r="V53" i="7" s="1"/>
  <c r="H53" i="7"/>
  <c r="O52" i="7"/>
  <c r="L52" i="7"/>
  <c r="U52" i="7" s="1"/>
  <c r="V52" i="7" s="1"/>
  <c r="H52" i="7"/>
  <c r="AE79" i="8" s="1"/>
  <c r="L51" i="7"/>
  <c r="U51" i="7" s="1"/>
  <c r="V51" i="7" s="1"/>
  <c r="H51" i="7"/>
  <c r="AO85" i="8" s="1"/>
  <c r="O50" i="7"/>
  <c r="N50" i="7"/>
  <c r="L50" i="7"/>
  <c r="U50" i="7" s="1"/>
  <c r="V50" i="7" s="1"/>
  <c r="H50" i="7"/>
  <c r="AO84" i="8" s="1"/>
  <c r="U49" i="7"/>
  <c r="V49" i="7" s="1"/>
  <c r="N49" i="7"/>
  <c r="H49" i="7"/>
  <c r="AN83" i="8" s="1"/>
  <c r="A49" i="7"/>
  <c r="O48" i="7"/>
  <c r="N48" i="7"/>
  <c r="L48" i="7"/>
  <c r="L49" i="7" s="1"/>
  <c r="H48" i="7"/>
  <c r="A48" i="7"/>
  <c r="N47" i="7"/>
  <c r="L47" i="7"/>
  <c r="U47" i="7" s="1"/>
  <c r="V47" i="7" s="1"/>
  <c r="H47" i="7"/>
  <c r="AE87" i="8" s="1"/>
  <c r="B47" i="7"/>
  <c r="V84" i="8" s="1"/>
  <c r="A47" i="7"/>
  <c r="N46" i="7"/>
  <c r="L46" i="7"/>
  <c r="U46" i="7" s="1"/>
  <c r="V46" i="7" s="1"/>
  <c r="H46" i="7"/>
  <c r="A46" i="7"/>
  <c r="O45" i="7"/>
  <c r="N45" i="7"/>
  <c r="L45" i="7"/>
  <c r="U45" i="7" s="1"/>
  <c r="V45" i="7" s="1"/>
  <c r="H45" i="7"/>
  <c r="AF57" i="8" s="1"/>
  <c r="A45" i="7"/>
  <c r="U44" i="7"/>
  <c r="V44" i="7" s="1"/>
  <c r="O44" i="7"/>
  <c r="N44" i="7"/>
  <c r="L44" i="7"/>
  <c r="H44" i="7"/>
  <c r="B44" i="7"/>
  <c r="X71" i="8" s="1"/>
  <c r="A44" i="7"/>
  <c r="O43" i="7"/>
  <c r="N43" i="7"/>
  <c r="L43" i="7"/>
  <c r="U43" i="7" s="1"/>
  <c r="V43" i="7" s="1"/>
  <c r="H43" i="7"/>
  <c r="A43" i="7"/>
  <c r="V42" i="7"/>
  <c r="O42" i="7"/>
  <c r="N42" i="7"/>
  <c r="L42" i="7"/>
  <c r="U42" i="7" s="1"/>
  <c r="H42" i="7"/>
  <c r="AE52" i="8" s="1"/>
  <c r="A42" i="7"/>
  <c r="S41" i="7"/>
  <c r="O41" i="7"/>
  <c r="N41" i="7"/>
  <c r="L41" i="7"/>
  <c r="U41" i="7" s="1"/>
  <c r="V41" i="7" s="1"/>
  <c r="H41" i="7"/>
  <c r="A41" i="7"/>
  <c r="H40" i="7"/>
  <c r="AF46" i="8" s="1"/>
  <c r="H39" i="7"/>
  <c r="AF45" i="8" s="1"/>
  <c r="H38" i="7"/>
  <c r="H37" i="7"/>
  <c r="H36" i="7"/>
  <c r="AF43" i="8" s="1"/>
  <c r="Y35" i="7"/>
  <c r="X35" i="7"/>
  <c r="W35" i="7"/>
  <c r="V35" i="7"/>
  <c r="H35" i="7"/>
  <c r="AE42" i="8" s="1"/>
  <c r="Y34" i="7"/>
  <c r="X34" i="7"/>
  <c r="W34" i="7"/>
  <c r="V34" i="7"/>
  <c r="H34" i="7"/>
  <c r="Z46" i="8" s="1"/>
  <c r="Y33" i="7"/>
  <c r="X33" i="7"/>
  <c r="W33" i="7"/>
  <c r="V33" i="7"/>
  <c r="H33" i="7"/>
  <c r="P44" i="8" s="1"/>
  <c r="Y32" i="7"/>
  <c r="X32" i="7"/>
  <c r="W32" i="7"/>
  <c r="V32" i="7"/>
  <c r="H32" i="7"/>
  <c r="H49" i="8" s="1"/>
  <c r="Y31" i="7"/>
  <c r="X31" i="7"/>
  <c r="W31" i="7"/>
  <c r="V31" i="7"/>
  <c r="H31" i="7"/>
  <c r="N40" i="8" s="1"/>
  <c r="Y30" i="7"/>
  <c r="X30" i="7"/>
  <c r="W30" i="7"/>
  <c r="V30" i="7"/>
  <c r="O30" i="7"/>
  <c r="Z30" i="7" s="1"/>
  <c r="H30" i="7"/>
  <c r="F40" i="8" s="1"/>
  <c r="C30" i="7"/>
  <c r="Y29" i="7"/>
  <c r="X29" i="7"/>
  <c r="W29" i="7"/>
  <c r="V29" i="7"/>
  <c r="H29" i="7"/>
  <c r="C29" i="7"/>
  <c r="Y28" i="7"/>
  <c r="X28" i="7"/>
  <c r="W28" i="7"/>
  <c r="V28" i="7"/>
  <c r="H28" i="7"/>
  <c r="C28" i="7"/>
  <c r="Y27" i="7"/>
  <c r="X27" i="7"/>
  <c r="W27" i="7"/>
  <c r="V27" i="7"/>
  <c r="H27" i="7"/>
  <c r="Y26" i="7"/>
  <c r="X26" i="7"/>
  <c r="W26" i="7"/>
  <c r="V26" i="7"/>
  <c r="H26" i="7"/>
  <c r="Y25" i="7"/>
  <c r="X25" i="7"/>
  <c r="W25" i="7"/>
  <c r="V25" i="7"/>
  <c r="H25" i="7"/>
  <c r="AF37" i="8" s="1"/>
  <c r="C25" i="7"/>
  <c r="Y24" i="7"/>
  <c r="X24" i="7"/>
  <c r="W24" i="7"/>
  <c r="V24" i="7"/>
  <c r="H24" i="7"/>
  <c r="C24" i="7"/>
  <c r="Y23" i="7"/>
  <c r="X23" i="7"/>
  <c r="W23" i="7"/>
  <c r="V23" i="7"/>
  <c r="H23" i="7"/>
  <c r="C23" i="7"/>
  <c r="Y22" i="7"/>
  <c r="X22" i="7"/>
  <c r="W22" i="7"/>
  <c r="V22" i="7"/>
  <c r="H22" i="7"/>
  <c r="AF39" i="8" s="1"/>
  <c r="C22" i="7"/>
  <c r="Y21" i="7"/>
  <c r="X21" i="7"/>
  <c r="W21" i="7"/>
  <c r="V21" i="7"/>
  <c r="H21" i="7"/>
  <c r="AO38" i="8" s="1"/>
  <c r="C21" i="7"/>
  <c r="Y20" i="7"/>
  <c r="X20" i="7"/>
  <c r="W20" i="7"/>
  <c r="V20" i="7"/>
  <c r="H20" i="7"/>
  <c r="AF38" i="8" s="1"/>
  <c r="C20" i="7"/>
  <c r="Y19" i="7"/>
  <c r="X19" i="7"/>
  <c r="W19" i="7"/>
  <c r="V19" i="7"/>
  <c r="H19" i="7"/>
  <c r="C19" i="7"/>
  <c r="Y18" i="7"/>
  <c r="X18" i="7"/>
  <c r="W18" i="7"/>
  <c r="V18" i="7"/>
  <c r="H18" i="7"/>
  <c r="AF36" i="8" s="1"/>
  <c r="C18" i="7"/>
  <c r="Y17" i="7"/>
  <c r="X17" i="7"/>
  <c r="W17" i="7"/>
  <c r="V17" i="7"/>
  <c r="H17" i="7"/>
  <c r="AF35" i="8" s="1"/>
  <c r="C17" i="7"/>
  <c r="Y16" i="7"/>
  <c r="X16" i="7"/>
  <c r="W16" i="7"/>
  <c r="V16" i="7"/>
  <c r="O16" i="7"/>
  <c r="Z16" i="7" s="1"/>
  <c r="H16" i="7"/>
  <c r="C16" i="7"/>
  <c r="Y15" i="7"/>
  <c r="X15" i="7"/>
  <c r="W15" i="7"/>
  <c r="V15" i="7"/>
  <c r="H15" i="7"/>
  <c r="AF34" i="8" s="1"/>
  <c r="Y14" i="7"/>
  <c r="X14" i="7"/>
  <c r="W14" i="7"/>
  <c r="V14" i="7"/>
  <c r="H14" i="7"/>
  <c r="F34" i="8" s="1"/>
  <c r="Y13" i="7"/>
  <c r="X13" i="7"/>
  <c r="W13" i="7"/>
  <c r="V13" i="7"/>
  <c r="H13" i="7"/>
  <c r="F33" i="8" s="1"/>
  <c r="Y12" i="7"/>
  <c r="X12" i="7"/>
  <c r="W12" i="7"/>
  <c r="V12" i="7"/>
  <c r="O12" i="7"/>
  <c r="Z12" i="7" s="1"/>
  <c r="H12" i="7"/>
  <c r="Y11" i="7"/>
  <c r="X11" i="7"/>
  <c r="W11" i="7"/>
  <c r="V11" i="7"/>
  <c r="H11" i="7"/>
  <c r="AN6" i="8" s="1"/>
  <c r="Y10" i="7"/>
  <c r="X10" i="7"/>
  <c r="W10" i="7"/>
  <c r="V10" i="7"/>
  <c r="H10" i="7"/>
  <c r="AN5" i="8" s="1"/>
  <c r="Z9" i="7"/>
  <c r="Y9" i="7"/>
  <c r="X9" i="7"/>
  <c r="W9" i="7"/>
  <c r="V9" i="7"/>
  <c r="H9" i="7"/>
  <c r="Z8" i="7"/>
  <c r="Y8" i="7"/>
  <c r="X8" i="7"/>
  <c r="W8" i="7"/>
  <c r="V8" i="7"/>
  <c r="H8" i="7"/>
  <c r="S7" i="8" s="1"/>
  <c r="Z7" i="7"/>
  <c r="Y7" i="7"/>
  <c r="X7" i="7"/>
  <c r="W7" i="7"/>
  <c r="V7" i="7"/>
  <c r="H7" i="7"/>
  <c r="S6" i="8" s="1"/>
  <c r="Y6" i="7"/>
  <c r="X6" i="7"/>
  <c r="W6" i="7"/>
  <c r="V6" i="7"/>
  <c r="H6" i="7"/>
  <c r="F7" i="8" s="1"/>
  <c r="Z5" i="7"/>
  <c r="Y5" i="7"/>
  <c r="X5" i="7"/>
  <c r="W5" i="7"/>
  <c r="V5" i="7"/>
  <c r="H5" i="7"/>
  <c r="F6" i="8" s="1"/>
  <c r="Z4" i="7"/>
  <c r="Y4" i="7"/>
  <c r="X4" i="7"/>
  <c r="W4" i="7"/>
  <c r="V4" i="7"/>
  <c r="H4" i="7"/>
  <c r="E5" i="8" s="1"/>
  <c r="Z3" i="7"/>
  <c r="Y3" i="7"/>
  <c r="X3" i="7"/>
  <c r="W3" i="7"/>
  <c r="V3" i="7"/>
  <c r="H3" i="7"/>
  <c r="H2" i="7"/>
  <c r="AX3" i="8" s="1"/>
  <c r="Y1" i="7"/>
  <c r="AO53" i="8" s="1"/>
  <c r="X1" i="7"/>
  <c r="AK53" i="8" s="1"/>
  <c r="W1" i="7"/>
  <c r="AH53" i="8" s="1"/>
  <c r="R67" i="9" l="1"/>
  <c r="Q67" i="9"/>
  <c r="R63" i="11"/>
  <c r="Q63" i="11"/>
  <c r="R66" i="13"/>
  <c r="Q66" i="13"/>
  <c r="A50" i="7"/>
  <c r="L73" i="7" s="1"/>
  <c r="U73" i="7" s="1"/>
  <c r="V73" i="7" s="1"/>
  <c r="Q60" i="7"/>
  <c r="Q63" i="7"/>
  <c r="R112" i="8"/>
  <c r="O6" i="9"/>
  <c r="Z6" i="9" s="1"/>
  <c r="O11" i="9"/>
  <c r="Z11" i="9" s="1"/>
  <c r="O16" i="9"/>
  <c r="Z16" i="9" s="1"/>
  <c r="O29" i="9"/>
  <c r="Z29" i="9" s="1"/>
  <c r="U58" i="9"/>
  <c r="V58" i="9" s="1"/>
  <c r="R65" i="9"/>
  <c r="Q66" i="9"/>
  <c r="W78" i="9"/>
  <c r="J80" i="9"/>
  <c r="J77" i="9"/>
  <c r="J88" i="9"/>
  <c r="U69" i="9"/>
  <c r="V69" i="9" s="1"/>
  <c r="J95" i="9"/>
  <c r="M97" i="9"/>
  <c r="M106" i="9"/>
  <c r="M114" i="9"/>
  <c r="M122" i="9"/>
  <c r="M130" i="9"/>
  <c r="M136" i="9"/>
  <c r="R112" i="10"/>
  <c r="AM76" i="10"/>
  <c r="O12" i="11"/>
  <c r="Z12" i="11" s="1"/>
  <c r="AP53" i="12"/>
  <c r="Q65" i="13"/>
  <c r="R65" i="13"/>
  <c r="R68" i="13"/>
  <c r="Q68" i="13"/>
  <c r="J80" i="13"/>
  <c r="J77" i="13"/>
  <c r="K74" i="6"/>
  <c r="U58" i="7"/>
  <c r="V58" i="7" s="1"/>
  <c r="AE32" i="10"/>
  <c r="K42" i="6"/>
  <c r="U58" i="11"/>
  <c r="V58" i="11" s="1"/>
  <c r="O15" i="7"/>
  <c r="Z15" i="7" s="1"/>
  <c r="O29" i="7"/>
  <c r="Z29" i="7" s="1"/>
  <c r="O33" i="7"/>
  <c r="Z33" i="7" s="1"/>
  <c r="O13" i="7"/>
  <c r="Z13" i="7" s="1"/>
  <c r="R61" i="7"/>
  <c r="R65" i="7"/>
  <c r="Q66" i="7"/>
  <c r="Q68" i="7"/>
  <c r="O10" i="9"/>
  <c r="Z10" i="9" s="1"/>
  <c r="O13" i="9"/>
  <c r="Z13" i="9" s="1"/>
  <c r="O15" i="9"/>
  <c r="Z15" i="9" s="1"/>
  <c r="R60" i="9"/>
  <c r="Q60" i="9"/>
  <c r="W68" i="9"/>
  <c r="M91" i="9"/>
  <c r="M104" i="9"/>
  <c r="M112" i="9"/>
  <c r="M120" i="9"/>
  <c r="Q64" i="11"/>
  <c r="Q63" i="13"/>
  <c r="J88" i="13"/>
  <c r="K26" i="6"/>
  <c r="O42" i="9"/>
  <c r="P51" i="9"/>
  <c r="O51" i="9" s="1"/>
  <c r="U70" i="9" s="1"/>
  <c r="V70" i="9" s="1"/>
  <c r="O32" i="11"/>
  <c r="Z32" i="11" s="1"/>
  <c r="O6" i="11"/>
  <c r="Z6" i="11" s="1"/>
  <c r="AP53" i="8"/>
  <c r="O32" i="7"/>
  <c r="Z32" i="7" s="1"/>
  <c r="O33" i="9"/>
  <c r="Z33" i="9" s="1"/>
  <c r="O30" i="9"/>
  <c r="Z30" i="9" s="1"/>
  <c r="O25" i="9"/>
  <c r="Z25" i="9" s="1"/>
  <c r="U34" i="9"/>
  <c r="O31" i="9"/>
  <c r="Z31" i="9" s="1"/>
  <c r="O27" i="9"/>
  <c r="Z27" i="9" s="1"/>
  <c r="M134" i="9"/>
  <c r="M131" i="9"/>
  <c r="M129" i="9"/>
  <c r="M127" i="9"/>
  <c r="M125" i="9"/>
  <c r="M123" i="9"/>
  <c r="M121" i="9"/>
  <c r="M119" i="9"/>
  <c r="M117" i="9"/>
  <c r="M115" i="9"/>
  <c r="M113" i="9"/>
  <c r="M111" i="9"/>
  <c r="M109" i="9"/>
  <c r="M107" i="9"/>
  <c r="M105" i="9"/>
  <c r="M103" i="9"/>
  <c r="M95" i="9"/>
  <c r="M92" i="9"/>
  <c r="M137" i="9"/>
  <c r="M135" i="9"/>
  <c r="M102" i="9"/>
  <c r="M100" i="9"/>
  <c r="M98" i="9"/>
  <c r="M96" i="9"/>
  <c r="M93" i="9"/>
  <c r="M89" i="9"/>
  <c r="M88" i="9"/>
  <c r="M87" i="9"/>
  <c r="R60" i="11"/>
  <c r="Q60" i="11"/>
  <c r="BE9" i="12"/>
  <c r="Q61" i="13"/>
  <c r="R61" i="13"/>
  <c r="M66" i="13"/>
  <c r="U66" i="13" s="1"/>
  <c r="V66" i="13" s="1"/>
  <c r="W68" i="13"/>
  <c r="F21" i="10"/>
  <c r="W78" i="13"/>
  <c r="K58" i="6"/>
  <c r="M62" i="9"/>
  <c r="U62" i="9" s="1"/>
  <c r="V62" i="9" s="1"/>
  <c r="R61" i="9"/>
  <c r="M66" i="9"/>
  <c r="U66" i="9" s="1"/>
  <c r="V66" i="9" s="1"/>
  <c r="R61" i="11"/>
  <c r="R65" i="11"/>
  <c r="Q66" i="11"/>
  <c r="Q68" i="11"/>
  <c r="AQ75" i="12"/>
  <c r="M56" i="13"/>
  <c r="U56" i="13" s="1"/>
  <c r="V56" i="13" s="1"/>
  <c r="M49" i="13"/>
  <c r="U48" i="13" s="1"/>
  <c r="V48" i="13" s="1"/>
  <c r="M48" i="13"/>
  <c r="AM53" i="14"/>
  <c r="O35" i="13"/>
  <c r="Z35" i="13" s="1"/>
  <c r="O34" i="13"/>
  <c r="Z34" i="13" s="1"/>
  <c r="U30" i="13"/>
  <c r="O26" i="13"/>
  <c r="Z26" i="13" s="1"/>
  <c r="O23" i="13"/>
  <c r="Z23" i="13" s="1"/>
  <c r="O22" i="13"/>
  <c r="Z22" i="13" s="1"/>
  <c r="O21" i="13"/>
  <c r="Z21" i="13" s="1"/>
  <c r="O20" i="13"/>
  <c r="Z20" i="13" s="1"/>
  <c r="O19" i="13"/>
  <c r="Z19" i="13" s="1"/>
  <c r="O18" i="13"/>
  <c r="Z18" i="13" s="1"/>
  <c r="O17" i="13"/>
  <c r="Z17" i="13" s="1"/>
  <c r="U16" i="13"/>
  <c r="O14" i="13"/>
  <c r="Z14" i="13" s="1"/>
  <c r="O10" i="13"/>
  <c r="Z10" i="13" s="1"/>
  <c r="J72" i="13"/>
  <c r="J95" i="13"/>
  <c r="AP53" i="14"/>
  <c r="C84" i="13"/>
  <c r="C83" i="13"/>
  <c r="C82" i="13"/>
  <c r="A50" i="13"/>
  <c r="L73" i="13" s="1"/>
  <c r="U73" i="13" s="1"/>
  <c r="V73" i="13" s="1"/>
  <c r="U70" i="13"/>
  <c r="V70" i="13" s="1"/>
  <c r="L70" i="13"/>
  <c r="Q62" i="13"/>
  <c r="C95" i="13"/>
  <c r="L72" i="13" s="1"/>
  <c r="U72" i="13" s="1"/>
  <c r="V72" i="13" s="1"/>
  <c r="AH54" i="14"/>
  <c r="AQ74" i="14"/>
  <c r="M62" i="13"/>
  <c r="U62" i="13" s="1"/>
  <c r="V62" i="13" s="1"/>
  <c r="M59" i="13"/>
  <c r="U59" i="13" s="1"/>
  <c r="V59" i="13" s="1"/>
  <c r="M60" i="13"/>
  <c r="U60" i="13" s="1"/>
  <c r="V60" i="13" s="1"/>
  <c r="AM75" i="14"/>
  <c r="J73" i="13"/>
  <c r="F21" i="14"/>
  <c r="AW43" i="14"/>
  <c r="AY43" i="14" s="1"/>
  <c r="O42" i="13"/>
  <c r="AI53" i="14"/>
  <c r="AQ75" i="14"/>
  <c r="M49" i="11"/>
  <c r="U48" i="11" s="1"/>
  <c r="V48" i="11" s="1"/>
  <c r="M48" i="11"/>
  <c r="J72" i="11"/>
  <c r="AW43" i="12"/>
  <c r="AY43" i="12" s="1"/>
  <c r="O42" i="11"/>
  <c r="O35" i="11"/>
  <c r="Z35" i="11" s="1"/>
  <c r="AH54" i="12" s="1"/>
  <c r="O34" i="11"/>
  <c r="Z34" i="11" s="1"/>
  <c r="U30" i="11"/>
  <c r="O26" i="11"/>
  <c r="Z26" i="11" s="1"/>
  <c r="O23" i="11"/>
  <c r="Z23" i="11" s="1"/>
  <c r="O22" i="11"/>
  <c r="Z22" i="11" s="1"/>
  <c r="O21" i="11"/>
  <c r="Z21" i="11" s="1"/>
  <c r="O20" i="11"/>
  <c r="Z20" i="11" s="1"/>
  <c r="O19" i="11"/>
  <c r="Z19" i="11" s="1"/>
  <c r="O18" i="11"/>
  <c r="Z18" i="11" s="1"/>
  <c r="O17" i="11"/>
  <c r="Z17" i="11" s="1"/>
  <c r="U16" i="11"/>
  <c r="O14" i="11"/>
  <c r="Z14" i="11" s="1"/>
  <c r="O10" i="11"/>
  <c r="Z10" i="11" s="1"/>
  <c r="O31" i="11"/>
  <c r="Z31" i="11" s="1"/>
  <c r="O30" i="11"/>
  <c r="Z30" i="11" s="1"/>
  <c r="O29" i="11"/>
  <c r="Z29" i="11" s="1"/>
  <c r="O28" i="11"/>
  <c r="Z28" i="11" s="1"/>
  <c r="O27" i="11"/>
  <c r="Z27" i="11" s="1"/>
  <c r="O16" i="11"/>
  <c r="Z16" i="11" s="1"/>
  <c r="O15" i="11"/>
  <c r="Z15" i="11" s="1"/>
  <c r="O11" i="11"/>
  <c r="Z11" i="11" s="1"/>
  <c r="U9" i="11"/>
  <c r="O13" i="11"/>
  <c r="Z13" i="11" s="1"/>
  <c r="AM53" i="12"/>
  <c r="U23" i="11"/>
  <c r="O24" i="11"/>
  <c r="Z24" i="11" s="1"/>
  <c r="O25" i="11"/>
  <c r="Z25" i="11" s="1"/>
  <c r="O33" i="11"/>
  <c r="Z33" i="11" s="1"/>
  <c r="A50" i="11"/>
  <c r="L73" i="11" s="1"/>
  <c r="U73" i="11" s="1"/>
  <c r="V73" i="11" s="1"/>
  <c r="P51" i="11"/>
  <c r="O51" i="11" s="1"/>
  <c r="Q62" i="11"/>
  <c r="C95" i="11"/>
  <c r="L72" i="11" s="1"/>
  <c r="U72" i="11" s="1"/>
  <c r="V72" i="11" s="1"/>
  <c r="C84" i="11"/>
  <c r="C83" i="11"/>
  <c r="C82" i="11"/>
  <c r="U69" i="11"/>
  <c r="V69" i="11" s="1"/>
  <c r="W68" i="11" s="1"/>
  <c r="J95" i="11"/>
  <c r="M62" i="11"/>
  <c r="U62" i="11" s="1"/>
  <c r="V62" i="11" s="1"/>
  <c r="M59" i="11"/>
  <c r="U59" i="11" s="1"/>
  <c r="V59" i="11" s="1"/>
  <c r="M60" i="11"/>
  <c r="U60" i="11" s="1"/>
  <c r="V60" i="11" s="1"/>
  <c r="AM75" i="12"/>
  <c r="J73" i="11"/>
  <c r="AI53" i="12"/>
  <c r="AQ74" i="12"/>
  <c r="M48" i="9"/>
  <c r="M49" i="9" s="1"/>
  <c r="U48" i="9" s="1"/>
  <c r="V48" i="9" s="1"/>
  <c r="V83" i="9" s="1"/>
  <c r="U83" i="9" s="1"/>
  <c r="AX19" i="10" s="1"/>
  <c r="E40" i="6" s="1"/>
  <c r="O35" i="9"/>
  <c r="Z35" i="9" s="1"/>
  <c r="O34" i="9"/>
  <c r="Z34" i="9" s="1"/>
  <c r="U30" i="9"/>
  <c r="O26" i="9"/>
  <c r="Z26" i="9" s="1"/>
  <c r="O23" i="9"/>
  <c r="Z23" i="9" s="1"/>
  <c r="O22" i="9"/>
  <c r="Z22" i="9" s="1"/>
  <c r="O21" i="9"/>
  <c r="Z21" i="9" s="1"/>
  <c r="O20" i="9"/>
  <c r="Z20" i="9" s="1"/>
  <c r="O19" i="9"/>
  <c r="Z19" i="9" s="1"/>
  <c r="O18" i="9"/>
  <c r="Z18" i="9" s="1"/>
  <c r="O17" i="9"/>
  <c r="Z17" i="9" s="1"/>
  <c r="U16" i="9"/>
  <c r="O14" i="9"/>
  <c r="Z14" i="9" s="1"/>
  <c r="AP53" i="10"/>
  <c r="C84" i="9"/>
  <c r="C83" i="9"/>
  <c r="C82" i="9"/>
  <c r="AW43" i="10"/>
  <c r="AY43" i="10" s="1"/>
  <c r="AI53" i="10"/>
  <c r="AH54" i="10"/>
  <c r="AQ75" i="10"/>
  <c r="M59" i="9"/>
  <c r="U59" i="9" s="1"/>
  <c r="V59" i="9" s="1"/>
  <c r="Q68" i="9"/>
  <c r="L70" i="9"/>
  <c r="C95" i="9"/>
  <c r="L72" i="9" s="1"/>
  <c r="U72" i="9" s="1"/>
  <c r="V72" i="9" s="1"/>
  <c r="AM74" i="10"/>
  <c r="J73" i="9"/>
  <c r="AQ74" i="10"/>
  <c r="M48" i="7"/>
  <c r="M49" i="7" s="1"/>
  <c r="U48" i="7" s="1"/>
  <c r="V48" i="7" s="1"/>
  <c r="J95" i="7"/>
  <c r="U9" i="7"/>
  <c r="AM53" i="8"/>
  <c r="U23" i="7"/>
  <c r="Q62" i="7"/>
  <c r="AW43" i="8"/>
  <c r="AY43" i="8" s="1"/>
  <c r="AI53" i="8"/>
  <c r="AQ75" i="8"/>
  <c r="O6" i="7"/>
  <c r="Z6" i="7" s="1"/>
  <c r="O11" i="7"/>
  <c r="Z11" i="7" s="1"/>
  <c r="O27" i="7"/>
  <c r="Z27" i="7" s="1"/>
  <c r="O31" i="7"/>
  <c r="Z31" i="7" s="1"/>
  <c r="M62" i="7"/>
  <c r="U62" i="7" s="1"/>
  <c r="V62" i="7" s="1"/>
  <c r="M59" i="7"/>
  <c r="U59" i="7" s="1"/>
  <c r="V59" i="7" s="1"/>
  <c r="M60" i="7"/>
  <c r="U60" i="7" s="1"/>
  <c r="V60" i="7" s="1"/>
  <c r="AM75" i="8"/>
  <c r="J73" i="7"/>
  <c r="F21" i="8"/>
  <c r="C84" i="7"/>
  <c r="C83" i="7"/>
  <c r="C82" i="7"/>
  <c r="AM74" i="8"/>
  <c r="O35" i="7"/>
  <c r="Z35" i="7" s="1"/>
  <c r="AH54" i="8" s="1"/>
  <c r="O34" i="7"/>
  <c r="Z34" i="7" s="1"/>
  <c r="U30" i="7"/>
  <c r="O26" i="7"/>
  <c r="Z26" i="7" s="1"/>
  <c r="O23" i="7"/>
  <c r="Z23" i="7" s="1"/>
  <c r="O22" i="7"/>
  <c r="Z22" i="7" s="1"/>
  <c r="O21" i="7"/>
  <c r="Z21" i="7" s="1"/>
  <c r="O20" i="7"/>
  <c r="Z20" i="7" s="1"/>
  <c r="O19" i="7"/>
  <c r="Z19" i="7" s="1"/>
  <c r="O18" i="7"/>
  <c r="Z18" i="7" s="1"/>
  <c r="O17" i="7"/>
  <c r="Z17" i="7" s="1"/>
  <c r="U16" i="7"/>
  <c r="O14" i="7"/>
  <c r="Z14" i="7" s="1"/>
  <c r="O10" i="7"/>
  <c r="Z10" i="7" s="1"/>
  <c r="O24" i="7"/>
  <c r="Z24" i="7" s="1"/>
  <c r="O25" i="7"/>
  <c r="Z25" i="7" s="1"/>
  <c r="O28" i="7"/>
  <c r="Z28" i="7" s="1"/>
  <c r="P51" i="7"/>
  <c r="O51" i="7" s="1"/>
  <c r="C95" i="7"/>
  <c r="L72" i="7" s="1"/>
  <c r="U72" i="7" s="1"/>
  <c r="V72" i="7" s="1"/>
  <c r="B9" i="4"/>
  <c r="B8" i="4"/>
  <c r="B7" i="4"/>
  <c r="U79" i="1"/>
  <c r="V79" i="1" s="1"/>
  <c r="U78" i="1"/>
  <c r="V78" i="1" s="1"/>
  <c r="H196" i="1"/>
  <c r="H197" i="1"/>
  <c r="H198" i="1"/>
  <c r="H199" i="1"/>
  <c r="H200" i="1"/>
  <c r="H201" i="1"/>
  <c r="H202" i="1"/>
  <c r="H203" i="1"/>
  <c r="H204" i="1"/>
  <c r="H205" i="1"/>
  <c r="H206" i="1"/>
  <c r="V83" i="13" l="1"/>
  <c r="U83" i="13" s="1"/>
  <c r="AX19" i="14" s="1"/>
  <c r="E72" i="6" s="1"/>
  <c r="U70" i="11"/>
  <c r="V70" i="11" s="1"/>
  <c r="V83" i="11" s="1"/>
  <c r="U83" i="11" s="1"/>
  <c r="AX19" i="12" s="1"/>
  <c r="E56" i="6" s="1"/>
  <c r="L70" i="11"/>
  <c r="U70" i="7"/>
  <c r="V70" i="7" s="1"/>
  <c r="V83" i="7" s="1"/>
  <c r="U83" i="7" s="1"/>
  <c r="AX19" i="8" s="1"/>
  <c r="E24" i="6" s="1"/>
  <c r="L70" i="7"/>
  <c r="W78" i="1"/>
  <c r="B43" i="4"/>
  <c r="BL5" i="2"/>
  <c r="BK5" i="2"/>
  <c r="BJ5" i="2"/>
  <c r="BF5" i="2"/>
  <c r="U68" i="1"/>
  <c r="V68" i="1" s="1"/>
  <c r="H182" i="1"/>
  <c r="AW95" i="2" s="1"/>
  <c r="H183" i="1"/>
  <c r="BE3" i="2" s="1"/>
  <c r="H184" i="1"/>
  <c r="BE4" i="2" s="1"/>
  <c r="H185" i="1"/>
  <c r="BG4" i="2" s="1"/>
  <c r="H186" i="1"/>
  <c r="C43" i="4" s="1"/>
  <c r="H187" i="1"/>
  <c r="C44" i="4" s="1"/>
  <c r="H188" i="1"/>
  <c r="H189" i="1"/>
  <c r="H190" i="1"/>
  <c r="H191" i="1"/>
  <c r="H192" i="1"/>
  <c r="H193" i="1"/>
  <c r="AX7" i="2" s="1"/>
  <c r="H194" i="1"/>
  <c r="AX9" i="2" s="1"/>
  <c r="H195" i="1"/>
  <c r="AX10" i="2" s="1"/>
  <c r="BE9" i="2" l="1"/>
  <c r="M3" i="6"/>
  <c r="N88" i="6" l="1"/>
  <c r="J81" i="6" l="1"/>
  <c r="J80" i="6"/>
  <c r="J79" i="6"/>
  <c r="J77" i="6"/>
  <c r="J76" i="6"/>
  <c r="J65" i="6"/>
  <c r="J64" i="6"/>
  <c r="J63" i="6"/>
  <c r="J61" i="6"/>
  <c r="J60" i="6"/>
  <c r="J49" i="6"/>
  <c r="J48" i="6"/>
  <c r="J47" i="6"/>
  <c r="J45" i="6"/>
  <c r="J44" i="6"/>
  <c r="J33" i="6"/>
  <c r="J32" i="6"/>
  <c r="J31" i="6"/>
  <c r="J29" i="6"/>
  <c r="J28" i="6"/>
  <c r="K17" i="6"/>
  <c r="J17" i="6" s="1"/>
  <c r="K16" i="6"/>
  <c r="J16" i="6" s="1"/>
  <c r="K15" i="6"/>
  <c r="J15" i="6" s="1"/>
  <c r="K13" i="6"/>
  <c r="J13" i="6" s="1"/>
  <c r="K12" i="6"/>
  <c r="J12" i="6" s="1"/>
  <c r="E14" i="6"/>
  <c r="E10" i="6"/>
  <c r="E12" i="6"/>
  <c r="B47" i="1"/>
  <c r="B44" i="1"/>
  <c r="L66" i="1" l="1"/>
  <c r="BB3" i="2" l="1"/>
  <c r="P68" i="1" l="1"/>
  <c r="P67" i="1"/>
  <c r="P66" i="1"/>
  <c r="P65" i="1"/>
  <c r="P64" i="1"/>
  <c r="P63" i="1"/>
  <c r="P62" i="1"/>
  <c r="P61" i="1"/>
  <c r="P60" i="1"/>
  <c r="P59" i="1"/>
  <c r="C25" i="1"/>
  <c r="C24" i="1"/>
  <c r="C23" i="1"/>
  <c r="C22" i="1"/>
  <c r="C21" i="1"/>
  <c r="C20" i="1"/>
  <c r="C19" i="1"/>
  <c r="C18" i="1"/>
  <c r="C17" i="1"/>
  <c r="C16" i="1"/>
  <c r="BB2" i="2" l="1"/>
  <c r="N8" i="6" l="1"/>
  <c r="R60" i="1"/>
  <c r="R61" i="1"/>
  <c r="R62" i="1"/>
  <c r="R63" i="1"/>
  <c r="R64" i="1"/>
  <c r="R65" i="1"/>
  <c r="R66" i="1"/>
  <c r="R67" i="1"/>
  <c r="R68" i="1"/>
  <c r="Q68" i="1"/>
  <c r="Q60" i="1"/>
  <c r="Q61" i="1"/>
  <c r="Q62" i="1"/>
  <c r="Q63" i="1"/>
  <c r="Q64" i="1"/>
  <c r="Q65" i="1"/>
  <c r="Q66" i="1"/>
  <c r="Q67" i="1"/>
  <c r="R59" i="1"/>
  <c r="Q59" i="1" l="1"/>
  <c r="R69" i="1"/>
  <c r="U67" i="1" s="1"/>
  <c r="V67" i="1" s="1"/>
  <c r="F14" i="2" l="1"/>
  <c r="L52" i="1" l="1"/>
  <c r="M54" i="1" l="1"/>
  <c r="L54" i="1" s="1"/>
  <c r="L68" i="1" l="1"/>
  <c r="L67" i="1"/>
  <c r="AP14" i="2" l="1"/>
  <c r="AL14" i="2"/>
  <c r="AH14" i="2"/>
  <c r="AD14" i="2"/>
  <c r="Z14" i="2"/>
  <c r="V14" i="2"/>
  <c r="R14" i="2"/>
  <c r="N14" i="2"/>
  <c r="J14" i="2"/>
  <c r="H181" i="1" l="1"/>
  <c r="AE96" i="2" s="1"/>
  <c r="H168" i="1"/>
  <c r="C21" i="4" s="1"/>
  <c r="H169" i="1"/>
  <c r="C22" i="4" s="1"/>
  <c r="H170" i="1"/>
  <c r="C26" i="4" s="1"/>
  <c r="H171" i="1"/>
  <c r="C27" i="4" s="1"/>
  <c r="H172" i="1"/>
  <c r="C31" i="4" s="1"/>
  <c r="H173" i="1"/>
  <c r="C32" i="4" s="1"/>
  <c r="H174" i="1"/>
  <c r="J174" i="1" s="1"/>
  <c r="H175" i="1"/>
  <c r="J175" i="1" s="1"/>
  <c r="H176" i="1"/>
  <c r="AF47" i="2" s="1"/>
  <c r="H177" i="1"/>
  <c r="J177" i="1" s="1"/>
  <c r="H178" i="1"/>
  <c r="J178" i="1" s="1"/>
  <c r="H179" i="1"/>
  <c r="C5" i="6" s="1"/>
  <c r="H180" i="1"/>
  <c r="AQ75" i="2" l="1"/>
  <c r="AQ76" i="2"/>
  <c r="AQ74" i="2"/>
  <c r="L53" i="1" l="1"/>
  <c r="L56" i="1" l="1"/>
  <c r="L55" i="1" l="1"/>
  <c r="U64" i="1"/>
  <c r="V64" i="1" s="1"/>
  <c r="U63" i="1" l="1"/>
  <c r="V63" i="1" s="1"/>
  <c r="H158" i="1"/>
  <c r="H159" i="1"/>
  <c r="J134" i="1" s="1"/>
  <c r="H160" i="1"/>
  <c r="AN7" i="2" s="1"/>
  <c r="H161" i="1"/>
  <c r="K82" i="1" s="1"/>
  <c r="H162" i="1"/>
  <c r="H163" i="1"/>
  <c r="H164" i="1"/>
  <c r="H165" i="1"/>
  <c r="C12" i="4" s="1"/>
  <c r="H166" i="1"/>
  <c r="C16" i="4" s="1"/>
  <c r="H167" i="1"/>
  <c r="C17" i="4" s="1"/>
  <c r="H155" i="1"/>
  <c r="H156" i="1"/>
  <c r="L76" i="1"/>
  <c r="U76" i="1" s="1"/>
  <c r="V76" i="1" s="1"/>
  <c r="L75" i="1"/>
  <c r="U75" i="1" s="1"/>
  <c r="V75" i="1" s="1"/>
  <c r="L74" i="1"/>
  <c r="U74" i="1" s="1"/>
  <c r="V74" i="1" s="1"/>
  <c r="A49" i="1"/>
  <c r="A48" i="1"/>
  <c r="A47" i="1"/>
  <c r="A46" i="1"/>
  <c r="A45" i="1"/>
  <c r="A44" i="1"/>
  <c r="A43" i="1"/>
  <c r="A41" i="1"/>
  <c r="A42" i="1"/>
  <c r="A50" i="1" l="1"/>
  <c r="L73" i="1" s="1"/>
  <c r="U73" i="1" s="1"/>
  <c r="V73" i="1" s="1"/>
  <c r="L43" i="1"/>
  <c r="U43" i="1" s="1"/>
  <c r="V43" i="1" s="1"/>
  <c r="L42" i="1"/>
  <c r="U42" i="1" s="1"/>
  <c r="V42" i="1" s="1"/>
  <c r="L45" i="1" l="1"/>
  <c r="U45" i="1" s="1"/>
  <c r="V45" i="1" s="1"/>
  <c r="L71" i="1" l="1"/>
  <c r="M71" i="1" s="1"/>
  <c r="U71" i="1" s="1"/>
  <c r="V71" i="1" s="1"/>
  <c r="V26" i="1"/>
  <c r="W26" i="1"/>
  <c r="X26" i="1"/>
  <c r="Y26" i="1"/>
  <c r="V27" i="1"/>
  <c r="W27" i="1"/>
  <c r="X27" i="1"/>
  <c r="Y27" i="1"/>
  <c r="V28" i="1"/>
  <c r="W28" i="1"/>
  <c r="X28" i="1"/>
  <c r="Y28" i="1"/>
  <c r="V29" i="1"/>
  <c r="W29" i="1"/>
  <c r="X29" i="1"/>
  <c r="Y29" i="1"/>
  <c r="V30" i="1"/>
  <c r="W30" i="1"/>
  <c r="X30" i="1"/>
  <c r="Y30" i="1"/>
  <c r="V31" i="1"/>
  <c r="W31" i="1"/>
  <c r="X31" i="1"/>
  <c r="Y31" i="1"/>
  <c r="V32" i="1"/>
  <c r="W32" i="1"/>
  <c r="X32" i="1"/>
  <c r="Y32" i="1"/>
  <c r="V33" i="1"/>
  <c r="W33" i="1"/>
  <c r="X33" i="1"/>
  <c r="Y33" i="1"/>
  <c r="V34" i="1"/>
  <c r="W34" i="1"/>
  <c r="X34" i="1"/>
  <c r="Y34" i="1"/>
  <c r="V35" i="1"/>
  <c r="W35" i="1"/>
  <c r="X35" i="1"/>
  <c r="Y35" i="1"/>
  <c r="C93" i="1" l="1"/>
  <c r="C92" i="1"/>
  <c r="C91" i="1"/>
  <c r="C90" i="1"/>
  <c r="C89" i="1"/>
  <c r="C88" i="1"/>
  <c r="B81" i="1"/>
  <c r="C95" i="1" l="1"/>
  <c r="L72" i="1" s="1"/>
  <c r="U72" i="1" s="1"/>
  <c r="V72" i="1" s="1"/>
  <c r="Y25" i="1"/>
  <c r="X25" i="1"/>
  <c r="W25" i="1"/>
  <c r="V25" i="1"/>
  <c r="Y24" i="1"/>
  <c r="X24" i="1"/>
  <c r="W24" i="1"/>
  <c r="V24" i="1"/>
  <c r="Y23" i="1"/>
  <c r="X23" i="1"/>
  <c r="W23" i="1"/>
  <c r="V23" i="1"/>
  <c r="Y22" i="1"/>
  <c r="X22" i="1"/>
  <c r="W22" i="1"/>
  <c r="V22" i="1"/>
  <c r="Y21" i="1"/>
  <c r="X21" i="1"/>
  <c r="W21" i="1"/>
  <c r="V21" i="1"/>
  <c r="Y20" i="1"/>
  <c r="X20" i="1"/>
  <c r="W20" i="1"/>
  <c r="V20" i="1"/>
  <c r="Y19" i="1"/>
  <c r="X19" i="1"/>
  <c r="W19" i="1"/>
  <c r="V19" i="1"/>
  <c r="Y18" i="1"/>
  <c r="X18" i="1"/>
  <c r="W18" i="1"/>
  <c r="V18" i="1"/>
  <c r="Y17" i="1"/>
  <c r="X17" i="1"/>
  <c r="W17" i="1"/>
  <c r="V17" i="1"/>
  <c r="Y16" i="1"/>
  <c r="X16" i="1"/>
  <c r="W16" i="1"/>
  <c r="V16" i="1"/>
  <c r="Y15" i="1"/>
  <c r="X15" i="1"/>
  <c r="W15" i="1"/>
  <c r="V15" i="1"/>
  <c r="Y14" i="1"/>
  <c r="X14" i="1"/>
  <c r="W14" i="1"/>
  <c r="V14" i="1"/>
  <c r="Y13" i="1"/>
  <c r="X13" i="1"/>
  <c r="W13" i="1"/>
  <c r="V13" i="1"/>
  <c r="Y12" i="1"/>
  <c r="X12" i="1"/>
  <c r="W12" i="1"/>
  <c r="V12" i="1"/>
  <c r="Y11" i="1"/>
  <c r="X11" i="1"/>
  <c r="W11" i="1"/>
  <c r="V11" i="1"/>
  <c r="Y10" i="1"/>
  <c r="X10" i="1"/>
  <c r="W10" i="1"/>
  <c r="V10" i="1"/>
  <c r="Y9" i="1"/>
  <c r="X9" i="1"/>
  <c r="W9" i="1"/>
  <c r="V9" i="1"/>
  <c r="Z8" i="1"/>
  <c r="Y8" i="1"/>
  <c r="X8" i="1"/>
  <c r="W8" i="1"/>
  <c r="V8" i="1"/>
  <c r="Z7" i="1"/>
  <c r="Y7" i="1"/>
  <c r="X7" i="1"/>
  <c r="W7" i="1"/>
  <c r="V7" i="1"/>
  <c r="Y6" i="1"/>
  <c r="X6" i="1"/>
  <c r="W6" i="1"/>
  <c r="V6" i="1"/>
  <c r="Z5" i="1"/>
  <c r="Y5" i="1"/>
  <c r="X5" i="1"/>
  <c r="W5" i="1"/>
  <c r="V5" i="1"/>
  <c r="Z4" i="1"/>
  <c r="Y4" i="1"/>
  <c r="X4" i="1"/>
  <c r="W4" i="1"/>
  <c r="V4" i="1"/>
  <c r="Z3" i="1"/>
  <c r="Y3" i="1"/>
  <c r="X3" i="1"/>
  <c r="W3" i="1"/>
  <c r="V3" i="1"/>
  <c r="Y1" i="1"/>
  <c r="AO53" i="2" s="1"/>
  <c r="X1" i="1"/>
  <c r="AK53" i="2" s="1"/>
  <c r="W1" i="1"/>
  <c r="AH53" i="2" s="1"/>
  <c r="AX43" i="2"/>
  <c r="AW42" i="2"/>
  <c r="AW41" i="2"/>
  <c r="O50" i="1" s="1"/>
  <c r="AW40" i="2"/>
  <c r="O49" i="1" s="1"/>
  <c r="AW39" i="2"/>
  <c r="O48" i="1" s="1"/>
  <c r="AW38" i="2"/>
  <c r="O47" i="1" s="1"/>
  <c r="AW37" i="2"/>
  <c r="O46" i="1" s="1"/>
  <c r="AW36" i="2"/>
  <c r="O45" i="1" s="1"/>
  <c r="AW35" i="2"/>
  <c r="O44" i="1" s="1"/>
  <c r="AW34" i="2"/>
  <c r="O43" i="1" s="1"/>
  <c r="AW33" i="2"/>
  <c r="L47" i="1"/>
  <c r="U47" i="1" s="1"/>
  <c r="V47" i="1" s="1"/>
  <c r="O41" i="1"/>
  <c r="N50" i="1"/>
  <c r="N49" i="1"/>
  <c r="N48" i="1"/>
  <c r="N47" i="1"/>
  <c r="N46" i="1"/>
  <c r="N45" i="1"/>
  <c r="N44" i="1"/>
  <c r="N43" i="1"/>
  <c r="N42" i="1"/>
  <c r="N41" i="1"/>
  <c r="C11" i="2"/>
  <c r="AM53" i="2" l="1"/>
  <c r="AP53" i="2"/>
  <c r="AI53" i="2"/>
  <c r="AW43" i="2"/>
  <c r="AY43" i="2" s="1"/>
  <c r="P51" i="1"/>
  <c r="O42" i="1"/>
  <c r="O52" i="1" s="1"/>
  <c r="O51" i="1" l="1"/>
  <c r="U70" i="1" s="1"/>
  <c r="L70" i="1" l="1"/>
  <c r="V70" i="1" s="1"/>
  <c r="U55" i="1"/>
  <c r="V55" i="1" s="1"/>
  <c r="U54" i="1" l="1"/>
  <c r="V54" i="1" s="1"/>
  <c r="L69" i="1"/>
  <c r="U53" i="1"/>
  <c r="V53" i="1" s="1"/>
  <c r="U52" i="1"/>
  <c r="V52" i="1" s="1"/>
  <c r="C64" i="1"/>
  <c r="M66" i="1" l="1"/>
  <c r="U66" i="1" s="1"/>
  <c r="V66" i="1" s="1"/>
  <c r="I133" i="1"/>
  <c r="H134" i="1"/>
  <c r="H135" i="1"/>
  <c r="J135" i="1" s="1"/>
  <c r="H136" i="1"/>
  <c r="J136" i="1" s="1"/>
  <c r="H137" i="1"/>
  <c r="AW30" i="2" s="1"/>
  <c r="H138" i="1"/>
  <c r="E102" i="2" s="1"/>
  <c r="H139" i="1"/>
  <c r="H140" i="1"/>
  <c r="H141" i="1"/>
  <c r="H142" i="1"/>
  <c r="E110" i="2" s="1"/>
  <c r="H143" i="1"/>
  <c r="J143" i="1" s="1"/>
  <c r="H144" i="1"/>
  <c r="J144" i="1" s="1"/>
  <c r="H145" i="1"/>
  <c r="H146" i="1"/>
  <c r="J146" i="1" s="1"/>
  <c r="H147" i="1"/>
  <c r="J147" i="1" s="1"/>
  <c r="H148" i="1"/>
  <c r="H149" i="1"/>
  <c r="R114" i="2" s="1"/>
  <c r="H150" i="1"/>
  <c r="AW46" i="2" s="1"/>
  <c r="H151" i="1"/>
  <c r="H152" i="1"/>
  <c r="J152" i="1" s="1"/>
  <c r="H153" i="1"/>
  <c r="J153" i="1" s="1"/>
  <c r="H154" i="1"/>
  <c r="H157" i="1"/>
  <c r="AX22" i="2" s="1"/>
  <c r="K10" i="6" l="1"/>
  <c r="AE32" i="2"/>
  <c r="J151" i="1"/>
  <c r="E108" i="2"/>
  <c r="E38" i="4"/>
  <c r="E104" i="2"/>
  <c r="E34" i="4"/>
  <c r="E106" i="2"/>
  <c r="E36" i="4"/>
  <c r="M87" i="1"/>
  <c r="M95" i="1"/>
  <c r="M103" i="1"/>
  <c r="M111" i="1"/>
  <c r="M119" i="1"/>
  <c r="M127" i="1"/>
  <c r="M135" i="1"/>
  <c r="M88" i="1"/>
  <c r="M96" i="1"/>
  <c r="M104" i="1"/>
  <c r="M112" i="1"/>
  <c r="M120" i="1"/>
  <c r="M128" i="1"/>
  <c r="M136" i="1"/>
  <c r="M100" i="1"/>
  <c r="M116" i="1"/>
  <c r="M93" i="1"/>
  <c r="M125" i="1"/>
  <c r="M89" i="1"/>
  <c r="M97" i="1"/>
  <c r="M105" i="1"/>
  <c r="M113" i="1"/>
  <c r="M121" i="1"/>
  <c r="M129" i="1"/>
  <c r="M137" i="1"/>
  <c r="M90" i="1"/>
  <c r="M98" i="1"/>
  <c r="M106" i="1"/>
  <c r="M114" i="1"/>
  <c r="M122" i="1"/>
  <c r="M130" i="1"/>
  <c r="M138" i="1"/>
  <c r="M92" i="1"/>
  <c r="M108" i="1"/>
  <c r="M124" i="1"/>
  <c r="M109" i="1"/>
  <c r="M133" i="1"/>
  <c r="M91" i="1"/>
  <c r="M99" i="1"/>
  <c r="M107" i="1"/>
  <c r="M115" i="1"/>
  <c r="M123" i="1"/>
  <c r="M131" i="1"/>
  <c r="M94" i="1"/>
  <c r="M102" i="1"/>
  <c r="M110" i="1"/>
  <c r="M118" i="1"/>
  <c r="M126" i="1"/>
  <c r="M134" i="1"/>
  <c r="M132" i="1"/>
  <c r="M101" i="1"/>
  <c r="M117" i="1"/>
  <c r="R112" i="2"/>
  <c r="C82" i="1"/>
  <c r="C84" i="1"/>
  <c r="C83" i="1"/>
  <c r="S41" i="1"/>
  <c r="L63" i="1" l="1"/>
  <c r="L65" i="1"/>
  <c r="L62" i="1"/>
  <c r="L64" i="1"/>
  <c r="U58" i="1" l="1"/>
  <c r="V58" i="1" s="1"/>
  <c r="H132" i="1"/>
  <c r="A9" i="2" s="1"/>
  <c r="L61" i="1" l="1"/>
  <c r="L60" i="1"/>
  <c r="L59" i="1"/>
  <c r="L58" i="1"/>
  <c r="M62" i="1" s="1"/>
  <c r="U62" i="1" s="1"/>
  <c r="V62" i="1" s="1"/>
  <c r="M60" i="1" l="1"/>
  <c r="U60" i="1" s="1"/>
  <c r="V60" i="1" s="1"/>
  <c r="M59" i="1"/>
  <c r="U59" i="1" s="1"/>
  <c r="V59" i="1" s="1"/>
  <c r="L57" i="1" l="1"/>
  <c r="H126" i="1"/>
  <c r="C7" i="4" s="1"/>
  <c r="H127" i="1"/>
  <c r="C8" i="4" s="1"/>
  <c r="H128" i="1"/>
  <c r="C9" i="4" s="1"/>
  <c r="H129" i="1"/>
  <c r="C4" i="4" s="1"/>
  <c r="H130" i="1"/>
  <c r="S5" i="2" s="1"/>
  <c r="H131" i="1"/>
  <c r="AX14" i="2" s="1"/>
  <c r="H133" i="1"/>
  <c r="L51" i="1"/>
  <c r="U51" i="1" s="1"/>
  <c r="V51" i="1" s="1"/>
  <c r="L50" i="1"/>
  <c r="U50" i="1" s="1"/>
  <c r="V50" i="1" s="1"/>
  <c r="L48" i="1"/>
  <c r="L49" i="1" s="1"/>
  <c r="L46" i="1"/>
  <c r="U46" i="1" s="1"/>
  <c r="V46" i="1" s="1"/>
  <c r="C14" i="6" l="1"/>
  <c r="M56" i="1"/>
  <c r="U56" i="1" s="1"/>
  <c r="V56" i="1" s="1"/>
  <c r="M48" i="1"/>
  <c r="M49" i="1" s="1"/>
  <c r="U48" i="1" s="1"/>
  <c r="V48" i="1" s="1"/>
  <c r="L44" i="1" l="1"/>
  <c r="L41" i="1"/>
  <c r="U41" i="1" s="1"/>
  <c r="V41" i="1" s="1"/>
  <c r="U44" i="1" l="1"/>
  <c r="V44" i="1" s="1"/>
  <c r="U49" i="1"/>
  <c r="V49" i="1" s="1"/>
  <c r="H2" i="1"/>
  <c r="AX3" i="2" s="1"/>
  <c r="H66" i="1" l="1"/>
  <c r="K81" i="1" s="1"/>
  <c r="H124" i="1" l="1"/>
  <c r="F20" i="2" s="1"/>
  <c r="H125" i="1"/>
  <c r="O95" i="2"/>
  <c r="H95" i="2"/>
  <c r="V84" i="2"/>
  <c r="H84" i="2"/>
  <c r="X71" i="2"/>
  <c r="R71" i="2"/>
  <c r="L71" i="2"/>
  <c r="F71" i="2"/>
  <c r="O84" i="2"/>
  <c r="H117" i="1"/>
  <c r="H118" i="1"/>
  <c r="H119" i="1"/>
  <c r="H120" i="1"/>
  <c r="B74" i="1" s="1"/>
  <c r="H121" i="1"/>
  <c r="B75" i="1" s="1"/>
  <c r="H122" i="1"/>
  <c r="B77" i="1" s="1"/>
  <c r="H123" i="1"/>
  <c r="B78" i="1" s="1"/>
  <c r="H114" i="1"/>
  <c r="B71" i="1" s="1"/>
  <c r="H115" i="1"/>
  <c r="B72" i="1" s="1"/>
  <c r="H116" i="1"/>
  <c r="V95" i="2" s="1"/>
  <c r="H113" i="1"/>
  <c r="B69" i="1" s="1"/>
  <c r="H112" i="1"/>
  <c r="B68" i="1" s="1"/>
  <c r="H91" i="1"/>
  <c r="AF48" i="2" s="1"/>
  <c r="H92" i="1"/>
  <c r="J92" i="1" s="1"/>
  <c r="H93" i="1"/>
  <c r="J93" i="1" s="1"/>
  <c r="H94" i="1"/>
  <c r="H95" i="1"/>
  <c r="H96" i="1"/>
  <c r="J96" i="1" s="1"/>
  <c r="H97" i="1"/>
  <c r="H98" i="1"/>
  <c r="H99" i="1"/>
  <c r="H100" i="1"/>
  <c r="H101" i="1"/>
  <c r="H102" i="1"/>
  <c r="E116" i="2" s="1"/>
  <c r="H104" i="1"/>
  <c r="H105" i="1"/>
  <c r="H106" i="1"/>
  <c r="H107" i="1"/>
  <c r="H108" i="1"/>
  <c r="H109" i="1"/>
  <c r="H110" i="1"/>
  <c r="F60" i="2" s="1"/>
  <c r="H111" i="1"/>
  <c r="L60" i="2" s="1"/>
  <c r="H90" i="1"/>
  <c r="AE88" i="2" s="1"/>
  <c r="H89" i="1"/>
  <c r="J89" i="1" s="1"/>
  <c r="J95" i="1" l="1"/>
  <c r="U69" i="1"/>
  <c r="V69" i="1" s="1"/>
  <c r="F21" i="2"/>
  <c r="AS86" i="2"/>
  <c r="AO86" i="2"/>
  <c r="W68" i="1" l="1"/>
  <c r="H82" i="1"/>
  <c r="J82" i="1" s="1"/>
  <c r="C30" i="1" l="1"/>
  <c r="C29" i="1"/>
  <c r="C28" i="1"/>
  <c r="AN13" i="2"/>
  <c r="AJ13" i="2"/>
  <c r="AF13" i="2"/>
  <c r="AB13" i="2"/>
  <c r="X13" i="2"/>
  <c r="T13" i="2"/>
  <c r="P13" i="2"/>
  <c r="L13" i="2"/>
  <c r="H13" i="2"/>
  <c r="AM38" i="2" s="1"/>
  <c r="M15" i="6" l="1"/>
  <c r="AR12" i="2"/>
  <c r="AN12" i="2"/>
  <c r="AJ12" i="2"/>
  <c r="AF12" i="2"/>
  <c r="AB12" i="2"/>
  <c r="X12" i="2"/>
  <c r="P12" i="2"/>
  <c r="L12" i="2"/>
  <c r="T12" i="2"/>
  <c r="H12" i="2"/>
  <c r="H7" i="1"/>
  <c r="S6" i="2" s="1"/>
  <c r="H8" i="1"/>
  <c r="S7" i="2" s="1"/>
  <c r="H9" i="1"/>
  <c r="H10" i="1"/>
  <c r="AN5" i="2" s="1"/>
  <c r="H11" i="1"/>
  <c r="AN6" i="2" s="1"/>
  <c r="H12" i="1"/>
  <c r="H13" i="1"/>
  <c r="F33" i="2" s="1"/>
  <c r="H14" i="1"/>
  <c r="F34" i="2" s="1"/>
  <c r="H15" i="1"/>
  <c r="AF34" i="2" s="1"/>
  <c r="H16" i="1"/>
  <c r="H17" i="1"/>
  <c r="H18" i="1"/>
  <c r="H19" i="1"/>
  <c r="H20" i="1"/>
  <c r="H21" i="1"/>
  <c r="AO38" i="2" s="1"/>
  <c r="H22" i="1"/>
  <c r="AF39" i="2" s="1"/>
  <c r="H23" i="1"/>
  <c r="H24" i="1"/>
  <c r="H25" i="1"/>
  <c r="AF37" i="2" s="1"/>
  <c r="H26" i="1"/>
  <c r="H27" i="1"/>
  <c r="H28" i="1"/>
  <c r="H29" i="1"/>
  <c r="H30" i="1"/>
  <c r="F40" i="2" s="1"/>
  <c r="H31" i="1"/>
  <c r="N40" i="2" s="1"/>
  <c r="H32" i="1"/>
  <c r="H49" i="2" s="1"/>
  <c r="H33" i="1"/>
  <c r="P44" i="2" s="1"/>
  <c r="H34" i="1"/>
  <c r="Z46" i="2" s="1"/>
  <c r="H35" i="1"/>
  <c r="AE42" i="2" s="1"/>
  <c r="H36" i="1"/>
  <c r="AF43" i="2" s="1"/>
  <c r="H37" i="1"/>
  <c r="H38" i="1"/>
  <c r="H39" i="1"/>
  <c r="AF45" i="2" s="1"/>
  <c r="H40" i="1"/>
  <c r="AF46" i="2" s="1"/>
  <c r="H41" i="1"/>
  <c r="H42" i="1"/>
  <c r="AE52" i="2" s="1"/>
  <c r="H43" i="1"/>
  <c r="H44" i="1"/>
  <c r="H45" i="1"/>
  <c r="AF57" i="2" s="1"/>
  <c r="H46" i="1"/>
  <c r="H47" i="1"/>
  <c r="AE87" i="2" s="1"/>
  <c r="H48" i="1"/>
  <c r="H49" i="1"/>
  <c r="AN83" i="2" s="1"/>
  <c r="H50" i="1"/>
  <c r="AO84" i="2" s="1"/>
  <c r="H51" i="1"/>
  <c r="AO85" i="2" s="1"/>
  <c r="H52" i="1"/>
  <c r="AE79" i="2" s="1"/>
  <c r="H53" i="1"/>
  <c r="H54" i="1"/>
  <c r="H55" i="1"/>
  <c r="AH5" i="2" s="1"/>
  <c r="H56" i="1"/>
  <c r="AH6" i="2" s="1"/>
  <c r="H57" i="1"/>
  <c r="AH7" i="2" s="1"/>
  <c r="H58" i="1"/>
  <c r="A28" i="2" s="1"/>
  <c r="H59" i="1"/>
  <c r="H60" i="1"/>
  <c r="AR13" i="2" s="1"/>
  <c r="H61" i="1"/>
  <c r="H62" i="1"/>
  <c r="H63" i="1"/>
  <c r="H64" i="1"/>
  <c r="AE60" i="2" s="1"/>
  <c r="H65" i="1"/>
  <c r="K79" i="1" s="1"/>
  <c r="N79" i="1" s="1"/>
  <c r="H67" i="1"/>
  <c r="K80" i="1" s="1"/>
  <c r="N80" i="1" s="1"/>
  <c r="H68" i="1"/>
  <c r="J68" i="1" s="1"/>
  <c r="H69" i="1"/>
  <c r="J69" i="1" s="1"/>
  <c r="H70" i="1"/>
  <c r="AE73" i="2" s="1"/>
  <c r="H71" i="1"/>
  <c r="AF74" i="2" s="1"/>
  <c r="H72" i="1"/>
  <c r="H73" i="1"/>
  <c r="H74" i="1"/>
  <c r="H75" i="1"/>
  <c r="AG75" i="2" s="1"/>
  <c r="H76" i="1"/>
  <c r="AE77" i="2" s="1"/>
  <c r="H77" i="1"/>
  <c r="AE78" i="2" s="1"/>
  <c r="H78" i="1"/>
  <c r="J78" i="1" s="1"/>
  <c r="H79" i="1"/>
  <c r="J79" i="1" s="1"/>
  <c r="H80" i="1"/>
  <c r="H81" i="1"/>
  <c r="J81" i="1" s="1"/>
  <c r="H83" i="1"/>
  <c r="H84" i="1"/>
  <c r="AE80" i="2" s="1"/>
  <c r="H85" i="1"/>
  <c r="J85" i="1" s="1"/>
  <c r="H86" i="1"/>
  <c r="J86" i="1" s="1"/>
  <c r="H87" i="1"/>
  <c r="AE83" i="2" s="1"/>
  <c r="H88" i="1"/>
  <c r="L77" i="1" s="1"/>
  <c r="AE90" i="2"/>
  <c r="H3" i="1"/>
  <c r="H4" i="1"/>
  <c r="E5" i="2" s="1"/>
  <c r="H6" i="1"/>
  <c r="F7" i="2" s="1"/>
  <c r="H5" i="1"/>
  <c r="F6" i="2" s="1"/>
  <c r="C10" i="6" l="1"/>
  <c r="C12" i="6"/>
  <c r="AF36" i="2"/>
  <c r="AF38" i="2"/>
  <c r="AF35" i="2"/>
  <c r="J72" i="1"/>
  <c r="AM74" i="2"/>
  <c r="J73" i="1"/>
  <c r="AM75" i="2"/>
  <c r="J74" i="1"/>
  <c r="AM76" i="2"/>
  <c r="J77" i="1"/>
  <c r="J80" i="1"/>
  <c r="O6" i="1"/>
  <c r="Z6" i="1" s="1"/>
  <c r="O22" i="1"/>
  <c r="Z22" i="1" s="1"/>
  <c r="O17" i="1"/>
  <c r="Z17" i="1" s="1"/>
  <c r="O35" i="1"/>
  <c r="O11" i="1"/>
  <c r="O14" i="1"/>
  <c r="Z14" i="1" s="1"/>
  <c r="O25" i="1"/>
  <c r="Z25" i="1" s="1"/>
  <c r="O21" i="1"/>
  <c r="Z21" i="1" s="1"/>
  <c r="O16" i="1"/>
  <c r="O13" i="1"/>
  <c r="Z13" i="1" s="1"/>
  <c r="O19" i="1"/>
  <c r="Z19" i="1" s="1"/>
  <c r="O24" i="1"/>
  <c r="Z24" i="1" s="1"/>
  <c r="O20" i="1"/>
  <c r="Z20" i="1" s="1"/>
  <c r="O15" i="1"/>
  <c r="Z15" i="1" s="1"/>
  <c r="O12" i="1"/>
  <c r="Z12" i="1" s="1"/>
  <c r="O23" i="1"/>
  <c r="O10" i="1"/>
  <c r="Z10" i="1" s="1"/>
  <c r="J88" i="1"/>
  <c r="U77" i="1"/>
  <c r="V77" i="1" s="1"/>
  <c r="O31" i="1"/>
  <c r="Z31" i="1" s="1"/>
  <c r="U30" i="1"/>
  <c r="O26" i="1"/>
  <c r="Z26" i="1" s="1"/>
  <c r="O30" i="1"/>
  <c r="Z30" i="1" s="1"/>
  <c r="U34" i="1"/>
  <c r="O28" i="1"/>
  <c r="Z28" i="1" s="1"/>
  <c r="O34" i="1"/>
  <c r="O29" i="1"/>
  <c r="Z29" i="1" s="1"/>
  <c r="Z35" i="1"/>
  <c r="AH54" i="2" s="1"/>
  <c r="O27" i="1"/>
  <c r="Z27" i="1" s="1"/>
  <c r="O33" i="1"/>
  <c r="Z33" i="1" s="1"/>
  <c r="O32" i="1"/>
  <c r="Z32" i="1" s="1"/>
  <c r="U9" i="1"/>
  <c r="Z9" i="1" s="1"/>
  <c r="O18" i="1"/>
  <c r="U16" i="1"/>
  <c r="U23" i="1"/>
  <c r="E13" i="2"/>
  <c r="V83" i="1" l="1"/>
  <c r="U83" i="1" s="1"/>
  <c r="AX19" i="2" s="1"/>
  <c r="E8" i="6" s="1"/>
  <c r="Z16" i="1"/>
  <c r="Z23" i="1"/>
  <c r="Z34" i="1"/>
  <c r="Z18"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00000000-0006-0000-0200-000001000000}">
      <text>
        <r>
          <rPr>
            <b/>
            <sz val="9"/>
            <color indexed="81"/>
            <rFont val="Segoe UI"/>
            <family val="2"/>
          </rPr>
          <t>Maurin Müller:</t>
        </r>
        <r>
          <rPr>
            <sz val="9"/>
            <color indexed="81"/>
            <rFont val="Segoe UI"/>
            <family val="2"/>
          </rPr>
          <t xml:space="preserve">
Formel für USA-Laby</t>
        </r>
      </text>
    </comment>
    <comment ref="W68" authorId="0" shapeId="0" xr:uid="{E6E71A13-D8A1-49B4-B322-729E0D4F6CBA}">
      <text>
        <r>
          <rPr>
            <b/>
            <sz val="9"/>
            <color indexed="81"/>
            <rFont val="Segoe UI"/>
            <family val="2"/>
          </rPr>
          <t>Maurin Müller:</t>
        </r>
        <r>
          <rPr>
            <sz val="9"/>
            <color indexed="81"/>
            <rFont val="Segoe UI"/>
            <family val="2"/>
          </rPr>
          <t xml:space="preserve">
Summe für Kontrolle gesamtes Beratungsfeld</t>
        </r>
      </text>
    </comment>
    <comment ref="L72" authorId="0" shapeId="0" xr:uid="{00000000-0006-0000-0200-000002000000}">
      <text>
        <r>
          <rPr>
            <b/>
            <sz val="9"/>
            <color indexed="81"/>
            <rFont val="Segoe UI"/>
            <family val="2"/>
          </rPr>
          <t>Maurin Müller:</t>
        </r>
        <r>
          <rPr>
            <sz val="9"/>
            <color indexed="81"/>
            <rFont val="Segoe UI"/>
            <family val="2"/>
          </rPr>
          <t xml:space="preserve">
siehe Zelle C95</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93E3E604-B88A-4EAC-BB33-33A7A026B962}">
      <text>
        <r>
          <rPr>
            <b/>
            <sz val="9"/>
            <color indexed="81"/>
            <rFont val="Segoe UI"/>
            <family val="2"/>
          </rPr>
          <t xml:space="preserve">BHF = </t>
        </r>
        <r>
          <rPr>
            <sz val="9"/>
            <color indexed="81"/>
            <rFont val="Segoe UI"/>
            <family val="2"/>
          </rPr>
          <t>pocket door / calandage / stazione</t>
        </r>
      </text>
    </comment>
    <comment ref="F16" authorId="0" shapeId="0" xr:uid="{EEA31889-90BB-417A-AE81-E9389BB3CB93}">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4ACD6873-BEF2-410C-9D19-E8678113831C}">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47A6E7B4-A910-4722-9A3C-AF60F5F5311B}">
      <text>
        <r>
          <rPr>
            <b/>
            <sz val="9"/>
            <color indexed="81"/>
            <rFont val="Segoe UI"/>
            <family val="2"/>
          </rPr>
          <t>Standard: 1050mm
RC2 = 1050mm
min: RV=200mm 
         MVv=750mm</t>
        </r>
      </text>
    </comment>
    <comment ref="AM45" authorId="0" shapeId="0" xr:uid="{E93E58F4-0F17-4DB5-9479-E40D483D265E}">
      <text>
        <r>
          <rPr>
            <b/>
            <sz val="8"/>
            <color indexed="81"/>
            <rFont val="Arial"/>
            <family val="2"/>
          </rPr>
          <t>RAL / Tiger, matt etc.</t>
        </r>
      </text>
    </comment>
    <comment ref="AI57" authorId="0" shapeId="0" xr:uid="{06E5EEE8-CFE5-447A-91B5-64EC672A6A2C}">
      <text>
        <r>
          <rPr>
            <b/>
            <sz val="8"/>
            <color indexed="81"/>
            <rFont val="Arial"/>
            <family val="2"/>
          </rPr>
          <t>P4A / SP10 etc.</t>
        </r>
      </text>
    </comment>
    <comment ref="AB62" authorId="0" shapeId="0" xr:uid="{FEF030D0-A33D-4E3A-A27D-508A84150CFF}">
      <text>
        <r>
          <rPr>
            <b/>
            <sz val="9"/>
            <color indexed="81"/>
            <rFont val="Segoe UI"/>
            <family val="2"/>
          </rPr>
          <t>1 = XL</t>
        </r>
      </text>
    </comment>
    <comment ref="AN70" authorId="0" shapeId="0" xr:uid="{B1205040-1288-48F4-945A-2F146801CFC4}">
      <text>
        <r>
          <rPr>
            <b/>
            <sz val="8"/>
            <color indexed="81"/>
            <rFont val="Arial"/>
            <family val="2"/>
          </rPr>
          <t>Standard &amp; RC2 = 2-Punkt /
                               2-point/
                               2-points/
                               2-punti</t>
        </r>
      </text>
    </comment>
    <comment ref="AB73" authorId="0" shapeId="0" xr:uid="{C0597DCD-90D3-4DDA-A3DE-EB5E7616FB53}">
      <text>
        <r>
          <rPr>
            <b/>
            <sz val="9"/>
            <color indexed="81"/>
            <rFont val="Segoe UI"/>
            <family val="2"/>
          </rPr>
          <t>1 = XL</t>
        </r>
      </text>
    </comment>
    <comment ref="AM88" authorId="0" shapeId="0" xr:uid="{C3CB1020-600E-4990-945B-FE7785AA4851}">
      <text>
        <r>
          <rPr>
            <b/>
            <sz val="9"/>
            <color indexed="81"/>
            <rFont val="Segoe UI"/>
            <family val="2"/>
          </rPr>
          <t>ISO 8601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00000000-0006-0000-0300-000001000000}">
      <text>
        <r>
          <rPr>
            <b/>
            <sz val="9"/>
            <color indexed="81"/>
            <rFont val="Segoe UI"/>
            <family val="2"/>
          </rPr>
          <t xml:space="preserve">BHF = </t>
        </r>
        <r>
          <rPr>
            <sz val="9"/>
            <color indexed="81"/>
            <rFont val="Segoe UI"/>
            <family val="2"/>
          </rPr>
          <t>pocket door / calandage / stazione</t>
        </r>
      </text>
    </comment>
    <comment ref="F16" authorId="0" shapeId="0" xr:uid="{00000000-0006-0000-0300-000002000000}">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00000000-0006-0000-0300-000003000000}">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00000000-0006-0000-0300-000004000000}">
      <text>
        <r>
          <rPr>
            <b/>
            <sz val="9"/>
            <color indexed="81"/>
            <rFont val="Segoe UI"/>
            <family val="2"/>
          </rPr>
          <t>Standard: 1050mm
RC2 = 1050mm
min: RV=200mm 
         MVv=750mm</t>
        </r>
      </text>
    </comment>
    <comment ref="AM45" authorId="0" shapeId="0" xr:uid="{00000000-0006-0000-0300-000005000000}">
      <text>
        <r>
          <rPr>
            <b/>
            <sz val="8"/>
            <color indexed="81"/>
            <rFont val="Arial"/>
            <family val="2"/>
          </rPr>
          <t>RAL / Tiger, matt etc.</t>
        </r>
      </text>
    </comment>
    <comment ref="AI57" authorId="0" shapeId="0" xr:uid="{00000000-0006-0000-0300-000006000000}">
      <text>
        <r>
          <rPr>
            <b/>
            <sz val="8"/>
            <color indexed="81"/>
            <rFont val="Arial"/>
            <family val="2"/>
          </rPr>
          <t>P4A / SP10 etc.</t>
        </r>
      </text>
    </comment>
    <comment ref="AB62" authorId="0" shapeId="0" xr:uid="{00000000-0006-0000-0300-000007000000}">
      <text>
        <r>
          <rPr>
            <b/>
            <sz val="9"/>
            <color indexed="81"/>
            <rFont val="Segoe UI"/>
            <family val="2"/>
          </rPr>
          <t>1 = XL</t>
        </r>
      </text>
    </comment>
    <comment ref="AN70" authorId="0" shapeId="0" xr:uid="{00000000-0006-0000-0300-000008000000}">
      <text>
        <r>
          <rPr>
            <b/>
            <sz val="8"/>
            <color indexed="81"/>
            <rFont val="Arial"/>
            <family val="2"/>
          </rPr>
          <t>Standard &amp; RC2 = 2-Punkt /
                               2-point/
                               2-points/
                               2-punti</t>
        </r>
      </text>
    </comment>
    <comment ref="AB73" authorId="0" shapeId="0" xr:uid="{00000000-0006-0000-0300-000009000000}">
      <text>
        <r>
          <rPr>
            <b/>
            <sz val="9"/>
            <color indexed="81"/>
            <rFont val="Segoe UI"/>
            <family val="2"/>
          </rPr>
          <t>1 = XL</t>
        </r>
      </text>
    </comment>
    <comment ref="AM88" authorId="0" shapeId="0" xr:uid="{00000000-0006-0000-0300-00000A000000}">
      <text>
        <r>
          <rPr>
            <b/>
            <sz val="9"/>
            <color indexed="81"/>
            <rFont val="Segoe UI"/>
            <family val="2"/>
          </rPr>
          <t>ISO 8601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B54DA807-DCEA-401C-BDA2-FE4EB5B8FDE8}">
      <text>
        <r>
          <rPr>
            <b/>
            <sz val="9"/>
            <color indexed="81"/>
            <rFont val="Segoe UI"/>
            <family val="2"/>
          </rPr>
          <t>Maurin Müller:</t>
        </r>
        <r>
          <rPr>
            <sz val="9"/>
            <color indexed="81"/>
            <rFont val="Segoe UI"/>
            <family val="2"/>
          </rPr>
          <t xml:space="preserve">
Formel für USA-Laby</t>
        </r>
      </text>
    </comment>
    <comment ref="W68" authorId="0" shapeId="0" xr:uid="{A16F5CE4-2D6D-48F1-BE26-63DC30263DF9}">
      <text>
        <r>
          <rPr>
            <b/>
            <sz val="9"/>
            <color indexed="81"/>
            <rFont val="Segoe UI"/>
            <family val="2"/>
          </rPr>
          <t>Maurin Müller:</t>
        </r>
        <r>
          <rPr>
            <sz val="9"/>
            <color indexed="81"/>
            <rFont val="Segoe UI"/>
            <family val="2"/>
          </rPr>
          <t xml:space="preserve">
Summe für Kontrolle gesamtes Beratungsfeld</t>
        </r>
      </text>
    </comment>
    <comment ref="L72" authorId="0" shapeId="0" xr:uid="{5842E286-3FD3-41F5-8B65-9AD8FA18AE89}">
      <text>
        <r>
          <rPr>
            <b/>
            <sz val="9"/>
            <color indexed="81"/>
            <rFont val="Segoe UI"/>
            <family val="2"/>
          </rPr>
          <t>Maurin Müller:</t>
        </r>
        <r>
          <rPr>
            <sz val="9"/>
            <color indexed="81"/>
            <rFont val="Segoe UI"/>
            <family val="2"/>
          </rPr>
          <t xml:space="preserve">
siehe Zelle C95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DF96F8C9-8B68-4D40-868C-61F21806895A}">
      <text>
        <r>
          <rPr>
            <b/>
            <sz val="9"/>
            <color indexed="81"/>
            <rFont val="Segoe UI"/>
            <family val="2"/>
          </rPr>
          <t xml:space="preserve">BHF = </t>
        </r>
        <r>
          <rPr>
            <sz val="9"/>
            <color indexed="81"/>
            <rFont val="Segoe UI"/>
            <family val="2"/>
          </rPr>
          <t>pocket door / calandage / stazione</t>
        </r>
      </text>
    </comment>
    <comment ref="F16" authorId="0" shapeId="0" xr:uid="{44BC448C-768D-48B6-A755-434717B60562}">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4C6E97D6-1A38-45B8-8973-4607E0536487}">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ABD52F49-36CF-4055-AE43-23DADA75EA32}">
      <text>
        <r>
          <rPr>
            <b/>
            <sz val="9"/>
            <color indexed="81"/>
            <rFont val="Segoe UI"/>
            <family val="2"/>
          </rPr>
          <t>Standard: 1050mm
RC2 = 1050mm
min: RV=200mm 
         MVv=750mm</t>
        </r>
      </text>
    </comment>
    <comment ref="AM45" authorId="0" shapeId="0" xr:uid="{77A27150-C525-4D15-9BB8-E28083488732}">
      <text>
        <r>
          <rPr>
            <b/>
            <sz val="8"/>
            <color indexed="81"/>
            <rFont val="Arial"/>
            <family val="2"/>
          </rPr>
          <t>RAL / Tiger, matt etc.</t>
        </r>
      </text>
    </comment>
    <comment ref="AI57" authorId="0" shapeId="0" xr:uid="{63EC3ECC-7E7A-4E1E-AD5F-D795B4E70675}">
      <text>
        <r>
          <rPr>
            <b/>
            <sz val="8"/>
            <color indexed="81"/>
            <rFont val="Arial"/>
            <family val="2"/>
          </rPr>
          <t>P4A / SP10 etc.</t>
        </r>
      </text>
    </comment>
    <comment ref="AB62" authorId="0" shapeId="0" xr:uid="{6DE77855-C9F8-4C68-832E-B5BA01CB137C}">
      <text>
        <r>
          <rPr>
            <b/>
            <sz val="9"/>
            <color indexed="81"/>
            <rFont val="Segoe UI"/>
            <family val="2"/>
          </rPr>
          <t>1 = XL</t>
        </r>
      </text>
    </comment>
    <comment ref="AN70" authorId="0" shapeId="0" xr:uid="{A7EF77AC-1B9C-4CE6-87B6-4EB2A05CB473}">
      <text>
        <r>
          <rPr>
            <b/>
            <sz val="8"/>
            <color indexed="81"/>
            <rFont val="Arial"/>
            <family val="2"/>
          </rPr>
          <t>Standard &amp; RC2 = 2-Punkt /
                               2-point/
                               2-points/
                               2-punti</t>
        </r>
      </text>
    </comment>
    <comment ref="AB73" authorId="0" shapeId="0" xr:uid="{A26C11E7-360B-41C1-89A7-EECD91C5A1A1}">
      <text>
        <r>
          <rPr>
            <b/>
            <sz val="9"/>
            <color indexed="81"/>
            <rFont val="Segoe UI"/>
            <family val="2"/>
          </rPr>
          <t>1 = XL</t>
        </r>
      </text>
    </comment>
    <comment ref="AM88" authorId="0" shapeId="0" xr:uid="{6586542A-AC18-4DBE-A1B2-9F7A0E388933}">
      <text>
        <r>
          <rPr>
            <b/>
            <sz val="9"/>
            <color indexed="81"/>
            <rFont val="Segoe UI"/>
            <family val="2"/>
          </rPr>
          <t>ISO 8601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0D1E77AA-3B58-4D09-AD3E-CF5CCB005B28}">
      <text>
        <r>
          <rPr>
            <b/>
            <sz val="9"/>
            <color indexed="81"/>
            <rFont val="Segoe UI"/>
            <family val="2"/>
          </rPr>
          <t>Maurin Müller:</t>
        </r>
        <r>
          <rPr>
            <sz val="9"/>
            <color indexed="81"/>
            <rFont val="Segoe UI"/>
            <family val="2"/>
          </rPr>
          <t xml:space="preserve">
Formel für USA-Laby</t>
        </r>
      </text>
    </comment>
    <comment ref="W68" authorId="0" shapeId="0" xr:uid="{F3A4B479-B823-40C0-81EA-72D1E7EE9AC7}">
      <text>
        <r>
          <rPr>
            <b/>
            <sz val="9"/>
            <color indexed="81"/>
            <rFont val="Segoe UI"/>
            <family val="2"/>
          </rPr>
          <t>Maurin Müller:</t>
        </r>
        <r>
          <rPr>
            <sz val="9"/>
            <color indexed="81"/>
            <rFont val="Segoe UI"/>
            <family val="2"/>
          </rPr>
          <t xml:space="preserve">
Summe für Kontrolle gesamtes Beratungsfeld</t>
        </r>
      </text>
    </comment>
    <comment ref="L72" authorId="0" shapeId="0" xr:uid="{7B74E6CE-C7F0-47AA-9EDB-06B08B71E93E}">
      <text>
        <r>
          <rPr>
            <b/>
            <sz val="9"/>
            <color indexed="81"/>
            <rFont val="Segoe UI"/>
            <family val="2"/>
          </rPr>
          <t>Maurin Müller:</t>
        </r>
        <r>
          <rPr>
            <sz val="9"/>
            <color indexed="81"/>
            <rFont val="Segoe UI"/>
            <family val="2"/>
          </rPr>
          <t xml:space="preserve">
siehe Zelle C95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C50204BD-81BA-4927-BB33-5E19FA4A9303}">
      <text>
        <r>
          <rPr>
            <b/>
            <sz val="9"/>
            <color indexed="81"/>
            <rFont val="Segoe UI"/>
            <family val="2"/>
          </rPr>
          <t xml:space="preserve">BHF = </t>
        </r>
        <r>
          <rPr>
            <sz val="9"/>
            <color indexed="81"/>
            <rFont val="Segoe UI"/>
            <family val="2"/>
          </rPr>
          <t>pocket door / calandage / stazione</t>
        </r>
      </text>
    </comment>
    <comment ref="F16" authorId="0" shapeId="0" xr:uid="{5494297F-0F57-477F-9018-62B235679735}">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15AC1486-806F-40E2-9C5F-A2C4365FD845}">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0DD02996-5F94-45C7-A370-ABB07B3D17B1}">
      <text>
        <r>
          <rPr>
            <b/>
            <sz val="9"/>
            <color indexed="81"/>
            <rFont val="Segoe UI"/>
            <family val="2"/>
          </rPr>
          <t>Standard: 1050mm
RC2 = 1050mm
min: RV=200mm 
         MVv=750mm</t>
        </r>
      </text>
    </comment>
    <comment ref="AM45" authorId="0" shapeId="0" xr:uid="{C26D457C-BCE2-4DB4-9CF0-AE57347D2A4F}">
      <text>
        <r>
          <rPr>
            <b/>
            <sz val="8"/>
            <color indexed="81"/>
            <rFont val="Arial"/>
            <family val="2"/>
          </rPr>
          <t>RAL / Tiger, matt etc.</t>
        </r>
      </text>
    </comment>
    <comment ref="AI57" authorId="0" shapeId="0" xr:uid="{EAFADD74-C607-4D96-86D5-D344B481240B}">
      <text>
        <r>
          <rPr>
            <b/>
            <sz val="8"/>
            <color indexed="81"/>
            <rFont val="Arial"/>
            <family val="2"/>
          </rPr>
          <t>P4A / SP10 etc.</t>
        </r>
      </text>
    </comment>
    <comment ref="AB62" authorId="0" shapeId="0" xr:uid="{AE4FCFD3-A2EB-47F2-A6C3-6073207FE32D}">
      <text>
        <r>
          <rPr>
            <b/>
            <sz val="9"/>
            <color indexed="81"/>
            <rFont val="Segoe UI"/>
            <family val="2"/>
          </rPr>
          <t>1 = XL</t>
        </r>
      </text>
    </comment>
    <comment ref="AN70" authorId="0" shapeId="0" xr:uid="{23782FC6-2D6D-4A76-9958-171EFD5B2AE5}">
      <text>
        <r>
          <rPr>
            <b/>
            <sz val="8"/>
            <color indexed="81"/>
            <rFont val="Arial"/>
            <family val="2"/>
          </rPr>
          <t>Standard &amp; RC2 = 2-Punkt /
                               2-point/
                               2-points/
                               2-punti</t>
        </r>
      </text>
    </comment>
    <comment ref="AB73" authorId="0" shapeId="0" xr:uid="{20E668A1-3742-4C69-B3D7-FCF2246A27E5}">
      <text>
        <r>
          <rPr>
            <b/>
            <sz val="9"/>
            <color indexed="81"/>
            <rFont val="Segoe UI"/>
            <family val="2"/>
          </rPr>
          <t>1 = XL</t>
        </r>
      </text>
    </comment>
    <comment ref="AM88" authorId="0" shapeId="0" xr:uid="{74ECF64D-2DDD-4C3D-96D7-C9D37AF330B0}">
      <text>
        <r>
          <rPr>
            <b/>
            <sz val="9"/>
            <color indexed="81"/>
            <rFont val="Segoe UI"/>
            <family val="2"/>
          </rPr>
          <t>ISO 8601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A9E55774-835A-4B10-9B89-61C654812ABF}">
      <text>
        <r>
          <rPr>
            <b/>
            <sz val="9"/>
            <color indexed="81"/>
            <rFont val="Segoe UI"/>
            <family val="2"/>
          </rPr>
          <t>Maurin Müller:</t>
        </r>
        <r>
          <rPr>
            <sz val="9"/>
            <color indexed="81"/>
            <rFont val="Segoe UI"/>
            <family val="2"/>
          </rPr>
          <t xml:space="preserve">
Formel für USA-Laby</t>
        </r>
      </text>
    </comment>
    <comment ref="W68" authorId="0" shapeId="0" xr:uid="{83334BDD-6539-4B3A-9A86-8A48B8A1632E}">
      <text>
        <r>
          <rPr>
            <b/>
            <sz val="9"/>
            <color indexed="81"/>
            <rFont val="Segoe UI"/>
            <family val="2"/>
          </rPr>
          <t>Maurin Müller:</t>
        </r>
        <r>
          <rPr>
            <sz val="9"/>
            <color indexed="81"/>
            <rFont val="Segoe UI"/>
            <family val="2"/>
          </rPr>
          <t xml:space="preserve">
Summe für Kontrolle gesamtes Beratungsfeld</t>
        </r>
      </text>
    </comment>
    <comment ref="L72" authorId="0" shapeId="0" xr:uid="{142DD08C-2608-464B-B422-029F22A95CC3}">
      <text>
        <r>
          <rPr>
            <b/>
            <sz val="9"/>
            <color indexed="81"/>
            <rFont val="Segoe UI"/>
            <family val="2"/>
          </rPr>
          <t>Maurin Müller:</t>
        </r>
        <r>
          <rPr>
            <sz val="9"/>
            <color indexed="81"/>
            <rFont val="Segoe UI"/>
            <family val="2"/>
          </rPr>
          <t xml:space="preserve">
siehe Zelle C95</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825076D7-6BD0-44DB-AD44-89956128CAA0}">
      <text>
        <r>
          <rPr>
            <b/>
            <sz val="9"/>
            <color indexed="81"/>
            <rFont val="Segoe UI"/>
            <family val="2"/>
          </rPr>
          <t xml:space="preserve">BHF = </t>
        </r>
        <r>
          <rPr>
            <sz val="9"/>
            <color indexed="81"/>
            <rFont val="Segoe UI"/>
            <family val="2"/>
          </rPr>
          <t>pocket door / calandage / stazione</t>
        </r>
      </text>
    </comment>
    <comment ref="F16" authorId="0" shapeId="0" xr:uid="{C9C026A2-5D76-4F26-B096-742C2E2555A2}">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44F5F031-9ABC-4D35-875C-EC4452019437}">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B785E9BD-9AFA-40A4-98C5-C06D2E3BCEEE}">
      <text>
        <r>
          <rPr>
            <b/>
            <sz val="9"/>
            <color indexed="81"/>
            <rFont val="Segoe UI"/>
            <family val="2"/>
          </rPr>
          <t>Standard: 1050mm
RC2 = 1050mm
min: RV=200mm 
         MVv=750mm</t>
        </r>
      </text>
    </comment>
    <comment ref="AM45" authorId="0" shapeId="0" xr:uid="{0859F51D-68B8-4C83-ABE3-2AA6CF72C71C}">
      <text>
        <r>
          <rPr>
            <b/>
            <sz val="8"/>
            <color indexed="81"/>
            <rFont val="Arial"/>
            <family val="2"/>
          </rPr>
          <t>RAL / Tiger, matt etc.</t>
        </r>
      </text>
    </comment>
    <comment ref="AI57" authorId="0" shapeId="0" xr:uid="{1A7C7D25-D0FC-406F-89FB-D85C9FED1030}">
      <text>
        <r>
          <rPr>
            <b/>
            <sz val="8"/>
            <color indexed="81"/>
            <rFont val="Arial"/>
            <family val="2"/>
          </rPr>
          <t>P4A / SP10 etc.</t>
        </r>
      </text>
    </comment>
    <comment ref="AB62" authorId="0" shapeId="0" xr:uid="{F96BC433-5AE3-4267-98F1-B0B052F401E4}">
      <text>
        <r>
          <rPr>
            <b/>
            <sz val="9"/>
            <color indexed="81"/>
            <rFont val="Segoe UI"/>
            <family val="2"/>
          </rPr>
          <t>1 = XL</t>
        </r>
      </text>
    </comment>
    <comment ref="AN70" authorId="0" shapeId="0" xr:uid="{B3A1A2EC-409F-47F5-BA07-31F1E6CCE5F9}">
      <text>
        <r>
          <rPr>
            <b/>
            <sz val="8"/>
            <color indexed="81"/>
            <rFont val="Arial"/>
            <family val="2"/>
          </rPr>
          <t>Standard &amp; RC2 = 2-Punkt /
                               2-point/
                               2-points/
                               2-punti</t>
        </r>
      </text>
    </comment>
    <comment ref="AB73" authorId="0" shapeId="0" xr:uid="{9D6F0C84-55C7-4E84-8656-4D303C5ED9C2}">
      <text>
        <r>
          <rPr>
            <b/>
            <sz val="9"/>
            <color indexed="81"/>
            <rFont val="Segoe UI"/>
            <family val="2"/>
          </rPr>
          <t>1 = XL</t>
        </r>
      </text>
    </comment>
    <comment ref="AM88" authorId="0" shapeId="0" xr:uid="{BC9B6BE7-9F05-493C-93EC-F8BFE7862EC9}">
      <text>
        <r>
          <rPr>
            <b/>
            <sz val="9"/>
            <color indexed="81"/>
            <rFont val="Segoe UI"/>
            <family val="2"/>
          </rPr>
          <t>ISO 8601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C338256B-B1D6-4077-9A09-2216CF9E25B5}">
      <text>
        <r>
          <rPr>
            <b/>
            <sz val="9"/>
            <color indexed="81"/>
            <rFont val="Segoe UI"/>
            <family val="2"/>
          </rPr>
          <t>Maurin Müller:</t>
        </r>
        <r>
          <rPr>
            <sz val="9"/>
            <color indexed="81"/>
            <rFont val="Segoe UI"/>
            <family val="2"/>
          </rPr>
          <t xml:space="preserve">
Formel für USA-Laby</t>
        </r>
      </text>
    </comment>
    <comment ref="W68" authorId="0" shapeId="0" xr:uid="{37D408A6-91F0-4B47-ACAA-3CA5C2975984}">
      <text>
        <r>
          <rPr>
            <b/>
            <sz val="9"/>
            <color indexed="81"/>
            <rFont val="Segoe UI"/>
            <family val="2"/>
          </rPr>
          <t>Maurin Müller:</t>
        </r>
        <r>
          <rPr>
            <sz val="9"/>
            <color indexed="81"/>
            <rFont val="Segoe UI"/>
            <family val="2"/>
          </rPr>
          <t xml:space="preserve">
Summe für Kontrolle gesamtes Beratungsfeld</t>
        </r>
      </text>
    </comment>
    <comment ref="L72" authorId="0" shapeId="0" xr:uid="{C317C192-9468-4239-930A-0DE9660E19FE}">
      <text>
        <r>
          <rPr>
            <b/>
            <sz val="9"/>
            <color indexed="81"/>
            <rFont val="Segoe UI"/>
            <family val="2"/>
          </rPr>
          <t>Maurin Müller:</t>
        </r>
        <r>
          <rPr>
            <sz val="9"/>
            <color indexed="81"/>
            <rFont val="Segoe UI"/>
            <family val="2"/>
          </rPr>
          <t xml:space="preserve">
siehe Zelle C95</t>
        </r>
      </text>
    </comment>
  </commentList>
</comments>
</file>

<file path=xl/sharedStrings.xml><?xml version="1.0" encoding="utf-8"?>
<sst xmlns="http://schemas.openxmlformats.org/spreadsheetml/2006/main" count="5235" uniqueCount="972">
  <si>
    <t>Gemäss Zeichnung Nr.:</t>
  </si>
  <si>
    <t>in accordance with drawing no.:</t>
  </si>
  <si>
    <t>Projekt-Nr.:</t>
  </si>
  <si>
    <t>Project no:</t>
  </si>
  <si>
    <t>Projet n°:</t>
  </si>
  <si>
    <t>2-gleisig</t>
  </si>
  <si>
    <t>2-track</t>
  </si>
  <si>
    <t>2-rails</t>
  </si>
  <si>
    <t>3-gleisig</t>
  </si>
  <si>
    <t>3-track</t>
  </si>
  <si>
    <t>4-gleisig</t>
  </si>
  <si>
    <t>4-track</t>
  </si>
  <si>
    <t>Teilung Achsmasse</t>
  </si>
  <si>
    <t>Axis size defined</t>
  </si>
  <si>
    <t>Division dimensions d'axe</t>
  </si>
  <si>
    <t>tous les verres de même largeur</t>
  </si>
  <si>
    <t>Standard</t>
  </si>
  <si>
    <t>Einbruchschutz RC2</t>
  </si>
  <si>
    <t>increased bulgary RC2</t>
  </si>
  <si>
    <t>Prot. Contre l'effraction RC2</t>
  </si>
  <si>
    <t>Position monitoring (P)</t>
  </si>
  <si>
    <t>Surveillance de la position (P)</t>
  </si>
  <si>
    <t>Deadbolt monitoring (R)</t>
  </si>
  <si>
    <t>Glass breakage sensor (G)</t>
  </si>
  <si>
    <t>Détecteur de bris de verre (G)</t>
  </si>
  <si>
    <t>Elektrischer Antrieb, Anzahl</t>
  </si>
  <si>
    <t>Entraînement électrique:</t>
  </si>
  <si>
    <t>Stk.</t>
  </si>
  <si>
    <t>pce.</t>
  </si>
  <si>
    <t>geforderte Klassen:</t>
  </si>
  <si>
    <t>Pool</t>
  </si>
  <si>
    <t>nach rechts</t>
  </si>
  <si>
    <t>to right</t>
  </si>
  <si>
    <t>à droite</t>
  </si>
  <si>
    <t>nach links</t>
  </si>
  <si>
    <t>to left</t>
  </si>
  <si>
    <t>à gauche</t>
  </si>
  <si>
    <t>Breite =</t>
  </si>
  <si>
    <t>Width =</t>
  </si>
  <si>
    <t>Largeur =</t>
  </si>
  <si>
    <t>Hauteur de poignée:</t>
  </si>
  <si>
    <t xml:space="preserve">Höhe = </t>
  </si>
  <si>
    <t>Height =</t>
  </si>
  <si>
    <t>Hauteur =</t>
  </si>
  <si>
    <t>Oberfläche:</t>
  </si>
  <si>
    <t>Surface:</t>
  </si>
  <si>
    <t>eloxiert (Qualanod):</t>
  </si>
  <si>
    <t>anodized (Qualanod):</t>
  </si>
  <si>
    <t>20 my (Standard)</t>
  </si>
  <si>
    <t>25 my (Pool/Meer)</t>
  </si>
  <si>
    <t>25my (Pool/near sea)</t>
  </si>
  <si>
    <t>25 my (Pool/mer)</t>
  </si>
  <si>
    <t>+Voranodisieren</t>
  </si>
  <si>
    <t>+pre-anodizing</t>
  </si>
  <si>
    <t>+pré-anodisation</t>
  </si>
  <si>
    <t>Glas-Typ: SG = "Sky-Glass"</t>
  </si>
  <si>
    <t>Glass-Type: SG = "Sky-Glass"</t>
  </si>
  <si>
    <t>Type de verre: SG = "Sky-Glass"</t>
  </si>
  <si>
    <t>Swisspacer-U schwarz</t>
  </si>
  <si>
    <t>Swisspacer-U black</t>
  </si>
  <si>
    <t>Swisspacer-U noir</t>
  </si>
  <si>
    <t>Swisspacer-U grau</t>
  </si>
  <si>
    <t>Swisspacer-U grey</t>
  </si>
  <si>
    <t>Swisspacer-U gris</t>
  </si>
  <si>
    <t>Statik:</t>
  </si>
  <si>
    <t>Statics:</t>
  </si>
  <si>
    <t>Statique:</t>
  </si>
  <si>
    <t>Windlast:</t>
  </si>
  <si>
    <t>Wind load:</t>
  </si>
  <si>
    <t>Charge de vent:</t>
  </si>
  <si>
    <t>Bemerkung:</t>
  </si>
  <si>
    <t xml:space="preserve">Notes: </t>
  </si>
  <si>
    <t>Remarques</t>
  </si>
  <si>
    <t>Zubehör:</t>
  </si>
  <si>
    <t>Accessories:</t>
  </si>
  <si>
    <t>Sun-Box</t>
  </si>
  <si>
    <t>Glastyp wählen</t>
  </si>
  <si>
    <t>choose glass-type</t>
  </si>
  <si>
    <t>Choisissez verre</t>
  </si>
  <si>
    <t>Pos:</t>
  </si>
  <si>
    <t>Item:</t>
  </si>
  <si>
    <t>Stück:</t>
  </si>
  <si>
    <t>Piece:</t>
  </si>
  <si>
    <t>Pce(s):</t>
  </si>
  <si>
    <t>Seite:</t>
  </si>
  <si>
    <t>Page:</t>
  </si>
  <si>
    <t>VSG mit P4A</t>
  </si>
  <si>
    <t>VSG with P4A</t>
  </si>
  <si>
    <t>VSG avec P4A</t>
  </si>
  <si>
    <t>Insektenschutz</t>
  </si>
  <si>
    <t>Insect Screen</t>
  </si>
  <si>
    <t>Sprache</t>
  </si>
  <si>
    <t>DEUTSCH</t>
  </si>
  <si>
    <t>ENGLISH</t>
  </si>
  <si>
    <t>FRANÇAIS</t>
  </si>
  <si>
    <t>ITALIANO</t>
  </si>
  <si>
    <t>BESTELLUNG</t>
  </si>
  <si>
    <t>ORDER</t>
  </si>
  <si>
    <t>COMMANDE</t>
  </si>
  <si>
    <t>ORDINE</t>
  </si>
  <si>
    <t>Secondo il disegno N°:</t>
  </si>
  <si>
    <t>Conformément au dessin n°:</t>
  </si>
  <si>
    <r>
      <t>Gemäss Skizze:</t>
    </r>
    <r>
      <rPr>
        <sz val="8"/>
        <color theme="1"/>
        <rFont val="Arial"/>
        <family val="2"/>
      </rPr>
      <t xml:space="preserve"> (Ansicht von Aussen)</t>
    </r>
  </si>
  <si>
    <r>
      <t xml:space="preserve">in accordance with diagram: </t>
    </r>
    <r>
      <rPr>
        <sz val="8"/>
        <color theme="1"/>
        <rFont val="Arial"/>
        <family val="2"/>
      </rPr>
      <t>(from outside)</t>
    </r>
  </si>
  <si>
    <r>
      <t xml:space="preserve">Conformément au croquis: </t>
    </r>
    <r>
      <rPr>
        <sz val="8"/>
        <color theme="1"/>
        <rFont val="Arial"/>
        <family val="2"/>
      </rPr>
      <t>(vue de l'extérieur)</t>
    </r>
  </si>
  <si>
    <t>Date de commande:</t>
  </si>
  <si>
    <t>Data d'ordine:</t>
  </si>
  <si>
    <t>Progetto N°:</t>
  </si>
  <si>
    <t>Divisioni dimensioni d'asse</t>
  </si>
  <si>
    <r>
      <rPr>
        <b/>
        <sz val="10"/>
        <color theme="1"/>
        <rFont val="Arial"/>
        <family val="2"/>
      </rPr>
      <t>All panels same width</t>
    </r>
    <r>
      <rPr>
        <sz val="10"/>
        <color theme="1"/>
        <rFont val="Arial"/>
        <family val="2"/>
      </rPr>
      <t xml:space="preserve"> (recommendation)</t>
    </r>
  </si>
  <si>
    <r>
      <rPr>
        <b/>
        <sz val="10"/>
        <color theme="1"/>
        <rFont val="Arial"/>
        <family val="2"/>
      </rPr>
      <t>alle Gläser gleiche Breite</t>
    </r>
    <r>
      <rPr>
        <sz val="10"/>
        <color theme="1"/>
        <rFont val="Arial"/>
        <family val="2"/>
      </rPr>
      <t xml:space="preserve"> (Empfehlung)</t>
    </r>
  </si>
  <si>
    <t>Speziell:</t>
  </si>
  <si>
    <t>Special:</t>
  </si>
  <si>
    <t>Spécial:</t>
  </si>
  <si>
    <t>Speciale:</t>
  </si>
  <si>
    <t>Schallschutz</t>
  </si>
  <si>
    <t>MINERGIE Modul</t>
  </si>
  <si>
    <t>MINERGIE-P Modul</t>
  </si>
  <si>
    <t>Gun</t>
  </si>
  <si>
    <t>(Schlagregen, Luftdurchlässigkeit)</t>
  </si>
  <si>
    <r>
      <t xml:space="preserve">Sound insulation </t>
    </r>
    <r>
      <rPr>
        <sz val="8"/>
        <color theme="1"/>
        <rFont val="Arial"/>
        <family val="2"/>
      </rPr>
      <t>(special case)</t>
    </r>
  </si>
  <si>
    <t>(water tightness, air permeability)</t>
  </si>
  <si>
    <t>Ètanchéité à la pluie battante / à l'air)</t>
  </si>
  <si>
    <r>
      <t>Protection acoustique</t>
    </r>
    <r>
      <rPr>
        <sz val="8"/>
        <color theme="1"/>
        <rFont val="Arial"/>
        <family val="2"/>
      </rPr>
      <t xml:space="preserve"> (cas d'espèce)</t>
    </r>
  </si>
  <si>
    <t>Monitoraggio rottura del vetro (G)</t>
  </si>
  <si>
    <t>Controllo di posizione (P)</t>
  </si>
  <si>
    <t>Controllo di chiavistello (R)</t>
  </si>
  <si>
    <t>Azionamento elettrico:</t>
  </si>
  <si>
    <t>pz.</t>
  </si>
  <si>
    <t>Larghezza =</t>
  </si>
  <si>
    <t>Altezza maniglia:</t>
  </si>
  <si>
    <t>Handle height:</t>
  </si>
  <si>
    <t>Griffhöhe:</t>
  </si>
  <si>
    <t>Altezza =</t>
  </si>
  <si>
    <t>Superficie:</t>
  </si>
  <si>
    <t>anodizzato (Qualanod):</t>
  </si>
  <si>
    <t>anodisé (Qualanod):</t>
  </si>
  <si>
    <t>20 my (standard)</t>
  </si>
  <si>
    <t>+pre-anodizzazione</t>
  </si>
  <si>
    <t>Tipo del vetro: SG = "Sky-Glass"</t>
  </si>
  <si>
    <t>Swisspacer-U nero</t>
  </si>
  <si>
    <t>Swisspacer-U grigio</t>
  </si>
  <si>
    <t>Statica:</t>
  </si>
  <si>
    <t>RC2: zwingend 1050mm</t>
  </si>
  <si>
    <t>RC2: must 1050mm</t>
  </si>
  <si>
    <t>RC2: exige 1050mm</t>
  </si>
  <si>
    <t>RC2: obbligatorio 1050mm</t>
  </si>
  <si>
    <t>min: RV=200 MVv=750</t>
  </si>
  <si>
    <t>Standard = 1050mm</t>
  </si>
  <si>
    <t>VSG con P4A</t>
  </si>
  <si>
    <t>Pz:</t>
  </si>
  <si>
    <t>Verschlussgriffe:</t>
  </si>
  <si>
    <t>ohne Verschlussraster</t>
  </si>
  <si>
    <t>2-Punkt Verriegelung</t>
  </si>
  <si>
    <t>3-Punkt Verriegelung</t>
  </si>
  <si>
    <t>mit Verschlussraster (Druckknopf)</t>
  </si>
  <si>
    <t>L=52mm</t>
  </si>
  <si>
    <t>L=82mm</t>
  </si>
  <si>
    <t>L=112mm</t>
  </si>
  <si>
    <t>Sockelbefestigung:</t>
  </si>
  <si>
    <t>Verstellschrauben M10 x</t>
  </si>
  <si>
    <t>L=70mm</t>
  </si>
  <si>
    <t>L=100mm</t>
  </si>
  <si>
    <t>ohne</t>
  </si>
  <si>
    <t>inklusive</t>
  </si>
  <si>
    <t>Rahmenzusammenbau:</t>
  </si>
  <si>
    <t>Gehrungsstoss (A)</t>
  </si>
  <si>
    <t>Logistik:</t>
  </si>
  <si>
    <t>nach Stockwerk:</t>
  </si>
  <si>
    <t>Schwarz</t>
  </si>
  <si>
    <t>Ja</t>
  </si>
  <si>
    <t>Nein</t>
  </si>
  <si>
    <t>Digitale Unterschrift:</t>
  </si>
  <si>
    <t>orders@sky-frame.ch</t>
  </si>
  <si>
    <t>Bestellung an:</t>
  </si>
  <si>
    <t xml:space="preserve">Yes </t>
  </si>
  <si>
    <t>No</t>
  </si>
  <si>
    <t>Digitale signature:</t>
  </si>
  <si>
    <t>CODE</t>
  </si>
  <si>
    <t>mm</t>
  </si>
  <si>
    <t>E6 EV1</t>
  </si>
  <si>
    <t>Ug=</t>
  </si>
  <si>
    <t>Lt=</t>
  </si>
  <si>
    <t>g=</t>
  </si>
  <si>
    <t>Bestelldatum:</t>
  </si>
  <si>
    <t>Date of order:</t>
  </si>
  <si>
    <t>Richtung</t>
  </si>
  <si>
    <t>R</t>
  </si>
  <si>
    <t>L</t>
  </si>
  <si>
    <t>F</t>
  </si>
  <si>
    <t>Zeichen</t>
  </si>
  <si>
    <t>→</t>
  </si>
  <si>
    <t>←</t>
  </si>
  <si>
    <t>+</t>
  </si>
  <si>
    <t>Rückgabewert Kontrollkästchen</t>
  </si>
  <si>
    <t>Electric drive, amount</t>
  </si>
  <si>
    <t>Pag.:</t>
  </si>
  <si>
    <t>Antriebe</t>
  </si>
  <si>
    <t>Feld 1</t>
  </si>
  <si>
    <t>Feld 2</t>
  </si>
  <si>
    <t>Feld 3</t>
  </si>
  <si>
    <t>Feld 4</t>
  </si>
  <si>
    <t>Feld 5</t>
  </si>
  <si>
    <t>Feld 6</t>
  </si>
  <si>
    <t>Feld 7</t>
  </si>
  <si>
    <t>Feld 8</t>
  </si>
  <si>
    <t>Feld 9</t>
  </si>
  <si>
    <t>Feld 10</t>
  </si>
  <si>
    <t>Alarmrückmeldung</t>
  </si>
  <si>
    <t>PÜ</t>
  </si>
  <si>
    <t>RÜ</t>
  </si>
  <si>
    <t>GÜ</t>
  </si>
  <si>
    <t>A-Ecke 90°</t>
  </si>
  <si>
    <t>I-Ecke 90°</t>
  </si>
  <si>
    <t>Drop&amp;Down / Sprachrückgabe</t>
  </si>
  <si>
    <t>A-Ecke≠90°</t>
  </si>
  <si>
    <t>I-Ecke≠90°</t>
  </si>
  <si>
    <t>Gleiszuordnung</t>
  </si>
  <si>
    <t>==============</t>
  </si>
  <si>
    <t>Profilüberprüfung</t>
  </si>
  <si>
    <t>Seitenteil R</t>
  </si>
  <si>
    <t>Seitenteil L</t>
  </si>
  <si>
    <t>KABA L</t>
  </si>
  <si>
    <t>KABA R</t>
  </si>
  <si>
    <t>E6 / 3145</t>
  </si>
  <si>
    <t>E6 / 3115</t>
  </si>
  <si>
    <t>E6 / 3165</t>
  </si>
  <si>
    <t>E6 / 3175</t>
  </si>
  <si>
    <t>E6 / 3178</t>
  </si>
  <si>
    <t>E6 / 3180</t>
  </si>
  <si>
    <t>20my</t>
  </si>
  <si>
    <t>25my</t>
  </si>
  <si>
    <t>SG-01</t>
  </si>
  <si>
    <t>SG-02</t>
  </si>
  <si>
    <t>SG-03</t>
  </si>
  <si>
    <t>SG-04</t>
  </si>
  <si>
    <t>SG-05</t>
  </si>
  <si>
    <t>SG-06</t>
  </si>
  <si>
    <t>SG-11</t>
  </si>
  <si>
    <t>SG-12</t>
  </si>
  <si>
    <t>SG-13</t>
  </si>
  <si>
    <t>SG-14</t>
  </si>
  <si>
    <t>SG-15</t>
  </si>
  <si>
    <t>SG-16</t>
  </si>
  <si>
    <t>SG-21</t>
  </si>
  <si>
    <t>SG-22</t>
  </si>
  <si>
    <t>SG-23</t>
  </si>
  <si>
    <t>SG-24</t>
  </si>
  <si>
    <t>SG-25</t>
  </si>
  <si>
    <t>SG-26</t>
  </si>
  <si>
    <t>Griff Innen</t>
  </si>
  <si>
    <t>Griff beidseitig</t>
  </si>
  <si>
    <t>Griff Innen+Z</t>
  </si>
  <si>
    <t>Griff beidseitig+Z</t>
  </si>
  <si>
    <t>Befestigung:</t>
  </si>
  <si>
    <t>Locking handles:</t>
  </si>
  <si>
    <t>non self locking (pushbutton)</t>
  </si>
  <si>
    <t>self locking</t>
  </si>
  <si>
    <t>2-point locking</t>
  </si>
  <si>
    <t>3-point locking</t>
  </si>
  <si>
    <t>Connection:</t>
  </si>
  <si>
    <t>Base connection:</t>
  </si>
  <si>
    <t>Adjusting screws M10 x</t>
  </si>
  <si>
    <t>none</t>
  </si>
  <si>
    <t>inclusive</t>
  </si>
  <si>
    <t>Sockel 75</t>
  </si>
  <si>
    <t>base 75</t>
  </si>
  <si>
    <t>Frame assembly:</t>
  </si>
  <si>
    <t>Mitre connection (A)</t>
  </si>
  <si>
    <t>Single profile (B)</t>
  </si>
  <si>
    <t>Logistics:</t>
  </si>
  <si>
    <t>Preferred delivery date:</t>
  </si>
  <si>
    <t>Wunschtermin:</t>
  </si>
  <si>
    <t>Color of rails + screw locking mechanisms:</t>
  </si>
  <si>
    <t>black</t>
  </si>
  <si>
    <t>order to:</t>
  </si>
  <si>
    <t>This order is binding and must be filled out completely. Changes will be charged as extra costs.</t>
  </si>
  <si>
    <t>Please choose:</t>
  </si>
  <si>
    <t>Bitte auswählen:</t>
  </si>
  <si>
    <t>Poignées de verrouillage:</t>
  </si>
  <si>
    <t>verrouillage à 3 points</t>
  </si>
  <si>
    <t>verrouillage à 2 points</t>
  </si>
  <si>
    <t>Fixation:</t>
  </si>
  <si>
    <t>Fixation du socle:</t>
  </si>
  <si>
    <t>Vis de réglage M10 x</t>
  </si>
  <si>
    <t>sans</t>
  </si>
  <si>
    <t>avec</t>
  </si>
  <si>
    <t>socle 75</t>
  </si>
  <si>
    <t>Assemblage du cadre:</t>
  </si>
  <si>
    <t>Raccord en onglet (A)</t>
  </si>
  <si>
    <t>Montage préparé (B)</t>
  </si>
  <si>
    <t>Date de livraison souhaitée:</t>
  </si>
  <si>
    <t>noir</t>
  </si>
  <si>
    <t>Maniglia di chiusura:</t>
  </si>
  <si>
    <t>Fissaggio:</t>
  </si>
  <si>
    <t>Vite universale (Inox):</t>
  </si>
  <si>
    <t>Fissaggio della base:</t>
  </si>
  <si>
    <t>Vite regolabile M10 x</t>
  </si>
  <si>
    <t>senza</t>
  </si>
  <si>
    <t>con</t>
  </si>
  <si>
    <t>Montaggio del telaio:</t>
  </si>
  <si>
    <t>Giunzione ad angolo (A)</t>
  </si>
  <si>
    <t>Logistica:</t>
  </si>
  <si>
    <t>nero</t>
  </si>
  <si>
    <t>Si</t>
  </si>
  <si>
    <t>Firma digitale:</t>
  </si>
  <si>
    <t>Universalschrauben (A2):</t>
  </si>
  <si>
    <t>Universal screws (Inox):</t>
  </si>
  <si>
    <t>Vis universelles (Inox),:</t>
  </si>
  <si>
    <t>Zahlen</t>
  </si>
  <si>
    <t>moustiquaire</t>
  </si>
  <si>
    <t>verrouillage manuelle (bouton-pression)</t>
  </si>
  <si>
    <t>verrouilage automatique</t>
  </si>
  <si>
    <t>Oui</t>
  </si>
  <si>
    <t>Signature numérique:</t>
  </si>
  <si>
    <t>À commander chez:</t>
  </si>
  <si>
    <t>angle éxterieur 90°</t>
  </si>
  <si>
    <t>angle éxterieur ≠90°</t>
  </si>
  <si>
    <t>à choisir:</t>
  </si>
  <si>
    <t>Standardgrundplatten:</t>
  </si>
  <si>
    <t>Standard brackets:</t>
  </si>
  <si>
    <t>Plaques de base standard:</t>
  </si>
  <si>
    <t>Montagestoss (B)</t>
  </si>
  <si>
    <t>ohne Glas-Sortierung</t>
  </si>
  <si>
    <t>sans tri de verre</t>
  </si>
  <si>
    <t>sorted by floor:</t>
  </si>
  <si>
    <t>à l'étage:</t>
  </si>
  <si>
    <t>Wetterschenkel</t>
  </si>
  <si>
    <t xml:space="preserve">Weatherboard </t>
  </si>
  <si>
    <t xml:space="preserve">Rejet d'eau </t>
  </si>
  <si>
    <t>Logistique:</t>
  </si>
  <si>
    <t>Accessoires:</t>
  </si>
  <si>
    <t>Classifications obl.:</t>
  </si>
  <si>
    <t>Req. classifications:</t>
  </si>
  <si>
    <r>
      <rPr>
        <b/>
        <sz val="10"/>
        <color theme="1"/>
        <rFont val="Arial"/>
        <family val="2"/>
      </rPr>
      <t>P</t>
    </r>
    <r>
      <rPr>
        <sz val="10"/>
        <color theme="1"/>
        <rFont val="Arial"/>
        <family val="2"/>
      </rPr>
      <t>ositionsüberwachung (P)</t>
    </r>
  </si>
  <si>
    <r>
      <rPr>
        <b/>
        <sz val="10"/>
        <color theme="1"/>
        <rFont val="Arial"/>
        <family val="2"/>
      </rPr>
      <t>R</t>
    </r>
    <r>
      <rPr>
        <sz val="10"/>
        <color theme="1"/>
        <rFont val="Arial"/>
        <family val="2"/>
      </rPr>
      <t xml:space="preserve">iegelüberwachung (R) </t>
    </r>
  </si>
  <si>
    <t xml:space="preserve">Surveillance du pêne (R) </t>
  </si>
  <si>
    <r>
      <rPr>
        <b/>
        <sz val="10"/>
        <color theme="1"/>
        <rFont val="Arial"/>
        <family val="2"/>
      </rPr>
      <t>G</t>
    </r>
    <r>
      <rPr>
        <sz val="10"/>
        <color theme="1"/>
        <rFont val="Arial"/>
        <family val="2"/>
      </rPr>
      <t>lasbruchüberwachung (G)</t>
    </r>
  </si>
  <si>
    <t>KABA (22)</t>
  </si>
  <si>
    <t>PZ / Euro (17)</t>
  </si>
  <si>
    <t>2-binari</t>
  </si>
  <si>
    <t>3-binari</t>
  </si>
  <si>
    <t>4-binari</t>
  </si>
  <si>
    <t>Prot. contro l'effrazione RC2</t>
  </si>
  <si>
    <t>(Resistenza alla pioggia battente / all'aria)</t>
  </si>
  <si>
    <t>Protezione acustica</t>
  </si>
  <si>
    <t>25 my (Pool/Mare)</t>
  </si>
  <si>
    <t>Carico del vento:</t>
  </si>
  <si>
    <t>Nota:</t>
  </si>
  <si>
    <t>Accessori</t>
  </si>
  <si>
    <t>Gocciolatoio L=</t>
  </si>
  <si>
    <t>Piastra di base standard</t>
  </si>
  <si>
    <t>Scegli vetro</t>
  </si>
  <si>
    <t>Zanzariera</t>
  </si>
  <si>
    <t>blocco automatico</t>
  </si>
  <si>
    <t>serratura a 2 punti</t>
  </si>
  <si>
    <t>serratura a 3 punti</t>
  </si>
  <si>
    <t>Data di consegna preferita:</t>
  </si>
  <si>
    <t>Ordine a:</t>
  </si>
  <si>
    <t>Angolo esterno 90°</t>
  </si>
  <si>
    <t>Angolo interno 90°</t>
  </si>
  <si>
    <t>Angolo esterno≠90°</t>
  </si>
  <si>
    <t>Angolo interno≠90°</t>
  </si>
  <si>
    <t>Prego selezionare:</t>
  </si>
  <si>
    <t>Secondo lo schizzo: (vista esterna)</t>
  </si>
  <si>
    <r>
      <t xml:space="preserve">Tutti i vetri stessa larghezza </t>
    </r>
    <r>
      <rPr>
        <sz val="10"/>
        <color theme="1"/>
        <rFont val="Arial"/>
        <family val="2"/>
      </rPr>
      <t>(consigliato)</t>
    </r>
  </si>
  <si>
    <t>Soupape compensation de pression:</t>
  </si>
  <si>
    <r>
      <t>Druckausgleichsventile</t>
    </r>
    <r>
      <rPr>
        <sz val="8"/>
        <color theme="1"/>
        <rFont val="Arial"/>
        <family val="2"/>
      </rPr>
      <t xml:space="preserve"> :</t>
    </r>
  </si>
  <si>
    <t>Valvola di compensazione:</t>
  </si>
  <si>
    <t>pulverbeschichtet:</t>
  </si>
  <si>
    <t>powder coated:</t>
  </si>
  <si>
    <t>revêtement par poudre:</t>
  </si>
  <si>
    <t>verniciatura a polvere:</t>
  </si>
  <si>
    <t>Farbe Laufschiene + Schraubenarretierungen:</t>
  </si>
  <si>
    <t>Colour des rails + arrêtoirs de vis enduites:</t>
  </si>
  <si>
    <t>Colore del binario + vite di bloccaggio:</t>
  </si>
  <si>
    <t>120101/120101</t>
  </si>
  <si>
    <t>120101/120401</t>
  </si>
  <si>
    <t>120401/120401</t>
  </si>
  <si>
    <t>mit CFK</t>
  </si>
  <si>
    <t>with CFK</t>
  </si>
  <si>
    <t>avec CFK</t>
  </si>
  <si>
    <t>con CFK</t>
  </si>
  <si>
    <t>ohne CFK</t>
  </si>
  <si>
    <t>without CFK</t>
  </si>
  <si>
    <t>sans CFK</t>
  </si>
  <si>
    <t>senza CFK</t>
  </si>
  <si>
    <t>mit Stahl</t>
  </si>
  <si>
    <t>ohne Stahl</t>
  </si>
  <si>
    <t>with steel</t>
  </si>
  <si>
    <t>without steel</t>
  </si>
  <si>
    <t>avec acier</t>
  </si>
  <si>
    <t>sans acier</t>
  </si>
  <si>
    <t>321901/321901</t>
  </si>
  <si>
    <t>321901/322301</t>
  </si>
  <si>
    <t>Ganzglas-Ecke</t>
  </si>
  <si>
    <t>Ecke RC2 (WK2)</t>
  </si>
  <si>
    <t>Standard (RC2 in Anlehnung)</t>
  </si>
  <si>
    <t>fixed corner glazing</t>
  </si>
  <si>
    <t>Standard (RC2 in accordance)</t>
  </si>
  <si>
    <t>Angle vitré</t>
  </si>
  <si>
    <t>Angle RC2 (WK2)</t>
  </si>
  <si>
    <t>Standard (basé sur RC2)</t>
  </si>
  <si>
    <t>Angolo tuttovetro</t>
  </si>
  <si>
    <t>Angolo RC2 (WK2)</t>
  </si>
  <si>
    <t>Standard (sulla base RC2)</t>
  </si>
  <si>
    <t>110101/110301</t>
  </si>
  <si>
    <t>110101/110501</t>
  </si>
  <si>
    <t>mit AL.</t>
  </si>
  <si>
    <t>ohne AL.</t>
  </si>
  <si>
    <t>without AL.</t>
  </si>
  <si>
    <t>with AL.</t>
  </si>
  <si>
    <t>avec AL.</t>
  </si>
  <si>
    <t>sans AL.</t>
  </si>
  <si>
    <t>con AL.</t>
  </si>
  <si>
    <t>senza AL.</t>
  </si>
  <si>
    <t>Ecke RC2</t>
  </si>
  <si>
    <t>L'ordine è vincolante e deve essere compilato completamente. Le modifiche saranno fatturate come lavoro supplementare.</t>
  </si>
  <si>
    <t>Ecke:</t>
  </si>
  <si>
    <t>Angle:</t>
  </si>
  <si>
    <t>Angolo:</t>
  </si>
  <si>
    <t>Silber</t>
  </si>
  <si>
    <t>silver</t>
  </si>
  <si>
    <r>
      <t>argent</t>
    </r>
    <r>
      <rPr>
        <sz val="8"/>
        <color theme="1"/>
        <rFont val="Arial"/>
        <family val="2"/>
      </rPr>
      <t xml:space="preserve"> </t>
    </r>
  </si>
  <si>
    <t>argento</t>
  </si>
  <si>
    <t>con acciaio</t>
  </si>
  <si>
    <t>senza acciaio</t>
  </si>
  <si>
    <t>Sockelprofil 95</t>
  </si>
  <si>
    <t>Sockelprofil 45</t>
  </si>
  <si>
    <t>Verschlüsse anzeigen</t>
  </si>
  <si>
    <t>mit Verschlussraster (Zylinder)</t>
  </si>
  <si>
    <t>non self locking (cylinder)</t>
  </si>
  <si>
    <t>blocco manuale (con cilindro)</t>
  </si>
  <si>
    <t>verrouillage manuelle (cylindre)</t>
  </si>
  <si>
    <t>Wert:</t>
  </si>
  <si>
    <t>value:</t>
  </si>
  <si>
    <t>valeur:</t>
  </si>
  <si>
    <t>valore:</t>
  </si>
  <si>
    <t>■₂</t>
  </si>
  <si>
    <t>■₁</t>
  </si>
  <si>
    <t>BHF Typ 1</t>
  </si>
  <si>
    <t>BHF Typ 2</t>
  </si>
  <si>
    <t>NFRC (USA)</t>
  </si>
  <si>
    <t>Sprache:</t>
  </si>
  <si>
    <t>Language:</t>
  </si>
  <si>
    <t>Langue:</t>
  </si>
  <si>
    <t>Lingua:</t>
  </si>
  <si>
    <t>angle intérieur 90°</t>
  </si>
  <si>
    <t>angle intérieur ≠90°</t>
  </si>
  <si>
    <t>Achsmass →</t>
  </si>
  <si>
    <t>Axis →</t>
  </si>
  <si>
    <t>axe →</t>
  </si>
  <si>
    <t>asse →</t>
  </si>
  <si>
    <t>Bestellung vollständig ausfüllen.</t>
  </si>
  <si>
    <t>Überprüfung vollständigkeit</t>
  </si>
  <si>
    <t>Bestellung</t>
  </si>
  <si>
    <t>Objekt</t>
  </si>
  <si>
    <t>Position</t>
  </si>
  <si>
    <t>Geleise</t>
  </si>
  <si>
    <t>Ansicht</t>
  </si>
  <si>
    <t>Achsmass</t>
  </si>
  <si>
    <t>Angabe Achsmass</t>
  </si>
  <si>
    <t>Breite</t>
  </si>
  <si>
    <t>Seitenteile</t>
  </si>
  <si>
    <t>Sockelpr.</t>
  </si>
  <si>
    <t>Anforderungen</t>
  </si>
  <si>
    <t>Oberfläche</t>
  </si>
  <si>
    <t>Anleitung:</t>
  </si>
  <si>
    <t>Überprüfen ob keine roten Rahmen aufleuchten.</t>
  </si>
  <si>
    <t>Bestellung senden an:</t>
  </si>
  <si>
    <t>Glas</t>
  </si>
  <si>
    <t>Verschlussgriff</t>
  </si>
  <si>
    <t>Termin</t>
  </si>
  <si>
    <t>Istruzione:</t>
  </si>
  <si>
    <t>Riempire l'ordine completamente.</t>
  </si>
  <si>
    <t>Controllare che nessuna cornice rossa si accendono.</t>
  </si>
  <si>
    <t>Inviare l'ordine a:</t>
  </si>
  <si>
    <t>Labyrinthe</t>
  </si>
  <si>
    <t>Laby I od. A</t>
  </si>
  <si>
    <t>Labyrinth Innen</t>
  </si>
  <si>
    <t>Labyrinth Aussen</t>
  </si>
  <si>
    <t>Verschluss Innen</t>
  </si>
  <si>
    <t>Verschluss Aussen</t>
  </si>
  <si>
    <t>Ecken</t>
  </si>
  <si>
    <t>Eckprofil</t>
  </si>
  <si>
    <t>MVv I od. A</t>
  </si>
  <si>
    <t>Instruction:</t>
  </si>
  <si>
    <t>Fill the order entirely.</t>
  </si>
  <si>
    <t>Check if there are no more red borders.</t>
  </si>
  <si>
    <t>Send the order to the following address:</t>
  </si>
  <si>
    <t>Remplissez la commande en entier.</t>
  </si>
  <si>
    <t>Envoyez la commande à l’adresse suivante:</t>
  </si>
  <si>
    <t>Vérifiez s’il n’y a plus des bordures rouges.</t>
  </si>
  <si>
    <t>Prep. di montaggio singolo (B)</t>
  </si>
  <si>
    <t>Classificazioni obblig.:</t>
  </si>
  <si>
    <t>Bemerkungen:</t>
  </si>
  <si>
    <t>Diese Bestellung ist verbindlich und muss komplett ausgefüllt werden. Änderungen werden als Mehraufwand verrechnet.</t>
  </si>
  <si>
    <t>Sales Partner:</t>
  </si>
  <si>
    <t>Vertriebspartner:</t>
  </si>
  <si>
    <t xml:space="preserve">Objekt: </t>
  </si>
  <si>
    <t xml:space="preserve">Project: </t>
  </si>
  <si>
    <t xml:space="preserve">Bâtiment: </t>
  </si>
  <si>
    <t xml:space="preserve">Ogetto: </t>
  </si>
  <si>
    <t>Associé commercial:</t>
  </si>
  <si>
    <t>Remarques:</t>
  </si>
  <si>
    <t>Comment:</t>
  </si>
  <si>
    <t>-
-
-
-</t>
  </si>
  <si>
    <t>Commenti:</t>
  </si>
  <si>
    <t>Vetro non assortito</t>
  </si>
  <si>
    <t>Vetro assortito per piano</t>
  </si>
  <si>
    <t>MV vorhanden?</t>
  </si>
  <si>
    <t>Öffnung angeben →</t>
  </si>
  <si>
    <t>1.</t>
  </si>
  <si>
    <t>2.</t>
  </si>
  <si>
    <t>Öffnung MV</t>
  </si>
  <si>
    <t>Specify opening →</t>
  </si>
  <si>
    <t>Spécifiez ouverture →</t>
  </si>
  <si>
    <t>Specificare apertura →</t>
  </si>
  <si>
    <t>Anzahl Ecken</t>
  </si>
  <si>
    <t>© by Maurin Müller, 2015</t>
  </si>
  <si>
    <t>Datum</t>
  </si>
  <si>
    <t>Verbesserungswunsch</t>
  </si>
  <si>
    <t>abgelehnt</t>
  </si>
  <si>
    <t>erledigt</t>
  </si>
  <si>
    <t>Kürzel</t>
  </si>
  <si>
    <t>x</t>
  </si>
  <si>
    <t>ReB</t>
  </si>
  <si>
    <t>Glasauswahl erweitern (z.B. SP10)</t>
  </si>
  <si>
    <t>Bemerkung Mmü</t>
  </si>
  <si>
    <t>Eingabe möglich bei "Speziell"</t>
  </si>
  <si>
    <t>Dokument schreibgeschützt machen, damit keine alten Eingaben ersichtlich sind.</t>
  </si>
  <si>
    <t>Bei elektrischem Antrieb darf Verschlussraster nicht möglich sein.</t>
  </si>
  <si>
    <t xml:space="preserve">Machbarkeitsabfragen werden keine gemacht. </t>
  </si>
  <si>
    <t>ReB/OrN</t>
  </si>
  <si>
    <t>in Abklärung</t>
  </si>
  <si>
    <t xml:space="preserve">Elektrische Antrieb werden bei allen Felder automatisch ausgefüllt. Dies muss nicht immer der Fall sein. Antrieb muss ausgewählt werden. </t>
  </si>
  <si>
    <t>VP-Name kann nirgends eingegeben werden.</t>
  </si>
  <si>
    <t>SF1 und SF3 muss auch möglich sein.</t>
  </si>
  <si>
    <t>Wird mit separatem Excel möglich sein.</t>
  </si>
  <si>
    <t>Löschbutton um die Angaben zu löschen wird gewünscht.</t>
  </si>
  <si>
    <t>Ohne Makro leider nicht möglich.</t>
  </si>
  <si>
    <t xml:space="preserve">Es sollten keine Standards ausgewählt sein, da die Gefahr des Vergessens zu gross ist. </t>
  </si>
  <si>
    <t>Laufschienenfarbe kann nicht gewählt werden.</t>
  </si>
  <si>
    <t>Kreuz anstatt Häckchen, da besser lesbar.</t>
  </si>
  <si>
    <t>Im Excel nicht möglich</t>
  </si>
  <si>
    <t>BHF Typ 2 funktioniert nicht überall.</t>
  </si>
  <si>
    <t>Breitenangabe bei BHF muss genau angegeben werden können.</t>
  </si>
  <si>
    <t xml:space="preserve">VP muss Pläne mit Detail zusenden. </t>
  </si>
  <si>
    <t>Bestellung für 5-Gleiser ermöglichen</t>
  </si>
  <si>
    <t>Eingabe Stockwerk ist Text grau. Kaum lesbar. Bitte in Schwarz</t>
  </si>
  <si>
    <t>Testhinweise hinzufügen (Griffhöhe bei RC2 etc.)</t>
  </si>
  <si>
    <t>Text für Mehraufwände wird nicht komplett angezeigt.</t>
  </si>
  <si>
    <t>Mmü</t>
  </si>
  <si>
    <t xml:space="preserve">Bei Ecken müssen mehrere Breiten angegeben werden können. </t>
  </si>
  <si>
    <t>AnC</t>
  </si>
  <si>
    <t>Bei Ecke oder MV muss 1.Öffnend und 2.Öffnend angegeben werden können.</t>
  </si>
  <si>
    <t xml:space="preserve">P- und R-Überwachung darf nur bei Schieber angezeigt werden. </t>
  </si>
  <si>
    <t>ReB/AnC</t>
  </si>
  <si>
    <t>Glassortierung auf Italienisch nicht klar.</t>
  </si>
  <si>
    <t>Text auf Italienisch bei Montagestoss nur schwer lesbar.</t>
  </si>
  <si>
    <t xml:space="preserve">Wenn MV verwendet wird, fehlt die Kontrolle der Vollständigkeit. </t>
  </si>
  <si>
    <t>ReB/AnK</t>
  </si>
  <si>
    <t>OrN</t>
  </si>
  <si>
    <t>Textfelder sollten nur eingeblendet werden, wenn das gefordert wird.</t>
  </si>
  <si>
    <t xml:space="preserve">Mit Häckchen eine zusätzliche Abfrage machen. </t>
  </si>
  <si>
    <t>Nicht relevante Daten mittels "Bedingte Formatierung" ausblenden.</t>
  </si>
  <si>
    <t>Titel für "Features" hinzufügen</t>
  </si>
  <si>
    <t>5-gleisig</t>
  </si>
  <si>
    <t>5-track</t>
  </si>
  <si>
    <t>5-binari</t>
  </si>
  <si>
    <t>5-trails</t>
  </si>
  <si>
    <t>In Feld "AT5" die Zahl 1 eingeben!</t>
  </si>
  <si>
    <t>Features</t>
  </si>
  <si>
    <t>Wenn 5-Gleiser gewählt, Hinweis das etwas Speziell ist.</t>
  </si>
  <si>
    <t xml:space="preserve">Hindergrund Rot einfärben. </t>
  </si>
  <si>
    <t>Abfrage Griffe</t>
  </si>
  <si>
    <t>Auswahl CFK, Stahl, AL.</t>
  </si>
  <si>
    <t>Bei Labyrinthen und Verschlüssen ausgeführt</t>
  </si>
  <si>
    <t>Pressure compensating valve:</t>
  </si>
  <si>
    <t>Befestigung</t>
  </si>
  <si>
    <t>Verstellschrauben</t>
  </si>
  <si>
    <t>Standardgrundpl.</t>
  </si>
  <si>
    <t>Rahmenzusammenbau</t>
  </si>
  <si>
    <t>JaR</t>
  </si>
  <si>
    <t>Eingabe Stockwerk ist gesperrt.</t>
  </si>
  <si>
    <t>Feld richtig formatieren.</t>
  </si>
  <si>
    <t>Oben Links</t>
  </si>
  <si>
    <t>Oben Rechts</t>
  </si>
  <si>
    <t>top left</t>
  </si>
  <si>
    <t>en haut à gauche</t>
  </si>
  <si>
    <t>sopra a sinistra</t>
  </si>
  <si>
    <t>top right</t>
  </si>
  <si>
    <t>en haut à droit</t>
  </si>
  <si>
    <t>sopra a destra</t>
  </si>
  <si>
    <t>Lage Glasspinne (Ansicht von Aussen)</t>
  </si>
  <si>
    <t>Position of the glass breakage detector (elevation from outside)</t>
  </si>
  <si>
    <t>Position du détécteur de bris de verre (vue extérieur)</t>
  </si>
  <si>
    <t>Posizione del monitoraggio rottura del vetro (vista esterna)</t>
  </si>
  <si>
    <t>Rinnenbestellung</t>
  </si>
  <si>
    <t>lose mitliefern</t>
  </si>
  <si>
    <t>vordefiniert</t>
  </si>
  <si>
    <t>Typ A</t>
  </si>
  <si>
    <t>Typ B</t>
  </si>
  <si>
    <t>Rinnenanschluss:</t>
  </si>
  <si>
    <t>Rinnenauswahl</t>
  </si>
  <si>
    <t>Glasbruch</t>
  </si>
  <si>
    <t>überprüfung Glasbruch</t>
  </si>
  <si>
    <t>Gesamt:</t>
  </si>
  <si>
    <t>U=</t>
  </si>
  <si>
    <t>SHGC=</t>
  </si>
  <si>
    <t>VT=</t>
  </si>
  <si>
    <t>Glastypen (STANDARD)</t>
  </si>
  <si>
    <t>Glastypen NFRC</t>
  </si>
  <si>
    <t>Ausgabe Bestellung</t>
  </si>
  <si>
    <t>Feld der Lieferung bleibt immer Rot.</t>
  </si>
  <si>
    <t>Position der Glasbruchüberwachung muss abgefragt werden, da diese Information in den meisten Fällen vergessen.</t>
  </si>
  <si>
    <t>RaN</t>
  </si>
  <si>
    <t>Bei NFRC nur die "Spezialgläser" auswählbar</t>
  </si>
  <si>
    <t>Andere Glasabfrage</t>
  </si>
  <si>
    <t>MMü</t>
  </si>
  <si>
    <t>Bilder bei Labyrinth 120101/120401 anpassen (Abfragekästchen verschoben!!)</t>
  </si>
  <si>
    <t>Verknüpfung "Vertriebspartner, Bestelldatum…" auf Position 2-10 automatisieren</t>
  </si>
  <si>
    <t>Bemerkungen für Vertriebspartner hinzufügen</t>
  </si>
  <si>
    <t>Hinweise für AVOR hinzufügen.</t>
  </si>
  <si>
    <t>MiS</t>
  </si>
  <si>
    <t>Hinweis bei Anleitung wenn Bestellung noch nicht vollständig ausgefüllt. ("Bestellung unvollständig"!)</t>
  </si>
  <si>
    <t>Rinnenbestellung integrieren</t>
  </si>
  <si>
    <t>Abfragefeld ausserhalb des Formulars</t>
  </si>
  <si>
    <t>Position für Glasbruchüberwachung auf Seite 2-10 anpassen (FELD "B2")</t>
  </si>
  <si>
    <t>Anschlussstutzen:</t>
  </si>
  <si>
    <t>Einzug an der rechten Anlagenseite:</t>
  </si>
  <si>
    <t>Einzug an der linken Anlagenseite:</t>
  </si>
  <si>
    <t>Wahl des Rinnensystems:</t>
  </si>
  <si>
    <t>Anzahl Anschlussstutzen:</t>
  </si>
  <si>
    <t>Kontrolle Rinne</t>
  </si>
  <si>
    <t>Rinnensystem</t>
  </si>
  <si>
    <t>Einzug links</t>
  </si>
  <si>
    <t>Einzug rechts</t>
  </si>
  <si>
    <t>Stutzen</t>
  </si>
  <si>
    <t>Anzahl/Masse</t>
  </si>
  <si>
    <t>Stutzentyp</t>
  </si>
  <si>
    <t>TOTAL</t>
  </si>
  <si>
    <t>SKY-M-1-00017-00001</t>
  </si>
  <si>
    <t>SKY-M-1-00007-00001</t>
  </si>
  <si>
    <t>SKY-M-1-00008-00001</t>
  </si>
  <si>
    <t>SKY-M-1-00009/10-00001</t>
  </si>
  <si>
    <t>SKY-M-1-00011/12-00001</t>
  </si>
  <si>
    <t>SKY-M-1-00013/14-00001</t>
  </si>
  <si>
    <t>SKY-M-1-00015/16-00001</t>
  </si>
  <si>
    <t>SKY-M-1-00018-00001</t>
  </si>
  <si>
    <t>SKY-M-1-00019/20-00001</t>
  </si>
  <si>
    <t>SKY-M-1-00021-00001</t>
  </si>
  <si>
    <t>SKY-M-1-00022/23-00001</t>
  </si>
  <si>
    <t>SKY-M-1-00024/25-00001</t>
  </si>
  <si>
    <t>SKY-M-1-00026-00001</t>
  </si>
  <si>
    <t>SKY-M-1-00027-00001</t>
  </si>
  <si>
    <t>SKY-M-1-00028/29-00001</t>
  </si>
  <si>
    <t>SKY-M-1-00030-00001</t>
  </si>
  <si>
    <t>SKY-M-1-00031-00001</t>
  </si>
  <si>
    <t>SKY-M-1-00032-00001</t>
  </si>
  <si>
    <t>SG-21-D</t>
  </si>
  <si>
    <t>SKY-M-1-00033-00001</t>
  </si>
  <si>
    <t>SG-22-D</t>
  </si>
  <si>
    <t>SKY-M-1-00034-00001</t>
  </si>
  <si>
    <t>SG-23-D</t>
  </si>
  <si>
    <t>SKY-M-1-00035/36-00001</t>
  </si>
  <si>
    <t>SG-24-D</t>
  </si>
  <si>
    <t>SKY-M-1-00037-00001</t>
  </si>
  <si>
    <t>SG-25-D</t>
  </si>
  <si>
    <t>SKY-M-1-00038-00001</t>
  </si>
  <si>
    <t>SG-26-D</t>
  </si>
  <si>
    <t>SKY-M-1-00039-00001</t>
  </si>
  <si>
    <t>SG-05-SGP</t>
  </si>
  <si>
    <t>SG-15-SGP</t>
  </si>
  <si>
    <t>SG-25-SGP</t>
  </si>
  <si>
    <t>SKY-M-1-00044-00001</t>
  </si>
  <si>
    <t>SKY-M-1-00040/41-00001</t>
  </si>
  <si>
    <t>SKY-M-1-00042/43-00001</t>
  </si>
  <si>
    <t>SG-25-D-SGP</t>
  </si>
  <si>
    <t>SKY-M-1-00045-00001</t>
  </si>
  <si>
    <t>Farbe Panele:</t>
  </si>
  <si>
    <t>Rahmenfarbe</t>
  </si>
  <si>
    <t>Glas Satinato</t>
  </si>
  <si>
    <t>Panele</t>
  </si>
  <si>
    <t>zu aufwändig</t>
  </si>
  <si>
    <t>Partner commerciale:</t>
  </si>
  <si>
    <t>destra</t>
  </si>
  <si>
    <t>sinistra</t>
  </si>
  <si>
    <t>Commande caniveau</t>
  </si>
  <si>
    <t>Livrer séparément</t>
  </si>
  <si>
    <t>Prédéfini</t>
  </si>
  <si>
    <t>Type A</t>
  </si>
  <si>
    <t>Type B</t>
  </si>
  <si>
    <t>Couleur cadre</t>
  </si>
  <si>
    <t>Verre satiné</t>
  </si>
  <si>
    <t>Kalenderwoche</t>
  </si>
  <si>
    <t>Kalenderwochenauswahl</t>
  </si>
  <si>
    <t>Ordine grondaia</t>
  </si>
  <si>
    <t>Selezione sistema grondaia:</t>
  </si>
  <si>
    <t>Connessione scarico:</t>
  </si>
  <si>
    <t>Consegna sciolto</t>
  </si>
  <si>
    <t>Predefinito</t>
  </si>
  <si>
    <t>Quantità connessione scarico:</t>
  </si>
  <si>
    <t>Tipo A</t>
  </si>
  <si>
    <t>Tipo B</t>
  </si>
  <si>
    <t>Connessione grondaia:</t>
  </si>
  <si>
    <t>Colore pannello:</t>
  </si>
  <si>
    <t>Colore telaio</t>
  </si>
  <si>
    <t>Vetro satinato</t>
  </si>
  <si>
    <t>Choix type caniveau:</t>
  </si>
  <si>
    <t>Retrait au pan gauche:</t>
  </si>
  <si>
    <t>Retrait au pan droite:</t>
  </si>
  <si>
    <t>Raccord:</t>
  </si>
  <si>
    <t>Nombre des raccords:</t>
  </si>
  <si>
    <t>Couleur panneaux:</t>
  </si>
  <si>
    <t>Drain gutter order</t>
  </si>
  <si>
    <t>Select gutter system:</t>
  </si>
  <si>
    <t>Deduct dimension from the left:</t>
  </si>
  <si>
    <t>Deduct dimension from the right:</t>
  </si>
  <si>
    <t>Connecting piece:</t>
  </si>
  <si>
    <t>Deliver separate</t>
  </si>
  <si>
    <t>Pre-select</t>
  </si>
  <si>
    <t>Amount of connectors:</t>
  </si>
  <si>
    <t>Gutter connection:</t>
  </si>
  <si>
    <t>Panel color:</t>
  </si>
  <si>
    <t>Frame color</t>
  </si>
  <si>
    <t>Glass satin</t>
  </si>
  <si>
    <t>Calendar week</t>
  </si>
  <si>
    <t>Semaine</t>
  </si>
  <si>
    <t>Settimana</t>
  </si>
  <si>
    <r>
      <t>Rinne</t>
    </r>
    <r>
      <rPr>
        <sz val="8"/>
        <color theme="1"/>
        <rFont val="Arial"/>
        <family val="2"/>
      </rPr>
      <t xml:space="preserve"> (siehe unten)</t>
    </r>
  </si>
  <si>
    <r>
      <t>Gutter</t>
    </r>
    <r>
      <rPr>
        <sz val="8"/>
        <color theme="1"/>
        <rFont val="Arial"/>
        <family val="2"/>
      </rPr>
      <t xml:space="preserve"> (below)</t>
    </r>
  </si>
  <si>
    <t>Grondaia (vedi sotto)</t>
  </si>
  <si>
    <r>
      <t xml:space="preserve">Rigole </t>
    </r>
    <r>
      <rPr>
        <sz val="8"/>
        <color theme="1"/>
        <rFont val="Arial"/>
        <family val="2"/>
      </rPr>
      <t>(ci-dessous)</t>
    </r>
  </si>
  <si>
    <t>L'ordre est contraignant et doit être rempli complètement. Des changements seront facturés comme travail supplémentaire.</t>
  </si>
  <si>
    <t>Type raccords:</t>
  </si>
  <si>
    <t>Corner:</t>
  </si>
  <si>
    <t>Corner RC2 (WK2)</t>
  </si>
  <si>
    <t>int. corner≠90°</t>
  </si>
  <si>
    <t>ext. corner≠90°</t>
  </si>
  <si>
    <t>int. corner 90°</t>
  </si>
  <si>
    <t>ext. corner 90°</t>
  </si>
  <si>
    <t>Gesamtkontrolle</t>
  </si>
  <si>
    <t>Rinne</t>
  </si>
  <si>
    <t>Überpr. CFK</t>
  </si>
  <si>
    <t>Labyrinthe CFK</t>
  </si>
  <si>
    <t>Geforderte Klassen</t>
  </si>
  <si>
    <t>Glas Spezial</t>
  </si>
  <si>
    <t>Nach Stockwerk</t>
  </si>
  <si>
    <t>Total</t>
  </si>
  <si>
    <t>Angabe Ecköffnung</t>
  </si>
  <si>
    <t>Bestellformular unvollständig!</t>
  </si>
  <si>
    <t>pcs.</t>
  </si>
  <si>
    <t>without glass sortation</t>
  </si>
  <si>
    <t>B2B-Login project n°:</t>
  </si>
  <si>
    <t>B2B-Login project no:</t>
  </si>
  <si>
    <t>B2B-Login Projektnr:</t>
  </si>
  <si>
    <t>B2B-Login progetto N°:</t>
  </si>
  <si>
    <t>B2B-Login Nr.</t>
  </si>
  <si>
    <t>Order form incomplete!</t>
  </si>
  <si>
    <t>Order form complete.</t>
  </si>
  <si>
    <t>Bestellformular vollständig.</t>
  </si>
  <si>
    <t>Bon de commande incomplet!</t>
  </si>
  <si>
    <t>Bon de commande complet.</t>
  </si>
  <si>
    <t>kN/m²</t>
  </si>
  <si>
    <t>Windlast</t>
  </si>
  <si>
    <t>OHNE Glas</t>
  </si>
  <si>
    <t>WITHOUT glass</t>
  </si>
  <si>
    <t>SANS verre</t>
  </si>
  <si>
    <t>SENZA vetro</t>
  </si>
  <si>
    <t>Keine</t>
  </si>
  <si>
    <t>without</t>
  </si>
  <si>
    <t>Sky-Frame 1</t>
  </si>
  <si>
    <t>(auf Anfrage)</t>
  </si>
  <si>
    <t>(on request)</t>
  </si>
  <si>
    <t>(sur demande)</t>
  </si>
  <si>
    <t>(su richiesta)</t>
  </si>
  <si>
    <t>Modulo d'ordine incompleto!</t>
  </si>
  <si>
    <t>Modulo d'ordine completo.</t>
  </si>
  <si>
    <t>3-rails</t>
  </si>
  <si>
    <t>4-rails</t>
  </si>
  <si>
    <t>SG-71</t>
  </si>
  <si>
    <t>SG-72</t>
  </si>
  <si>
    <t>SG-73</t>
  </si>
  <si>
    <t>SG-74</t>
  </si>
  <si>
    <t>SG-75</t>
  </si>
  <si>
    <t>SG-76</t>
  </si>
  <si>
    <t>ESG 6</t>
  </si>
  <si>
    <t>ESG 10</t>
  </si>
  <si>
    <t>ESG 12</t>
  </si>
  <si>
    <t>VSG 12-2 /6/6-2)</t>
  </si>
  <si>
    <t>VSG 10-2 (6/4-2)</t>
  </si>
  <si>
    <t>VSG 8-2 (4/4-2)</t>
  </si>
  <si>
    <t>blocco manuale (con pulsante)</t>
  </si>
  <si>
    <t>self locking (cylinder)</t>
  </si>
  <si>
    <t>blocco automatico (con cilindro)</t>
  </si>
  <si>
    <t>verrouilage automatique (cylindre)</t>
  </si>
  <si>
    <t>ohne Verschlussraster (Zylinder)</t>
  </si>
  <si>
    <t>Non</t>
  </si>
  <si>
    <t>Angabe erstöffnender Flügel</t>
  </si>
  <si>
    <t>Wird eine Mittelöffnung oder Ecköffnung eingegeben muss zwingend angegeben werden, welcher Flügel zuerst geöffnet werden soll. Diese Abfrage erscheint sobald eine dieser Öffnungen eingegeben wird. Die Zahl "1." gilt als Erstöffnender Flügel, die Zahl "2." für den Zweitöffnenden.</t>
  </si>
  <si>
    <t>Eingabe Ecke ≠ 90° (von 60° - 160°)</t>
  </si>
  <si>
    <t xml:space="preserve">Um eine Ecke auszuwählen, welche grösser oder kleiner wie 90° ist, muss das dementsprechende Feld ausgewählt werden. Danach muss der gewünschte Wert angegeben werden. </t>
  </si>
  <si>
    <t>Breitenangabe bei Eckanlagen</t>
  </si>
  <si>
    <t>Wird eine Eckanlage eingegeben, erscheint bei der Angabe "Breite" automatisch ein neues Eingabefeld. Die Länge der einzelnen Fronten muss hier separat angegeben werden (Rahmenaussenmass). Die verschiedenen Fronten sind von links nach rechts anzugeben:</t>
  </si>
  <si>
    <t>Rinnenlänge angeben</t>
  </si>
  <si>
    <t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t>
  </si>
  <si>
    <t>Specification of first leaf to open</t>
  </si>
  <si>
    <t>If a middle opening or corner opening is entered, it is essential to specify which leaf should open first. This inquiry appears as soon as one of these openings is entered. The number "1" is the first leaf to open, and the number "2" is the second leaf to open.</t>
  </si>
  <si>
    <t>Entry of corner ≠ 90° (from 60° - 160°)</t>
  </si>
  <si>
    <t xml:space="preserve">To select a corner that is more or less than 90°, the relevant field must be selected. Then the required value must be entered. </t>
  </si>
  <si>
    <t>Width specification for corner systems</t>
  </si>
  <si>
    <t>If a corner system is entered, a new input field automatically appears next to "Width". The length of the individual front panels must be entered separately here (external frame size). The different front panels must be specified from left to right:</t>
  </si>
  <si>
    <t>Specifying the gutter length</t>
  </si>
  <si>
    <t xml:space="preserve">Sky-Frame always takes a gutter length for the entire frame length into account. If the gutter is to be shorter or longer than the frame, this must be specified with the deduct dimension. If the gutter is to be cut to the internal dimension, the deduct dimension on the left-hand side and the right-hand side must be specified with "+45" (SF2). 
</t>
  </si>
  <si>
    <t>Indication du premier élément ouvrant</t>
  </si>
  <si>
    <t>En présence d'une ouverture centrale ou d'une ouverture d'angle, il est impératif d'indiquer quel élément doit s'ouvrir en premier. Cette question s'affiche dès que l'une de ces ouvertures est saisie. Le chiffre « 1 » s'applique au premier élément ouvrant, le chiffre « 2 » au second.</t>
  </si>
  <si>
    <t>Saisie angle ≠ 90° (de 60° - 160°)</t>
  </si>
  <si>
    <t xml:space="preserve">Pour sélectionner un angle supérieur ou inférieur à 90°, sélectionner le champ correspondant. Saisir ensuite la valeur souhaitée. </t>
  </si>
  <si>
    <t>Indication de largeur pour les installations d'angle</t>
  </si>
  <si>
    <t>En cas de saisie d'une installation d'angle, un nouveau champ de saisie s'affiche automatiquement près de la donnée « Largeur ». La longueur des différentes façades doit être saisie séparément ici (dimension extérieure de cadre). Les différentes façades doivent être indiquées de la gauche vers la droite :</t>
  </si>
  <si>
    <t>Indiquer la longueur de rigole</t>
  </si>
  <si>
    <t xml:space="preserve">En cas de rigole, Sky-Frame prend toujours en compte la longueur totale du cadre. Si une rigole doit être plus courte, ou plus longue, que le cadre, ceci doit être indiqué avec le retrait. Si la rigole doit être découpée à la dimension intérieure, indiquer le retrait sur la gauche et sur la droite avec « +45 » (SF2). </t>
  </si>
  <si>
    <t>Indicazione della prima anta da aprire</t>
  </si>
  <si>
    <t>Se viene indicata un'apertura centrale o un'apertura ad angolo, occorre obbligatoriamente precisare quale anta deve essere aperta per prima. L'interrogazione appare non appena si indica una di queste aperture. Il numero "1." indica la prima anta da aprire, il numero "2." la seconda anta da aprire.</t>
  </si>
  <si>
    <t>Immissione di angolo ≠ 90° (da 60° a 160°)</t>
  </si>
  <si>
    <t>Per indicare un angolo maggiore o minore di 90°, si deve selezionare il relativo campo e poi immettere il valore desiderato.</t>
  </si>
  <si>
    <t>Immissione della larghezza con impianti d'angolo</t>
  </si>
  <si>
    <t>Se si indica un impianto d'angolo, appare automaticamente un nuovo campo di immissione per il dato "Larghezza". Si deve qui immettere separatamente la lunghezza delle singole facciate (dimensione esterna telaio), da sinistra verso destra:</t>
  </si>
  <si>
    <t>Immettere la lunghezza della grondaia</t>
  </si>
  <si>
    <t>Sky-Frame calcola sempre una grondaia lunga quanto l'intero telaio. Se la grondaia deve essere realizzata più corta o più lunga del telaio, essa deve essere indicata con innesto. Se la grondaia deve essere tagliata a misura luce, l'innesto si deve indicare con "+45" (SF2) sul lato sinistro e su quello destro.</t>
  </si>
  <si>
    <t>3.</t>
  </si>
  <si>
    <t>4.</t>
  </si>
  <si>
    <t>Innesto sul lato sinistra dell'impianto:</t>
  </si>
  <si>
    <t>Innesto sul lato destra dell'impianto:</t>
  </si>
  <si>
    <t>RL</t>
  </si>
  <si>
    <t>↔</t>
  </si>
  <si>
    <t>mit Stahl (&gt;2.5m)</t>
  </si>
  <si>
    <t>ohne Stahl (&lt;2.5m)</t>
  </si>
  <si>
    <t>with steel (&gt;2.5m)</t>
  </si>
  <si>
    <t>without steel (&lt;2.5m)</t>
  </si>
  <si>
    <t>avec acier (&gt;2.5m)</t>
  </si>
  <si>
    <t>sans acier (&lt;2.5m)</t>
  </si>
  <si>
    <t>con acciaio (&gt;2.5m)</t>
  </si>
  <si>
    <t>senza acciaio (&gt;2.5m)</t>
  </si>
  <si>
    <t>Zusatzkontrolle Lage Gläser</t>
  </si>
  <si>
    <t>Seaside (Pool/Meer)</t>
  </si>
  <si>
    <t>Seaside (pool/sea)</t>
  </si>
  <si>
    <t>Seaside (pool/mer)</t>
  </si>
  <si>
    <t>Seaside (pool/mare)</t>
  </si>
  <si>
    <t>Vorbehandlung:</t>
  </si>
  <si>
    <t>pre-treatment:</t>
  </si>
  <si>
    <t>pré-traitement:</t>
  </si>
  <si>
    <t>Pulverlack Klasse:</t>
  </si>
  <si>
    <t>powder coating class:</t>
  </si>
  <si>
    <t>peinture en poudre,cl:</t>
  </si>
  <si>
    <t>Qualicoat 1</t>
  </si>
  <si>
    <t>Qualicoat 2</t>
  </si>
  <si>
    <t>pretrattamento:</t>
  </si>
  <si>
    <t>verniciatura a polvere, cl:</t>
  </si>
  <si>
    <t>Auswahl Antrieb</t>
  </si>
  <si>
    <t>E</t>
  </si>
  <si>
    <t>M</t>
  </si>
  <si>
    <t>Pos. 1</t>
  </si>
  <si>
    <t>Kontrolle Antrieb</t>
  </si>
  <si>
    <t>Überprüfung Eingabe Antriebe</t>
  </si>
  <si>
    <t>Feld</t>
  </si>
  <si>
    <t>Schieber</t>
  </si>
  <si>
    <t>Resultat</t>
  </si>
  <si>
    <t>Fest/Leer</t>
  </si>
  <si>
    <t>Summe Res.</t>
  </si>
  <si>
    <t>(VE à 100 Stk.)</t>
  </si>
  <si>
    <t>(packet (100pcs.))</t>
  </si>
  <si>
    <t>(à 100 pièces)</t>
  </si>
  <si>
    <t>(a 100 pezzi)</t>
  </si>
  <si>
    <t>VE</t>
  </si>
  <si>
    <t>unit</t>
  </si>
  <si>
    <t>unité</t>
  </si>
  <si>
    <t>unità</t>
  </si>
  <si>
    <t>Übersicht:</t>
  </si>
  <si>
    <t>Vue d'ensemble</t>
  </si>
  <si>
    <t>Overview:</t>
  </si>
  <si>
    <t>Pos. 2</t>
  </si>
  <si>
    <t>Pos. 3</t>
  </si>
  <si>
    <t>Pos. 4</t>
  </si>
  <si>
    <t>Pos. 5</t>
  </si>
  <si>
    <t>Panoramica:</t>
  </si>
  <si>
    <t>Abstände Ablaufstutzen (E):</t>
  </si>
  <si>
    <t>Distance of drain spouts (E):</t>
  </si>
  <si>
    <t>Distance entre (E):</t>
  </si>
  <si>
    <t>Distanza connessione scarico (E):</t>
  </si>
  <si>
    <t>Sky-Frame AG   |   Langfeldstrasse 111   |   8500 Frauenfeld   |   phone +41 52 724 94 94   |   www.sky-frame.ch</t>
  </si>
  <si>
    <t>Version 09-07-2018</t>
  </si>
  <si>
    <t>Sky-Frame Beratung vorhanden:</t>
  </si>
  <si>
    <t>Beratungsnummer: (z.B. P123456)</t>
  </si>
  <si>
    <t>Inch-Rechner</t>
  </si>
  <si>
    <t>Inch-calculator</t>
  </si>
  <si>
    <t>Fuss:</t>
  </si>
  <si>
    <t>Feet:</t>
  </si>
  <si>
    <t>Zoll:</t>
  </si>
  <si>
    <t>Inch:</t>
  </si>
  <si>
    <t>Bemassung Bahnhof</t>
  </si>
  <si>
    <t>Die Vermassung von Bahnhofanlagen funktioniert gleich wie bei normalen Rahmen. Bitte geben Sie uns als Rahmenmass das komplette Mass von Aussenkant Rahmen an. Für die Vermassung der Labyrinthposition geben Sie bitte das Mass bis Achse Labyrinth an.</t>
  </si>
  <si>
    <t>La misurazione dell’impianto a stazione funziona allo stesso modo del telaio normale. Si prega di darci come dimensione del telaio la misura completa dal bordo esterno del telaio. Per il dimensionamento della posizione del labirinto si prega di indicarci la misura fino al labirinto dell'asse.</t>
  </si>
  <si>
    <t>Bahnhof Typ 1:</t>
  </si>
  <si>
    <t>Bahnhof Typ 2:</t>
  </si>
  <si>
    <t>schwarz</t>
  </si>
  <si>
    <t>frame color</t>
  </si>
  <si>
    <t>couleur cadre</t>
  </si>
  <si>
    <t>colore telaio</t>
  </si>
  <si>
    <t>Beratungsabfrage</t>
  </si>
  <si>
    <t>Beratungsnummer</t>
  </si>
  <si>
    <t>stazione tipo 2:</t>
  </si>
  <si>
    <t>stazione tipo 1:</t>
  </si>
  <si>
    <t>dimensione stazione</t>
  </si>
  <si>
    <t>pollice:</t>
  </si>
  <si>
    <t>piede:</t>
  </si>
  <si>
    <t>calcolatore-Inch</t>
  </si>
  <si>
    <t>numero di consulenza: (z.B. P123456)</t>
  </si>
  <si>
    <t>consulenza Sky-Frame esistente:</t>
  </si>
  <si>
    <t>Sonstiges:</t>
  </si>
  <si>
    <t>Others:</t>
  </si>
  <si>
    <t>Sichtbare Rahmenprofile (aussen):</t>
  </si>
  <si>
    <t>Visible frame profiles (outside):</t>
  </si>
  <si>
    <t>Lieferung Glas und Rahmen:</t>
  </si>
  <si>
    <t>Delivery frame and glass:</t>
  </si>
  <si>
    <t>zusammen</t>
  </si>
  <si>
    <t>together</t>
  </si>
  <si>
    <t>getrennt</t>
  </si>
  <si>
    <t>separately</t>
  </si>
  <si>
    <t>sichtbar</t>
  </si>
  <si>
    <t>visible</t>
  </si>
  <si>
    <t>nicht sichtbar</t>
  </si>
  <si>
    <t>not visible</t>
  </si>
  <si>
    <t>c</t>
  </si>
  <si>
    <t>sichtbare Rahmen</t>
  </si>
  <si>
    <t>Lieferung getrennt</t>
  </si>
  <si>
    <t>Hinweise:</t>
  </si>
  <si>
    <t>Notes:</t>
  </si>
  <si>
    <t>Note:</t>
  </si>
  <si>
    <t>Sky-Frame consulting available / present:</t>
  </si>
  <si>
    <t> Consultation Sky-Frame existente:</t>
  </si>
  <si>
    <t>Consulting number: (e.g. P123456)</t>
  </si>
  <si>
    <t> Numéro de consultation: (ex. P123456)</t>
  </si>
  <si>
    <t> Calculateur-pouce</t>
  </si>
  <si>
    <t> Pied:</t>
  </si>
  <si>
    <t> Pouce</t>
  </si>
  <si>
    <t>Dimensioning of the train station</t>
  </si>
  <si>
    <t> Dimensionnement du galandage</t>
  </si>
  <si>
    <t>The dimensioning of pocket door installations is conducted in the same way as with normal frames. Please indicate for us the total measurements of the outer edges of the frame as frame dimensions. For the dimensioning of the position of the labyrinth, please indicate the measurement up to the axis of the labyrinth.</t>
  </si>
  <si>
    <t>Le dimensionnement du galandage s’effectue de la même manière que pour un cadre standard. Je vous pris de nous transmettre les dimensions jusqu’au contour extérieurs du cadre. Pour le positionnement du labyrinthe veuillez nous donner la distance jusqu’à l’axe du labyrinthe.</t>
  </si>
  <si>
    <t>pocket door type 1:</t>
  </si>
  <si>
    <t>galandage type 1:</t>
  </si>
  <si>
    <t>pocket door type 2:</t>
  </si>
  <si>
    <t>galandage type 2:</t>
  </si>
  <si>
    <t>Divers (remarques)</t>
  </si>
  <si>
    <t>Ulteriore:</t>
  </si>
  <si>
    <t>Cadre visible (extérieur):</t>
  </si>
  <si>
    <t>Profilo telaio visibile (esterno):</t>
  </si>
  <si>
    <t>Livraison vitrage et cadre:</t>
  </si>
  <si>
    <t>Consegna vetro e telaio:</t>
  </si>
  <si>
    <t>Ensemble</t>
  </si>
  <si>
    <t>insieme</t>
  </si>
  <si>
    <t>séparément</t>
  </si>
  <si>
    <t>separato</t>
  </si>
  <si>
    <t>visibile</t>
  </si>
  <si>
    <t>invisible</t>
  </si>
  <si>
    <t>non visibile</t>
  </si>
  <si>
    <t>RC2 mit Blech</t>
  </si>
  <si>
    <t>RC2 with alu sheet</t>
  </si>
  <si>
    <t>RC2 avec tôles alu</t>
  </si>
  <si>
    <t>RC2 con lamiera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</si>
</sst>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F800]dddd\,\ mmmm\ dd\,\ yyyy"/>
  </numFmts>
  <fonts count="4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8"/>
      <color theme="1"/>
      <name val="Arial"/>
      <family val="2"/>
    </font>
    <font>
      <sz val="10"/>
      <color theme="1"/>
      <name val="Arial"/>
      <family val="2"/>
    </font>
    <font>
      <sz val="7"/>
      <color theme="1"/>
      <name val="Arial"/>
      <family val="2"/>
    </font>
    <font>
      <b/>
      <u/>
      <sz val="10"/>
      <color theme="1"/>
      <name val="Arial"/>
      <family val="2"/>
    </font>
    <font>
      <sz val="10"/>
      <color theme="1"/>
      <name val="Calibri"/>
      <family val="2"/>
    </font>
    <font>
      <sz val="10"/>
      <name val="Arial"/>
      <family val="2"/>
    </font>
    <font>
      <sz val="11"/>
      <color theme="1"/>
      <name val="Calibri"/>
      <family val="2"/>
      <scheme val="minor"/>
    </font>
    <font>
      <b/>
      <sz val="10"/>
      <name val="Arial"/>
      <family val="2"/>
    </font>
    <font>
      <b/>
      <i/>
      <sz val="10"/>
      <name val="Arial"/>
      <family val="2"/>
    </font>
    <font>
      <u/>
      <sz val="11"/>
      <color theme="10"/>
      <name val="Calibri"/>
      <family val="2"/>
      <scheme val="minor"/>
    </font>
    <font>
      <b/>
      <u/>
      <sz val="10"/>
      <name val="Arial"/>
      <family val="2"/>
    </font>
    <font>
      <b/>
      <sz val="20"/>
      <name val="Arial"/>
      <family val="2"/>
    </font>
    <font>
      <sz val="8"/>
      <name val="Courier New"/>
      <family val="3"/>
    </font>
    <font>
      <sz val="8"/>
      <name val="Arial"/>
      <family val="2"/>
    </font>
    <font>
      <b/>
      <u/>
      <sz val="8"/>
      <name val="Arial"/>
      <family val="2"/>
    </font>
    <font>
      <i/>
      <sz val="10"/>
      <name val="Arial"/>
      <family val="2"/>
    </font>
    <font>
      <sz val="7"/>
      <name val="Arial"/>
      <family val="2"/>
    </font>
    <font>
      <b/>
      <sz val="8"/>
      <color indexed="81"/>
      <name val="Arial"/>
      <family val="2"/>
    </font>
    <font>
      <sz val="10"/>
      <color theme="0" tint="-0.14999847407452621"/>
      <name val="Arial"/>
      <family val="2"/>
    </font>
    <font>
      <b/>
      <sz val="9"/>
      <color rgb="FFFF0000"/>
      <name val="Arial"/>
      <family val="2"/>
    </font>
    <font>
      <b/>
      <sz val="10"/>
      <color theme="0" tint="-0.14999847407452621"/>
      <name val="Arial"/>
      <family val="2"/>
    </font>
    <font>
      <b/>
      <sz val="16"/>
      <name val="Arial"/>
      <family val="2"/>
    </font>
    <font>
      <sz val="9"/>
      <color indexed="81"/>
      <name val="Segoe UI"/>
      <family val="2"/>
    </font>
    <font>
      <b/>
      <sz val="9"/>
      <color indexed="81"/>
      <name val="Segoe UI"/>
      <family val="2"/>
    </font>
    <font>
      <b/>
      <sz val="11"/>
      <color rgb="FFFF0000"/>
      <name val="Arial"/>
      <family val="2"/>
    </font>
    <font>
      <u/>
      <sz val="10"/>
      <color theme="10"/>
      <name val="Arial"/>
      <family val="2"/>
    </font>
    <font>
      <b/>
      <sz val="10"/>
      <color rgb="FFFF0000"/>
      <name val="Arial"/>
      <family val="2"/>
    </font>
    <font>
      <sz val="10"/>
      <color rgb="FF000000"/>
      <name val="Arial"/>
      <family val="2"/>
    </font>
    <font>
      <b/>
      <sz val="10"/>
      <color rgb="FF000000"/>
      <name val="Arial"/>
      <family val="2"/>
    </font>
    <font>
      <b/>
      <u/>
      <sz val="12"/>
      <name val="Arial"/>
      <family val="2"/>
    </font>
    <font>
      <sz val="8"/>
      <color theme="0" tint="-0.14999847407452621"/>
      <name val="Arial"/>
      <family val="2"/>
    </font>
    <font>
      <b/>
      <sz val="12"/>
      <name val="Arial"/>
      <family val="2"/>
    </font>
    <font>
      <b/>
      <sz val="14"/>
      <color rgb="FF00B050"/>
      <name val="Arial"/>
      <family val="2"/>
    </font>
    <font>
      <u/>
      <sz val="11"/>
      <color theme="10"/>
      <name val="Arial"/>
      <family val="2"/>
    </font>
    <font>
      <b/>
      <sz val="16"/>
      <color theme="1"/>
      <name val="Arial"/>
      <family val="2"/>
    </font>
    <font>
      <sz val="20"/>
      <name val="Arial"/>
      <family val="2"/>
    </font>
    <font>
      <sz val="11"/>
      <name val="Arial"/>
      <family val="2"/>
    </font>
    <font>
      <b/>
      <sz val="14"/>
      <color rgb="FFFF0000"/>
      <name val="Arial"/>
      <family val="2"/>
    </font>
    <font>
      <b/>
      <sz val="11"/>
      <name val="Arial"/>
      <family val="2"/>
    </font>
    <font>
      <b/>
      <u/>
      <sz val="11"/>
      <name val="Arial"/>
      <family val="2"/>
    </font>
    <font>
      <b/>
      <sz val="14"/>
      <name val="Arial"/>
      <family val="2"/>
    </font>
    <font>
      <sz val="10"/>
      <color theme="0"/>
      <name val="Arial"/>
      <family val="2"/>
    </font>
    <font>
      <b/>
      <sz val="16"/>
      <color theme="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1" tint="0.499984740745262"/>
        <bgColor indexed="64"/>
      </patternFill>
    </fill>
  </fills>
  <borders count="138">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medium">
        <color auto="1"/>
      </top>
      <bottom style="thin">
        <color indexed="64"/>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medium">
        <color auto="1"/>
      </top>
      <bottom style="thin">
        <color indexed="64"/>
      </bottom>
      <diagonal/>
    </border>
    <border>
      <left style="hair">
        <color auto="1"/>
      </left>
      <right style="hair">
        <color auto="1"/>
      </right>
      <top style="medium">
        <color auto="1"/>
      </top>
      <bottom style="thin">
        <color indexed="64"/>
      </bottom>
      <diagonal/>
    </border>
    <border>
      <left style="hair">
        <color auto="1"/>
      </left>
      <right style="medium">
        <color auto="1"/>
      </right>
      <top style="medium">
        <color auto="1"/>
      </top>
      <bottom style="thin">
        <color indexed="64"/>
      </bottom>
      <diagonal/>
    </border>
    <border>
      <left style="medium">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medium">
        <color auto="1"/>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style="hair">
        <color auto="1"/>
      </top>
      <bottom style="hair">
        <color auto="1"/>
      </bottom>
      <diagonal/>
    </border>
    <border>
      <left/>
      <right/>
      <top style="hair">
        <color auto="1"/>
      </top>
      <bottom/>
      <diagonal/>
    </border>
    <border>
      <left/>
      <right style="medium">
        <color indexed="64"/>
      </right>
      <top style="hair">
        <color auto="1"/>
      </top>
      <bottom style="hair">
        <color auto="1"/>
      </bottom>
      <diagonal/>
    </border>
    <border>
      <left style="medium">
        <color indexed="64"/>
      </left>
      <right style="hair">
        <color auto="1"/>
      </right>
      <top style="thin">
        <color indexed="64"/>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indexed="64"/>
      </right>
      <top style="hair">
        <color auto="1"/>
      </top>
      <bottom style="medium">
        <color auto="1"/>
      </bottom>
      <diagonal/>
    </border>
    <border>
      <left/>
      <right style="medium">
        <color auto="1"/>
      </right>
      <top style="hair">
        <color auto="1"/>
      </top>
      <bottom style="medium">
        <color auto="1"/>
      </bottom>
      <diagonal/>
    </border>
    <border>
      <left style="medium">
        <color auto="1"/>
      </left>
      <right style="medium">
        <color auto="1"/>
      </right>
      <top/>
      <bottom style="hair">
        <color auto="1"/>
      </bottom>
      <diagonal/>
    </border>
    <border>
      <left/>
      <right style="medium">
        <color indexed="64"/>
      </right>
      <top/>
      <bottom style="hair">
        <color auto="1"/>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indexed="64"/>
      </right>
      <top/>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
      <left style="hair">
        <color auto="1"/>
      </left>
      <right style="medium">
        <color indexed="64"/>
      </right>
      <top style="thin">
        <color indexed="64"/>
      </top>
      <bottom style="hair">
        <color auto="1"/>
      </bottom>
      <diagonal/>
    </border>
    <border>
      <left style="dotted">
        <color indexed="64"/>
      </left>
      <right style="dotted">
        <color indexed="64"/>
      </right>
      <top style="thin">
        <color indexed="64"/>
      </top>
      <bottom style="dotted">
        <color indexed="64"/>
      </bottom>
      <diagonal/>
    </border>
    <border>
      <left/>
      <right/>
      <top style="dotted">
        <color indexed="64"/>
      </top>
      <bottom/>
      <diagonal/>
    </border>
    <border>
      <left/>
      <right/>
      <top style="medium">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medium">
        <color indexed="64"/>
      </bottom>
      <diagonal/>
    </border>
    <border>
      <left/>
      <right/>
      <top style="hair">
        <color auto="1"/>
      </top>
      <bottom style="hair">
        <color auto="1"/>
      </bottom>
      <diagonal/>
    </border>
    <border>
      <left style="medium">
        <color indexed="64"/>
      </left>
      <right style="medium">
        <color indexed="64"/>
      </right>
      <top style="thin">
        <color indexed="64"/>
      </top>
      <bottom style="hair">
        <color indexed="64"/>
      </bottom>
      <diagonal/>
    </border>
    <border>
      <left style="hair">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dotted">
        <color indexed="64"/>
      </left>
      <right style="dotted">
        <color indexed="64"/>
      </right>
      <top/>
      <bottom style="dotted">
        <color indexed="64"/>
      </bottom>
      <diagonal/>
    </border>
    <border>
      <left/>
      <right/>
      <top style="thin">
        <color indexed="64"/>
      </top>
      <bottom/>
      <diagonal/>
    </border>
    <border>
      <left/>
      <right style="hair">
        <color auto="1"/>
      </right>
      <top style="hair">
        <color auto="1"/>
      </top>
      <bottom style="medium">
        <color auto="1"/>
      </bottom>
      <diagonal/>
    </border>
    <border>
      <left style="thin">
        <color auto="1"/>
      </left>
      <right/>
      <top style="hair">
        <color auto="1"/>
      </top>
      <bottom/>
      <diagonal/>
    </border>
    <border>
      <left/>
      <right style="thin">
        <color auto="1"/>
      </right>
      <top style="hair">
        <color auto="1"/>
      </top>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thin">
        <color indexed="64"/>
      </top>
      <bottom style="hair">
        <color indexed="64"/>
      </bottom>
      <diagonal/>
    </border>
    <border>
      <left style="hair">
        <color indexed="64"/>
      </left>
      <right/>
      <top style="hair">
        <color indexed="64"/>
      </top>
      <bottom style="medium">
        <color indexed="64"/>
      </bottom>
      <diagonal/>
    </border>
    <border>
      <left style="hair">
        <color auto="1"/>
      </left>
      <right style="medium">
        <color auto="1"/>
      </right>
      <top style="hair">
        <color auto="1"/>
      </top>
      <bottom/>
      <diagonal/>
    </border>
    <border>
      <left style="medium">
        <color rgb="FFFF0000"/>
      </left>
      <right style="thin">
        <color indexed="64"/>
      </right>
      <top style="medium">
        <color rgb="FFFF0000"/>
      </top>
      <bottom style="medium">
        <color rgb="FFFF0000"/>
      </bottom>
      <diagonal/>
    </border>
    <border>
      <left style="hair">
        <color auto="1"/>
      </left>
      <right style="hair">
        <color auto="1"/>
      </right>
      <top style="hair">
        <color auto="1"/>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right style="thin">
        <color indexed="64"/>
      </right>
      <top style="thick">
        <color rgb="FFFF0000"/>
      </top>
      <bottom/>
      <diagonal/>
    </border>
    <border>
      <left/>
      <right style="thin">
        <color indexed="64"/>
      </right>
      <top/>
      <bottom style="thick">
        <color rgb="FFFF0000"/>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hair">
        <color indexed="64"/>
      </bottom>
      <diagonal/>
    </border>
    <border>
      <left style="thick">
        <color indexed="64"/>
      </left>
      <right style="thin">
        <color indexed="64"/>
      </right>
      <top style="hair">
        <color indexed="64"/>
      </top>
      <bottom style="hair">
        <color indexed="64"/>
      </bottom>
      <diagonal/>
    </border>
    <border>
      <left/>
      <right style="thin">
        <color indexed="64"/>
      </right>
      <top style="thick">
        <color indexed="64"/>
      </top>
      <bottom style="thin">
        <color indexed="64"/>
      </bottom>
      <diagonal/>
    </border>
    <border>
      <left style="thin">
        <color auto="1"/>
      </left>
      <right style="medium">
        <color indexed="64"/>
      </right>
      <top style="hair">
        <color auto="1"/>
      </top>
      <bottom/>
      <diagonal/>
    </border>
    <border>
      <left style="thin">
        <color auto="1"/>
      </left>
      <right style="medium">
        <color indexed="64"/>
      </right>
      <top/>
      <bottom/>
      <diagonal/>
    </border>
    <border>
      <left style="thin">
        <color auto="1"/>
      </left>
      <right style="medium">
        <color indexed="64"/>
      </right>
      <top/>
      <bottom style="hair">
        <color auto="1"/>
      </bottom>
      <diagonal/>
    </border>
    <border>
      <left style="hair">
        <color auto="1"/>
      </left>
      <right style="thin">
        <color indexed="64"/>
      </right>
      <top/>
      <bottom style="thin">
        <color indexed="64"/>
      </bottom>
      <diagonal/>
    </border>
    <border>
      <left style="medium">
        <color auto="1"/>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indexed="64"/>
      </left>
      <right style="medium">
        <color auto="1"/>
      </right>
      <top style="medium">
        <color indexed="64"/>
      </top>
      <bottom style="hair">
        <color indexed="64"/>
      </bottom>
      <diagonal/>
    </border>
    <border>
      <left style="thin">
        <color indexed="64"/>
      </left>
      <right style="medium">
        <color auto="1"/>
      </right>
      <top style="hair">
        <color indexed="64"/>
      </top>
      <bottom style="hair">
        <color indexed="64"/>
      </bottom>
      <diagonal/>
    </border>
    <border>
      <left style="thin">
        <color indexed="64"/>
      </left>
      <right style="medium">
        <color auto="1"/>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style="hair">
        <color auto="1"/>
      </right>
      <top style="hair">
        <color auto="1"/>
      </top>
      <bottom/>
      <diagonal/>
    </border>
    <border>
      <left style="thin">
        <color auto="1"/>
      </left>
      <right/>
      <top style="hair">
        <color indexed="64"/>
      </top>
      <bottom style="hair">
        <color indexed="64"/>
      </bottom>
      <diagonal/>
    </border>
    <border>
      <left/>
      <right style="thin">
        <color auto="1"/>
      </right>
      <top style="hair">
        <color auto="1"/>
      </top>
      <bottom style="hair">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style="hair">
        <color auto="1"/>
      </bottom>
      <diagonal/>
    </border>
    <border>
      <left style="thick">
        <color auto="1"/>
      </left>
      <right/>
      <top/>
      <bottom style="hair">
        <color auto="1"/>
      </bottom>
      <diagonal/>
    </border>
    <border>
      <left style="thick">
        <color indexed="64"/>
      </left>
      <right/>
      <top style="hair">
        <color auto="1"/>
      </top>
      <bottom/>
      <diagonal/>
    </border>
    <border>
      <left/>
      <right style="thick">
        <color indexed="64"/>
      </right>
      <top style="hair">
        <color auto="1"/>
      </top>
      <bottom/>
      <diagonal/>
    </border>
    <border>
      <left/>
      <right style="medium">
        <color auto="1"/>
      </right>
      <top style="thin">
        <color indexed="64"/>
      </top>
      <bottom style="thin">
        <color indexed="64"/>
      </bottom>
      <diagonal/>
    </border>
    <border>
      <left style="hair">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right/>
      <top style="medium">
        <color auto="1"/>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auto="1"/>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thin">
        <color auto="1"/>
      </bottom>
      <diagonal/>
    </border>
    <border>
      <left style="thin">
        <color auto="1"/>
      </left>
      <right/>
      <top/>
      <bottom style="hair">
        <color auto="1"/>
      </bottom>
      <diagonal/>
    </border>
    <border>
      <left/>
      <right style="thin">
        <color auto="1"/>
      </right>
      <top/>
      <bottom style="hair">
        <color auto="1"/>
      </bottom>
      <diagonal/>
    </border>
  </borders>
  <cellStyleXfs count="3">
    <xf numFmtId="0" fontId="0" fillId="0" borderId="0"/>
    <xf numFmtId="43" fontId="10" fillId="0" borderId="0" applyFont="0" applyFill="0" applyBorder="0" applyAlignment="0" applyProtection="0"/>
    <xf numFmtId="0" fontId="13" fillId="0" borderId="0" applyNumberFormat="0" applyFill="0" applyBorder="0" applyAlignment="0" applyProtection="0"/>
  </cellStyleXfs>
  <cellXfs count="726">
    <xf numFmtId="0" fontId="0" fillId="0" borderId="0" xfId="0"/>
    <xf numFmtId="0" fontId="5" fillId="0" borderId="0" xfId="0" applyFont="1"/>
    <xf numFmtId="0" fontId="5" fillId="0" borderId="2" xfId="0" applyFont="1" applyBorder="1"/>
    <xf numFmtId="0" fontId="5" fillId="0" borderId="1" xfId="0" applyFont="1" applyBorder="1"/>
    <xf numFmtId="0" fontId="5" fillId="0" borderId="3" xfId="0" applyFont="1" applyBorder="1"/>
    <xf numFmtId="0" fontId="3" fillId="0" borderId="1" xfId="0" applyFont="1" applyBorder="1"/>
    <xf numFmtId="0" fontId="6" fillId="0" borderId="2" xfId="0" applyFont="1" applyBorder="1"/>
    <xf numFmtId="0" fontId="6" fillId="0" borderId="1" xfId="0" applyFont="1" applyBorder="1"/>
    <xf numFmtId="0" fontId="6" fillId="0" borderId="3" xfId="0" applyFont="1" applyBorder="1"/>
    <xf numFmtId="0" fontId="5" fillId="0" borderId="2" xfId="0" applyFont="1" applyBorder="1" applyAlignment="1">
      <alignment wrapText="1"/>
    </xf>
    <xf numFmtId="0" fontId="5" fillId="0" borderId="1" xfId="0" applyFont="1" applyBorder="1" applyAlignment="1">
      <alignment wrapText="1"/>
    </xf>
    <xf numFmtId="0" fontId="5" fillId="0" borderId="3" xfId="0" applyFont="1" applyBorder="1" applyAlignment="1">
      <alignment wrapText="1"/>
    </xf>
    <xf numFmtId="0" fontId="5" fillId="0" borderId="5" xfId="0" applyFont="1" applyBorder="1"/>
    <xf numFmtId="0" fontId="5" fillId="0" borderId="6" xfId="0" applyFont="1" applyBorder="1"/>
    <xf numFmtId="0" fontId="5" fillId="0" borderId="7" xfId="0" applyFont="1" applyBorder="1"/>
    <xf numFmtId="0" fontId="3" fillId="2" borderId="8" xfId="0" applyFont="1" applyFill="1" applyBorder="1"/>
    <xf numFmtId="0" fontId="3" fillId="2" borderId="9" xfId="0" applyFont="1" applyFill="1" applyBorder="1"/>
    <xf numFmtId="0" fontId="3" fillId="2" borderId="10" xfId="0" applyFont="1" applyFill="1" applyBorder="1"/>
    <xf numFmtId="0" fontId="5" fillId="0" borderId="11" xfId="0" applyFont="1" applyBorder="1"/>
    <xf numFmtId="0" fontId="5" fillId="0" borderId="12" xfId="0" applyFont="1" applyBorder="1"/>
    <xf numFmtId="0" fontId="5" fillId="0" borderId="13" xfId="0" applyFont="1" applyBorder="1"/>
    <xf numFmtId="0" fontId="5" fillId="0" borderId="22" xfId="0" applyFont="1" applyBorder="1"/>
    <xf numFmtId="0" fontId="5" fillId="0" borderId="23" xfId="0" applyFont="1" applyBorder="1"/>
    <xf numFmtId="0" fontId="5" fillId="0" borderId="26" xfId="0" applyFont="1" applyBorder="1"/>
    <xf numFmtId="0" fontId="5" fillId="0" borderId="28" xfId="0" applyFont="1" applyBorder="1"/>
    <xf numFmtId="0" fontId="5" fillId="0" borderId="27" xfId="0" applyFont="1" applyBorder="1" applyAlignment="1"/>
    <xf numFmtId="0" fontId="5" fillId="0" borderId="24" xfId="0" applyFont="1" applyBorder="1" applyAlignment="1"/>
    <xf numFmtId="0" fontId="5" fillId="0" borderId="25" xfId="0" applyFont="1" applyBorder="1" applyAlignment="1"/>
    <xf numFmtId="0" fontId="7" fillId="2" borderId="29" xfId="0" applyFont="1" applyFill="1" applyBorder="1"/>
    <xf numFmtId="0" fontId="3" fillId="2" borderId="30" xfId="0" applyFont="1" applyFill="1" applyBorder="1"/>
    <xf numFmtId="0" fontId="5" fillId="0" borderId="24" xfId="0" applyFont="1" applyBorder="1"/>
    <xf numFmtId="0" fontId="5" fillId="0" borderId="31" xfId="0" applyFont="1" applyBorder="1"/>
    <xf numFmtId="0" fontId="5" fillId="0" borderId="0" xfId="0" applyFont="1" applyFill="1" applyBorder="1"/>
    <xf numFmtId="0" fontId="3" fillId="3" borderId="37" xfId="0" applyFont="1" applyFill="1" applyBorder="1"/>
    <xf numFmtId="0" fontId="3" fillId="3" borderId="38" xfId="0" applyFont="1" applyFill="1" applyBorder="1"/>
    <xf numFmtId="0" fontId="5" fillId="0" borderId="7" xfId="0" applyFont="1" applyBorder="1" applyAlignment="1">
      <alignment horizontal="center"/>
    </xf>
    <xf numFmtId="0" fontId="5" fillId="0" borderId="3" xfId="0" applyFont="1" applyBorder="1" applyAlignment="1">
      <alignment horizontal="center"/>
    </xf>
    <xf numFmtId="0" fontId="5" fillId="0" borderId="32" xfId="0" applyFont="1" applyBorder="1" applyAlignment="1">
      <alignment horizontal="center"/>
    </xf>
    <xf numFmtId="0" fontId="5" fillId="3" borderId="38" xfId="0" applyFont="1" applyFill="1" applyBorder="1"/>
    <xf numFmtId="0" fontId="5" fillId="0" borderId="39" xfId="0" applyFont="1" applyBorder="1" applyAlignment="1">
      <alignment horizontal="center"/>
    </xf>
    <xf numFmtId="0" fontId="5" fillId="0" borderId="27" xfId="0" applyFont="1" applyBorder="1" applyAlignment="1">
      <alignment horizontal="center"/>
    </xf>
    <xf numFmtId="0" fontId="5" fillId="0" borderId="20" xfId="0" applyFont="1" applyBorder="1"/>
    <xf numFmtId="0" fontId="5" fillId="0" borderId="27" xfId="0" quotePrefix="1" applyFont="1" applyFill="1" applyBorder="1" applyAlignment="1">
      <alignment horizontal="center"/>
    </xf>
    <xf numFmtId="0" fontId="5" fillId="0" borderId="33" xfId="0" applyFont="1" applyFill="1" applyBorder="1"/>
    <xf numFmtId="0" fontId="5" fillId="0" borderId="39" xfId="0" applyFont="1" applyBorder="1"/>
    <xf numFmtId="0" fontId="3" fillId="2" borderId="4" xfId="0" applyFont="1" applyFill="1" applyBorder="1"/>
    <xf numFmtId="0" fontId="5" fillId="0" borderId="32" xfId="0" applyFont="1" applyBorder="1"/>
    <xf numFmtId="0" fontId="5" fillId="0" borderId="31" xfId="0" quotePrefix="1" applyFont="1" applyBorder="1"/>
    <xf numFmtId="0" fontId="5" fillId="0" borderId="24" xfId="0" applyFont="1" applyBorder="1" applyAlignment="1">
      <alignment wrapText="1"/>
    </xf>
    <xf numFmtId="0" fontId="5" fillId="3" borderId="42" xfId="0" applyFont="1" applyFill="1" applyBorder="1"/>
    <xf numFmtId="0" fontId="5" fillId="0" borderId="49" xfId="0" applyFont="1" applyBorder="1"/>
    <xf numFmtId="0" fontId="8" fillId="0" borderId="1" xfId="0" applyFont="1" applyBorder="1"/>
    <xf numFmtId="0" fontId="5" fillId="0" borderId="50" xfId="0" applyFont="1" applyBorder="1"/>
    <xf numFmtId="0" fontId="5" fillId="0" borderId="52" xfId="0" applyFont="1" applyBorder="1" applyAlignment="1">
      <alignment horizontal="left"/>
    </xf>
    <xf numFmtId="0" fontId="5" fillId="0" borderId="24" xfId="0" applyFont="1" applyBorder="1" applyAlignment="1">
      <alignment horizontal="left"/>
    </xf>
    <xf numFmtId="0" fontId="5" fillId="0" borderId="25" xfId="0" applyFont="1" applyBorder="1" applyAlignment="1">
      <alignment horizontal="left"/>
    </xf>
    <xf numFmtId="0" fontId="3" fillId="3" borderId="4" xfId="0" applyFont="1" applyFill="1" applyBorder="1"/>
    <xf numFmtId="0" fontId="5" fillId="0" borderId="27" xfId="0" applyFont="1" applyBorder="1" applyAlignment="1">
      <alignment horizontal="left"/>
    </xf>
    <xf numFmtId="0" fontId="3" fillId="0" borderId="3" xfId="0" applyFont="1" applyBorder="1"/>
    <xf numFmtId="0" fontId="9" fillId="2" borderId="14" xfId="0" applyFont="1" applyFill="1" applyBorder="1" applyProtection="1">
      <protection hidden="1"/>
    </xf>
    <xf numFmtId="0" fontId="9" fillId="2" borderId="0" xfId="0" applyFont="1" applyFill="1" applyBorder="1" applyProtection="1">
      <protection hidden="1"/>
    </xf>
    <xf numFmtId="0" fontId="11" fillId="2" borderId="0" xfId="0" applyFont="1" applyFill="1" applyBorder="1" applyAlignment="1" applyProtection="1">
      <alignment horizontal="right" vertical="top"/>
      <protection hidden="1"/>
    </xf>
    <xf numFmtId="0" fontId="9" fillId="2" borderId="0" xfId="0" applyFont="1" applyFill="1" applyBorder="1" applyAlignment="1" applyProtection="1">
      <alignment horizontal="left"/>
      <protection hidden="1"/>
    </xf>
    <xf numFmtId="0" fontId="11" fillId="2" borderId="0" xfId="0" applyFont="1" applyFill="1" applyBorder="1" applyAlignment="1" applyProtection="1">
      <alignment horizontal="right" textRotation="90"/>
      <protection hidden="1"/>
    </xf>
    <xf numFmtId="0" fontId="17" fillId="2" borderId="0" xfId="0" applyFont="1" applyFill="1" applyBorder="1" applyAlignment="1" applyProtection="1">
      <protection hidden="1"/>
    </xf>
    <xf numFmtId="0" fontId="17" fillId="2" borderId="41" xfId="0" applyFont="1" applyFill="1" applyBorder="1" applyAlignment="1" applyProtection="1">
      <protection hidden="1"/>
    </xf>
    <xf numFmtId="0" fontId="11" fillId="2" borderId="0" xfId="0" applyFont="1" applyFill="1" applyBorder="1" applyAlignment="1" applyProtection="1">
      <alignment horizontal="center"/>
      <protection hidden="1"/>
    </xf>
    <xf numFmtId="0" fontId="9" fillId="2" borderId="17" xfId="0" applyFont="1" applyFill="1" applyBorder="1" applyProtection="1">
      <protection hidden="1"/>
    </xf>
    <xf numFmtId="0" fontId="9" fillId="2" borderId="15" xfId="0" applyFont="1" applyFill="1" applyBorder="1" applyAlignment="1" applyProtection="1">
      <alignment horizontal="center"/>
      <protection hidden="1"/>
    </xf>
    <xf numFmtId="0" fontId="9" fillId="2" borderId="0" xfId="0" applyFont="1" applyFill="1" applyBorder="1" applyAlignment="1" applyProtection="1">
      <alignment horizontal="center"/>
      <protection hidden="1"/>
    </xf>
    <xf numFmtId="0" fontId="9" fillId="2" borderId="16" xfId="0" applyFont="1" applyFill="1" applyBorder="1" applyAlignment="1" applyProtection="1">
      <alignment horizontal="center"/>
      <protection hidden="1"/>
    </xf>
    <xf numFmtId="0" fontId="9" fillId="2" borderId="0" xfId="0" applyFont="1" applyFill="1" applyBorder="1" applyAlignment="1" applyProtection="1">
      <alignment vertical="center"/>
      <protection hidden="1"/>
    </xf>
    <xf numFmtId="0" fontId="11" fillId="2" borderId="0" xfId="0" applyFont="1" applyFill="1" applyBorder="1" applyAlignment="1" applyProtection="1">
      <alignment vertical="center"/>
      <protection hidden="1"/>
    </xf>
    <xf numFmtId="0" fontId="1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right" vertical="center"/>
      <protection hidden="1"/>
    </xf>
    <xf numFmtId="0" fontId="20" fillId="2" borderId="0" xfId="0" applyFont="1" applyFill="1" applyBorder="1" applyAlignment="1" applyProtection="1">
      <alignment horizontal="left" vertical="center"/>
      <protection hidden="1"/>
    </xf>
    <xf numFmtId="0" fontId="11" fillId="2" borderId="0" xfId="0" applyFont="1" applyFill="1" applyBorder="1" applyAlignment="1" applyProtection="1">
      <alignment vertical="center" textRotation="90"/>
      <protection hidden="1"/>
    </xf>
    <xf numFmtId="0" fontId="9" fillId="2" borderId="0" xfId="0" applyFont="1" applyFill="1" applyBorder="1" applyAlignment="1" applyProtection="1">
      <alignment vertical="center" textRotation="90"/>
      <protection hidden="1"/>
    </xf>
    <xf numFmtId="0" fontId="19" fillId="2" borderId="0" xfId="0" applyFont="1" applyFill="1" applyBorder="1" applyAlignment="1" applyProtection="1">
      <alignment vertical="center"/>
      <protection hidden="1"/>
    </xf>
    <xf numFmtId="0" fontId="17" fillId="2" borderId="0" xfId="0" applyFont="1" applyFill="1" applyBorder="1" applyAlignment="1" applyProtection="1">
      <alignment horizontal="right" vertical="center"/>
      <protection hidden="1"/>
    </xf>
    <xf numFmtId="0" fontId="14" fillId="2" borderId="0" xfId="0" applyFont="1" applyFill="1" applyBorder="1" applyAlignment="1" applyProtection="1">
      <alignment vertical="center"/>
      <protection hidden="1"/>
    </xf>
    <xf numFmtId="0" fontId="9" fillId="2" borderId="61" xfId="0" applyFont="1" applyFill="1" applyBorder="1" applyProtection="1">
      <protection hidden="1"/>
    </xf>
    <xf numFmtId="0" fontId="11" fillId="2" borderId="16" xfId="0" applyFont="1" applyFill="1" applyBorder="1" applyAlignment="1" applyProtection="1">
      <alignment horizontal="right" vertical="top"/>
      <protection hidden="1"/>
    </xf>
    <xf numFmtId="0" fontId="9" fillId="2" borderId="18" xfId="0" applyFont="1" applyFill="1" applyBorder="1" applyProtection="1">
      <protection hidden="1"/>
    </xf>
    <xf numFmtId="0" fontId="5" fillId="0" borderId="62" xfId="0" applyFont="1" applyBorder="1"/>
    <xf numFmtId="0" fontId="3" fillId="3" borderId="42" xfId="0" applyFont="1" applyFill="1" applyBorder="1"/>
    <xf numFmtId="0" fontId="5" fillId="0" borderId="36" xfId="0" applyFont="1" applyBorder="1"/>
    <xf numFmtId="0" fontId="5" fillId="0" borderId="52" xfId="0" applyFont="1" applyBorder="1"/>
    <xf numFmtId="0" fontId="5" fillId="0" borderId="33" xfId="0" applyFont="1" applyBorder="1"/>
    <xf numFmtId="0" fontId="3" fillId="0" borderId="0" xfId="0" applyFont="1" applyFill="1" applyBorder="1"/>
    <xf numFmtId="0" fontId="11" fillId="2" borderId="0" xfId="0" applyFont="1" applyFill="1" applyBorder="1" applyAlignment="1" applyProtection="1">
      <alignment horizontal="right"/>
      <protection hidden="1"/>
    </xf>
    <xf numFmtId="0" fontId="11" fillId="2" borderId="63" xfId="0" applyFont="1" applyFill="1" applyBorder="1" applyAlignment="1" applyProtection="1">
      <alignment horizontal="center"/>
      <protection hidden="1"/>
    </xf>
    <xf numFmtId="0" fontId="11" fillId="2" borderId="21" xfId="0" applyFont="1" applyFill="1" applyBorder="1" applyAlignment="1" applyProtection="1">
      <alignment horizontal="center"/>
      <protection hidden="1"/>
    </xf>
    <xf numFmtId="0" fontId="11" fillId="2" borderId="64" xfId="0" applyFont="1" applyFill="1" applyBorder="1" applyAlignment="1" applyProtection="1">
      <alignment horizontal="center"/>
      <protection hidden="1"/>
    </xf>
    <xf numFmtId="0" fontId="24" fillId="2" borderId="15" xfId="0" applyFont="1" applyFill="1" applyBorder="1" applyAlignment="1" applyProtection="1">
      <alignment textRotation="90"/>
      <protection hidden="1"/>
    </xf>
    <xf numFmtId="0" fontId="9"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5" fillId="0" borderId="65" xfId="0" applyFont="1" applyBorder="1"/>
    <xf numFmtId="0" fontId="5" fillId="0" borderId="66" xfId="0" applyFont="1" applyBorder="1"/>
    <xf numFmtId="0" fontId="5" fillId="0" borderId="47" xfId="0" applyFont="1" applyBorder="1"/>
    <xf numFmtId="0" fontId="5" fillId="0" borderId="67" xfId="0" applyFont="1" applyBorder="1"/>
    <xf numFmtId="0" fontId="5" fillId="0" borderId="51" xfId="0" applyFont="1" applyBorder="1"/>
    <xf numFmtId="0" fontId="5" fillId="0" borderId="68" xfId="0" applyFont="1" applyBorder="1"/>
    <xf numFmtId="0" fontId="5" fillId="0" borderId="69" xfId="0" applyFont="1" applyBorder="1"/>
    <xf numFmtId="0" fontId="5" fillId="0" borderId="46" xfId="0" applyFont="1" applyBorder="1"/>
    <xf numFmtId="0" fontId="5" fillId="0" borderId="70" xfId="0" applyFont="1" applyBorder="1"/>
    <xf numFmtId="0" fontId="5" fillId="0" borderId="48" xfId="0" applyFont="1" applyBorder="1"/>
    <xf numFmtId="0" fontId="5" fillId="0" borderId="71" xfId="0" applyFont="1" applyBorder="1"/>
    <xf numFmtId="0" fontId="5" fillId="0" borderId="34" xfId="0" applyFont="1" applyBorder="1"/>
    <xf numFmtId="0" fontId="5" fillId="0" borderId="72" xfId="0" applyFont="1" applyBorder="1" applyAlignment="1">
      <alignment horizontal="center"/>
    </xf>
    <xf numFmtId="0" fontId="9" fillId="2" borderId="15" xfId="0" applyFont="1" applyFill="1" applyBorder="1" applyProtection="1">
      <protection hidden="1"/>
    </xf>
    <xf numFmtId="0" fontId="9" fillId="2" borderId="18" xfId="0" applyFont="1" applyFill="1" applyBorder="1" applyAlignment="1" applyProtection="1">
      <alignment horizontal="center"/>
      <protection hidden="1"/>
    </xf>
    <xf numFmtId="0" fontId="9" fillId="2" borderId="16" xfId="0" applyFont="1" applyFill="1" applyBorder="1" applyProtection="1">
      <protection hidden="1"/>
    </xf>
    <xf numFmtId="0" fontId="9" fillId="2" borderId="56" xfId="0" applyFont="1" applyFill="1" applyBorder="1" applyProtection="1">
      <protection hidden="1"/>
    </xf>
    <xf numFmtId="0" fontId="9" fillId="2" borderId="19" xfId="0" applyFont="1" applyFill="1" applyBorder="1" applyProtection="1">
      <protection hidden="1"/>
    </xf>
    <xf numFmtId="0" fontId="9" fillId="2" borderId="56" xfId="0" applyFont="1" applyFill="1" applyBorder="1" applyAlignment="1" applyProtection="1">
      <alignment horizontal="left"/>
      <protection hidden="1"/>
    </xf>
    <xf numFmtId="0" fontId="9" fillId="2" borderId="19" xfId="0" applyFont="1" applyFill="1" applyBorder="1" applyAlignment="1" applyProtection="1">
      <alignment horizontal="left"/>
      <protection hidden="1"/>
    </xf>
    <xf numFmtId="0" fontId="9" fillId="2" borderId="15" xfId="0" applyFont="1" applyFill="1" applyBorder="1" applyAlignment="1" applyProtection="1">
      <alignment vertical="center"/>
      <protection hidden="1"/>
    </xf>
    <xf numFmtId="0" fontId="9" fillId="2" borderId="61" xfId="0" applyFont="1" applyFill="1" applyBorder="1" applyAlignment="1" applyProtection="1">
      <alignment vertical="center"/>
      <protection hidden="1"/>
    </xf>
    <xf numFmtId="0" fontId="14" fillId="2" borderId="61" xfId="0" applyFont="1" applyFill="1" applyBorder="1" applyAlignment="1" applyProtection="1">
      <alignment vertical="center"/>
      <protection hidden="1"/>
    </xf>
    <xf numFmtId="0" fontId="9" fillId="2" borderId="14" xfId="0" applyFont="1" applyFill="1" applyBorder="1" applyAlignment="1" applyProtection="1">
      <alignment vertical="center"/>
      <protection hidden="1"/>
    </xf>
    <xf numFmtId="0" fontId="9" fillId="2" borderId="56" xfId="0" applyFont="1" applyFill="1" applyBorder="1" applyAlignment="1" applyProtection="1">
      <alignment vertical="center"/>
      <protection hidden="1"/>
    </xf>
    <xf numFmtId="0" fontId="9" fillId="2" borderId="17" xfId="0" applyFont="1" applyFill="1" applyBorder="1" applyAlignment="1" applyProtection="1">
      <alignment vertical="center"/>
      <protection hidden="1"/>
    </xf>
    <xf numFmtId="0" fontId="9" fillId="2" borderId="18" xfId="0" applyFont="1" applyFill="1" applyBorder="1" applyAlignment="1" applyProtection="1">
      <alignment vertical="center"/>
      <protection hidden="1"/>
    </xf>
    <xf numFmtId="0" fontId="9" fillId="2" borderId="19" xfId="0" applyFont="1" applyFill="1" applyBorder="1" applyAlignment="1" applyProtection="1">
      <alignment vertical="center"/>
      <protection hidden="1"/>
    </xf>
    <xf numFmtId="0" fontId="9" fillId="2" borderId="15" xfId="0" applyFont="1" applyFill="1" applyBorder="1" applyAlignment="1" applyProtection="1">
      <protection hidden="1"/>
    </xf>
    <xf numFmtId="0" fontId="9" fillId="2" borderId="61" xfId="0" applyFont="1" applyFill="1" applyBorder="1" applyAlignment="1" applyProtection="1">
      <protection hidden="1"/>
    </xf>
    <xf numFmtId="0" fontId="14" fillId="2" borderId="61" xfId="0" applyFont="1" applyFill="1" applyBorder="1" applyAlignment="1" applyProtection="1">
      <protection hidden="1"/>
    </xf>
    <xf numFmtId="0" fontId="9" fillId="2" borderId="16" xfId="0" applyFont="1" applyFill="1" applyBorder="1" applyAlignment="1" applyProtection="1">
      <protection hidden="1"/>
    </xf>
    <xf numFmtId="0" fontId="11" fillId="2" borderId="15" xfId="0" applyFont="1" applyFill="1" applyBorder="1" applyAlignment="1" applyProtection="1">
      <alignment horizontal="left"/>
      <protection hidden="1"/>
    </xf>
    <xf numFmtId="0" fontId="9" fillId="2" borderId="14" xfId="0" applyFont="1" applyFill="1" applyBorder="1" applyAlignment="1" applyProtection="1">
      <protection hidden="1"/>
    </xf>
    <xf numFmtId="0" fontId="9" fillId="2" borderId="0" xfId="0" applyFont="1" applyFill="1" applyBorder="1" applyAlignment="1" applyProtection="1">
      <protection hidden="1"/>
    </xf>
    <xf numFmtId="0" fontId="9" fillId="2" borderId="56" xfId="0" applyFont="1" applyFill="1" applyBorder="1" applyAlignment="1" applyProtection="1">
      <protection hidden="1"/>
    </xf>
    <xf numFmtId="0" fontId="11" fillId="2" borderId="14" xfId="0" applyFont="1" applyFill="1" applyBorder="1" applyAlignment="1" applyProtection="1">
      <alignment horizontal="left"/>
      <protection hidden="1"/>
    </xf>
    <xf numFmtId="0" fontId="9" fillId="2" borderId="17" xfId="0" applyFont="1" applyFill="1" applyBorder="1" applyAlignment="1" applyProtection="1">
      <protection hidden="1"/>
    </xf>
    <xf numFmtId="0" fontId="9" fillId="2" borderId="18" xfId="0" applyFont="1" applyFill="1" applyBorder="1" applyAlignment="1" applyProtection="1">
      <protection hidden="1"/>
    </xf>
    <xf numFmtId="0" fontId="9" fillId="2" borderId="19" xfId="0" applyFont="1" applyFill="1" applyBorder="1" applyAlignment="1" applyProtection="1">
      <protection hidden="1"/>
    </xf>
    <xf numFmtId="0" fontId="9" fillId="2" borderId="61" xfId="0" applyFont="1" applyFill="1" applyBorder="1" applyAlignment="1" applyProtection="1">
      <alignment horizontal="left"/>
      <protection hidden="1"/>
    </xf>
    <xf numFmtId="0" fontId="9" fillId="2" borderId="61" xfId="0" applyFont="1" applyFill="1" applyBorder="1" applyAlignment="1" applyProtection="1">
      <alignment horizontal="left" vertical="center"/>
      <protection hidden="1"/>
    </xf>
    <xf numFmtId="0" fontId="9" fillId="2" borderId="18" xfId="0" applyFont="1" applyFill="1" applyBorder="1" applyAlignment="1" applyProtection="1">
      <alignment horizontal="left" vertical="center"/>
      <protection hidden="1"/>
    </xf>
    <xf numFmtId="0" fontId="9" fillId="2" borderId="0" xfId="0" applyFont="1" applyFill="1" applyProtection="1">
      <protection hidden="1"/>
    </xf>
    <xf numFmtId="0" fontId="25" fillId="2" borderId="18" xfId="0" applyFont="1" applyFill="1" applyBorder="1" applyAlignment="1" applyProtection="1">
      <alignment horizontal="right"/>
      <protection hidden="1"/>
    </xf>
    <xf numFmtId="0" fontId="25" fillId="2" borderId="18" xfId="0" applyFont="1" applyFill="1" applyBorder="1" applyAlignment="1" applyProtection="1">
      <alignment horizontal="right" vertical="top"/>
      <protection hidden="1"/>
    </xf>
    <xf numFmtId="49" fontId="9" fillId="2" borderId="16" xfId="0" applyNumberFormat="1" applyFont="1" applyFill="1" applyBorder="1" applyAlignment="1" applyProtection="1">
      <protection hidden="1"/>
    </xf>
    <xf numFmtId="49" fontId="9" fillId="2" borderId="61" xfId="0" applyNumberFormat="1" applyFont="1" applyFill="1" applyBorder="1" applyAlignment="1" applyProtection="1">
      <protection hidden="1"/>
    </xf>
    <xf numFmtId="0" fontId="12" fillId="2" borderId="0" xfId="0" applyFont="1" applyFill="1" applyBorder="1" applyAlignment="1" applyProtection="1">
      <protection hidden="1"/>
    </xf>
    <xf numFmtId="14" fontId="12" fillId="2" borderId="56" xfId="0" applyNumberFormat="1" applyFont="1" applyFill="1" applyBorder="1" applyAlignment="1" applyProtection="1">
      <protection hidden="1"/>
    </xf>
    <xf numFmtId="14" fontId="12" fillId="2" borderId="0" xfId="0" applyNumberFormat="1" applyFont="1" applyFill="1" applyBorder="1" applyAlignment="1" applyProtection="1">
      <protection hidden="1"/>
    </xf>
    <xf numFmtId="49" fontId="12" fillId="2" borderId="0" xfId="0" applyNumberFormat="1" applyFont="1" applyFill="1" applyBorder="1" applyAlignment="1" applyProtection="1">
      <alignment vertical="top"/>
      <protection hidden="1"/>
    </xf>
    <xf numFmtId="1" fontId="12" fillId="2" borderId="0" xfId="0" applyNumberFormat="1" applyFont="1" applyFill="1" applyBorder="1" applyAlignment="1" applyProtection="1">
      <alignment vertical="top"/>
      <protection hidden="1"/>
    </xf>
    <xf numFmtId="0" fontId="16" fillId="2" borderId="0" xfId="0" applyFont="1" applyFill="1" applyBorder="1" applyAlignment="1" applyProtection="1">
      <alignment horizontal="left" vertical="center"/>
      <protection hidden="1"/>
    </xf>
    <xf numFmtId="0" fontId="12" fillId="2" borderId="0" xfId="0" applyFont="1" applyFill="1" applyBorder="1" applyAlignment="1" applyProtection="1">
      <alignment vertical="center"/>
      <protection hidden="1"/>
    </xf>
    <xf numFmtId="0" fontId="19" fillId="2" borderId="18" xfId="0" applyFont="1" applyFill="1" applyBorder="1" applyAlignment="1" applyProtection="1">
      <alignment vertical="center"/>
      <protection hidden="1"/>
    </xf>
    <xf numFmtId="0" fontId="9" fillId="2" borderId="18" xfId="0" applyFont="1" applyFill="1" applyBorder="1" applyAlignment="1" applyProtection="1">
      <alignment horizontal="center" vertical="center"/>
      <protection hidden="1"/>
    </xf>
    <xf numFmtId="0" fontId="14" fillId="2" borderId="0" xfId="0" applyFont="1" applyFill="1" applyBorder="1" applyProtection="1">
      <protection hidden="1"/>
    </xf>
    <xf numFmtId="0" fontId="11" fillId="2" borderId="0" xfId="0" applyFont="1" applyFill="1" applyBorder="1" applyProtection="1">
      <protection hidden="1"/>
    </xf>
    <xf numFmtId="0" fontId="28" fillId="4" borderId="73" xfId="0" applyFont="1" applyFill="1" applyBorder="1" applyAlignment="1" applyProtection="1">
      <alignment horizontal="center" vertical="center" shrinkToFit="1"/>
      <protection hidden="1"/>
    </xf>
    <xf numFmtId="0" fontId="17" fillId="2" borderId="18" xfId="0" applyFont="1" applyFill="1" applyBorder="1" applyAlignment="1" applyProtection="1">
      <alignment horizontal="right"/>
      <protection hidden="1"/>
    </xf>
    <xf numFmtId="0" fontId="22" fillId="2" borderId="0" xfId="0" applyFont="1" applyFill="1" applyProtection="1">
      <protection hidden="1"/>
    </xf>
    <xf numFmtId="0" fontId="9" fillId="2" borderId="0" xfId="0" applyFont="1" applyFill="1" applyAlignment="1" applyProtection="1">
      <alignment horizontal="left"/>
      <protection locked="0" hidden="1"/>
    </xf>
    <xf numFmtId="0" fontId="5" fillId="0" borderId="52" xfId="0" quotePrefix="1" applyFont="1" applyBorder="1" applyAlignment="1">
      <alignment horizontal="left"/>
    </xf>
    <xf numFmtId="49" fontId="24" fillId="2" borderId="0" xfId="0" applyNumberFormat="1" applyFont="1" applyFill="1" applyBorder="1" applyAlignment="1" applyProtection="1">
      <alignment horizontal="center"/>
      <protection locked="0" hidden="1"/>
    </xf>
    <xf numFmtId="0" fontId="24" fillId="2" borderId="0" xfId="0" quotePrefix="1" applyFont="1" applyFill="1" applyBorder="1" applyAlignment="1" applyProtection="1">
      <alignment vertical="center"/>
      <protection hidden="1"/>
    </xf>
    <xf numFmtId="0" fontId="3" fillId="3" borderId="88" xfId="0" applyFont="1" applyFill="1" applyBorder="1"/>
    <xf numFmtId="0" fontId="3" fillId="3" borderId="89" xfId="0" applyFont="1" applyFill="1" applyBorder="1"/>
    <xf numFmtId="0" fontId="3" fillId="3" borderId="90" xfId="0" applyFont="1" applyFill="1" applyBorder="1"/>
    <xf numFmtId="0" fontId="3" fillId="3" borderId="88" xfId="0" applyFont="1" applyFill="1" applyBorder="1" applyAlignment="1">
      <alignment horizontal="center" textRotation="90"/>
    </xf>
    <xf numFmtId="0" fontId="3" fillId="3" borderId="93" xfId="0" applyFont="1" applyFill="1" applyBorder="1" applyAlignment="1">
      <alignment horizontal="center" textRotation="90"/>
    </xf>
    <xf numFmtId="0" fontId="3" fillId="3" borderId="89" xfId="0" applyFont="1" applyFill="1" applyBorder="1" applyAlignment="1">
      <alignment horizontal="center" textRotation="90"/>
    </xf>
    <xf numFmtId="0" fontId="3" fillId="3" borderId="86" xfId="0" applyFont="1" applyFill="1" applyBorder="1"/>
    <xf numFmtId="0" fontId="5" fillId="0" borderId="86" xfId="0" applyFont="1" applyBorder="1" applyAlignment="1">
      <alignment vertical="top"/>
    </xf>
    <xf numFmtId="14" fontId="5" fillId="0" borderId="83" xfId="0" applyNumberFormat="1" applyFont="1" applyBorder="1" applyAlignment="1">
      <alignment vertical="top"/>
    </xf>
    <xf numFmtId="0" fontId="5" fillId="0" borderId="86" xfId="0" applyFont="1" applyBorder="1" applyAlignment="1">
      <alignment horizontal="center" vertical="center"/>
    </xf>
    <xf numFmtId="0" fontId="5" fillId="0" borderId="85" xfId="0" applyFont="1" applyBorder="1" applyAlignment="1">
      <alignment horizontal="center" vertical="center"/>
    </xf>
    <xf numFmtId="0" fontId="5" fillId="0" borderId="83" xfId="0" applyFont="1" applyBorder="1" applyAlignment="1">
      <alignment horizontal="center" vertical="center"/>
    </xf>
    <xf numFmtId="14" fontId="5" fillId="0" borderId="87" xfId="0" applyNumberFormat="1" applyFont="1" applyBorder="1" applyAlignment="1">
      <alignment vertical="top"/>
    </xf>
    <xf numFmtId="0" fontId="5" fillId="0" borderId="91" xfId="0" applyFont="1" applyBorder="1" applyAlignment="1">
      <alignment vertical="top" wrapText="1"/>
    </xf>
    <xf numFmtId="0" fontId="5" fillId="0" borderId="92" xfId="0" applyFont="1" applyBorder="1" applyAlignment="1">
      <alignment vertical="top" wrapText="1"/>
    </xf>
    <xf numFmtId="0" fontId="5" fillId="0" borderId="84" xfId="0" applyFont="1" applyBorder="1" applyAlignment="1">
      <alignment vertical="top" wrapText="1"/>
    </xf>
    <xf numFmtId="0" fontId="9" fillId="2" borderId="0" xfId="0" applyFont="1" applyFill="1" applyBorder="1" applyAlignment="1" applyProtection="1">
      <alignment vertical="top"/>
      <protection hidden="1"/>
    </xf>
    <xf numFmtId="0" fontId="5" fillId="0" borderId="42" xfId="0" applyFont="1" applyBorder="1"/>
    <xf numFmtId="0" fontId="5" fillId="0" borderId="38" xfId="0" applyFont="1" applyBorder="1" applyAlignment="1">
      <alignment horizontal="center" vertical="center"/>
    </xf>
    <xf numFmtId="0" fontId="11" fillId="2" borderId="18" xfId="0" applyFont="1" applyFill="1" applyBorder="1" applyAlignment="1" applyProtection="1">
      <alignment vertical="top"/>
      <protection hidden="1"/>
    </xf>
    <xf numFmtId="14" fontId="9" fillId="5" borderId="0" xfId="0" applyNumberFormat="1" applyFont="1" applyFill="1" applyBorder="1" applyAlignment="1" applyProtection="1">
      <alignment vertical="center"/>
      <protection locked="0"/>
    </xf>
    <xf numFmtId="0" fontId="5" fillId="0" borderId="25" xfId="0" applyFont="1" applyBorder="1"/>
    <xf numFmtId="0" fontId="5" fillId="0" borderId="27" xfId="0" applyFont="1" applyFill="1" applyBorder="1"/>
    <xf numFmtId="0" fontId="3" fillId="3" borderId="4" xfId="0" applyFont="1" applyFill="1" applyBorder="1" applyAlignment="1">
      <alignment wrapText="1"/>
    </xf>
    <xf numFmtId="0" fontId="14" fillId="2" borderId="0" xfId="0" applyFont="1" applyFill="1" applyBorder="1" applyAlignment="1" applyProtection="1">
      <protection hidden="1"/>
    </xf>
    <xf numFmtId="0" fontId="14" fillId="5" borderId="0" xfId="0" applyFont="1" applyFill="1" applyBorder="1" applyAlignment="1" applyProtection="1">
      <protection hidden="1"/>
    </xf>
    <xf numFmtId="0" fontId="11" fillId="2" borderId="14" xfId="0" applyFont="1" applyFill="1" applyBorder="1" applyProtection="1">
      <protection hidden="1"/>
    </xf>
    <xf numFmtId="0" fontId="14" fillId="5" borderId="56" xfId="0" applyFont="1" applyFill="1" applyBorder="1" applyAlignment="1" applyProtection="1">
      <protection hidden="1"/>
    </xf>
    <xf numFmtId="0" fontId="31" fillId="0" borderId="23" xfId="0" applyFont="1" applyFill="1" applyBorder="1"/>
    <xf numFmtId="0" fontId="31" fillId="0" borderId="49" xfId="0" applyFont="1" applyFill="1" applyBorder="1"/>
    <xf numFmtId="0" fontId="31" fillId="0" borderId="39" xfId="0" applyFont="1" applyFill="1" applyBorder="1"/>
    <xf numFmtId="0" fontId="31" fillId="0" borderId="2" xfId="0" applyFont="1" applyFill="1" applyBorder="1"/>
    <xf numFmtId="0" fontId="31" fillId="0" borderId="3" xfId="0" applyFont="1" applyFill="1" applyBorder="1"/>
    <xf numFmtId="0" fontId="32" fillId="0" borderId="1" xfId="0" applyFont="1" applyFill="1" applyBorder="1"/>
    <xf numFmtId="0" fontId="31" fillId="0" borderId="3" xfId="0" applyFont="1" applyFill="1" applyBorder="1" applyAlignment="1">
      <alignment horizontal="right"/>
    </xf>
    <xf numFmtId="0" fontId="31" fillId="0" borderId="31" xfId="0" applyFont="1" applyFill="1" applyBorder="1"/>
    <xf numFmtId="0" fontId="31" fillId="0" borderId="50" xfId="0" applyFont="1" applyFill="1" applyBorder="1" applyAlignment="1">
      <alignment horizontal="right"/>
    </xf>
    <xf numFmtId="0" fontId="31" fillId="0" borderId="32" xfId="0" applyFont="1" applyFill="1" applyBorder="1"/>
    <xf numFmtId="0" fontId="9" fillId="2" borderId="17" xfId="0" applyFont="1" applyFill="1" applyBorder="1" applyAlignment="1" applyProtection="1">
      <alignment horizontal="left"/>
      <protection hidden="1"/>
    </xf>
    <xf numFmtId="0" fontId="9" fillId="2" borderId="15" xfId="0" applyFont="1" applyFill="1" applyBorder="1" applyAlignment="1" applyProtection="1">
      <alignment horizontal="left"/>
      <protection hidden="1"/>
    </xf>
    <xf numFmtId="0" fontId="9" fillId="2" borderId="99"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5" fillId="0" borderId="0" xfId="0" applyFont="1" applyFill="1" applyBorder="1" applyAlignment="1">
      <alignment horizontal="left"/>
    </xf>
    <xf numFmtId="0" fontId="5" fillId="0" borderId="0" xfId="0" applyFont="1" applyFill="1" applyBorder="1" applyAlignment="1"/>
    <xf numFmtId="0" fontId="5" fillId="0" borderId="49" xfId="0" quotePrefix="1" applyFont="1" applyBorder="1"/>
    <xf numFmtId="0" fontId="9" fillId="2" borderId="0" xfId="0" applyFont="1" applyFill="1" applyBorder="1" applyAlignment="1" applyProtection="1">
      <alignment vertical="center" shrinkToFit="1"/>
      <protection hidden="1"/>
    </xf>
    <xf numFmtId="0" fontId="9" fillId="2" borderId="0" xfId="0" applyFont="1" applyFill="1" applyAlignment="1" applyProtection="1">
      <alignment horizontal="right"/>
      <protection hidden="1"/>
    </xf>
    <xf numFmtId="0" fontId="9" fillId="2" borderId="0" xfId="0" applyFont="1" applyFill="1" applyAlignment="1" applyProtection="1">
      <protection hidden="1"/>
    </xf>
    <xf numFmtId="0" fontId="17" fillId="2" borderId="0" xfId="0" applyFont="1" applyFill="1" applyAlignment="1" applyProtection="1">
      <alignment horizontal="right" vertical="center"/>
      <protection hidden="1"/>
    </xf>
    <xf numFmtId="0" fontId="17" fillId="2" borderId="0" xfId="0" applyFont="1" applyFill="1" applyAlignment="1" applyProtection="1">
      <alignment horizontal="right"/>
      <protection hidden="1"/>
    </xf>
    <xf numFmtId="0" fontId="9" fillId="2" borderId="0" xfId="0" applyFont="1" applyFill="1" applyBorder="1" applyAlignment="1" applyProtection="1">
      <alignment horizontal="right"/>
      <protection hidden="1"/>
    </xf>
    <xf numFmtId="0" fontId="5" fillId="0" borderId="66" xfId="0" applyFont="1" applyBorder="1" applyAlignment="1">
      <alignment horizontal="center"/>
    </xf>
    <xf numFmtId="0" fontId="5" fillId="0" borderId="51" xfId="0" applyFont="1" applyBorder="1" applyAlignment="1">
      <alignment horizontal="center"/>
    </xf>
    <xf numFmtId="0" fontId="5" fillId="0" borderId="69" xfId="0" applyFont="1" applyBorder="1" applyAlignment="1">
      <alignment horizontal="center"/>
    </xf>
    <xf numFmtId="0" fontId="5" fillId="0" borderId="101" xfId="0" applyFont="1" applyBorder="1" applyAlignment="1">
      <alignment horizontal="center"/>
    </xf>
    <xf numFmtId="0" fontId="5" fillId="0" borderId="102" xfId="0" applyFont="1" applyBorder="1" applyAlignment="1">
      <alignment horizontal="center"/>
    </xf>
    <xf numFmtId="0" fontId="5" fillId="0" borderId="103" xfId="0" applyFont="1" applyBorder="1" applyAlignment="1">
      <alignment horizontal="center"/>
    </xf>
    <xf numFmtId="0" fontId="5" fillId="0" borderId="104" xfId="0" applyFont="1" applyBorder="1" applyAlignment="1">
      <alignment horizontal="center"/>
    </xf>
    <xf numFmtId="0" fontId="5" fillId="0" borderId="105" xfId="0" applyFont="1" applyBorder="1" applyAlignment="1">
      <alignment horizontal="center"/>
    </xf>
    <xf numFmtId="0" fontId="5" fillId="0" borderId="106" xfId="0" applyFont="1" applyBorder="1" applyAlignment="1">
      <alignment horizontal="center"/>
    </xf>
    <xf numFmtId="0" fontId="3" fillId="0" borderId="31" xfId="0" applyFont="1" applyBorder="1"/>
    <xf numFmtId="0" fontId="3" fillId="0" borderId="32" xfId="0" applyFont="1" applyBorder="1" applyAlignment="1">
      <alignment horizontal="center"/>
    </xf>
    <xf numFmtId="0" fontId="9" fillId="2" borderId="100" xfId="0" applyFont="1" applyFill="1" applyBorder="1" applyProtection="1">
      <protection hidden="1"/>
    </xf>
    <xf numFmtId="0" fontId="8" fillId="0" borderId="3" xfId="0" applyFont="1" applyBorder="1"/>
    <xf numFmtId="0" fontId="5" fillId="0" borderId="2" xfId="0" applyFont="1" applyFill="1" applyBorder="1"/>
    <xf numFmtId="0" fontId="5" fillId="0" borderId="1" xfId="0" applyFont="1" applyFill="1" applyBorder="1"/>
    <xf numFmtId="0" fontId="5" fillId="0" borderId="31" xfId="0" applyFont="1" applyFill="1" applyBorder="1"/>
    <xf numFmtId="0" fontId="5" fillId="0" borderId="50" xfId="0" applyFont="1" applyFill="1" applyBorder="1"/>
    <xf numFmtId="0" fontId="5" fillId="0" borderId="109" xfId="0" applyFont="1" applyBorder="1"/>
    <xf numFmtId="0" fontId="5" fillId="0" borderId="74" xfId="0" applyFont="1" applyBorder="1"/>
    <xf numFmtId="0" fontId="5" fillId="0" borderId="72" xfId="0" applyFont="1" applyBorder="1"/>
    <xf numFmtId="0" fontId="14" fillId="2" borderId="14" xfId="0" applyFont="1" applyFill="1" applyBorder="1" applyProtection="1">
      <protection hidden="1"/>
    </xf>
    <xf numFmtId="0" fontId="34" fillId="2" borderId="0" xfId="0" applyFont="1" applyFill="1" applyBorder="1" applyProtection="1">
      <protection hidden="1"/>
    </xf>
    <xf numFmtId="0" fontId="22" fillId="2" borderId="14" xfId="0" applyFont="1" applyFill="1" applyBorder="1" applyProtection="1">
      <protection hidden="1"/>
    </xf>
    <xf numFmtId="0" fontId="9" fillId="2" borderId="112" xfId="0" applyFont="1" applyFill="1" applyBorder="1" applyProtection="1">
      <protection hidden="1"/>
    </xf>
    <xf numFmtId="0" fontId="9" fillId="2" borderId="113" xfId="0" applyFont="1" applyFill="1" applyBorder="1" applyProtection="1">
      <protection hidden="1"/>
    </xf>
    <xf numFmtId="0" fontId="9" fillId="2" borderId="114" xfId="0" applyFont="1" applyFill="1" applyBorder="1" applyProtection="1">
      <protection hidden="1"/>
    </xf>
    <xf numFmtId="0" fontId="9" fillId="2" borderId="115" xfId="0" applyFont="1" applyFill="1" applyBorder="1" applyProtection="1">
      <protection hidden="1"/>
    </xf>
    <xf numFmtId="0" fontId="25" fillId="2" borderId="0" xfId="0" applyFont="1" applyFill="1" applyBorder="1" applyAlignment="1" applyProtection="1">
      <alignment vertical="top"/>
      <protection hidden="1"/>
    </xf>
    <xf numFmtId="0" fontId="9" fillId="2" borderId="116" xfId="0" applyFont="1" applyFill="1" applyBorder="1" applyProtection="1">
      <protection hidden="1"/>
    </xf>
    <xf numFmtId="0" fontId="29" fillId="2" borderId="0" xfId="2" applyFont="1" applyFill="1" applyBorder="1" applyProtection="1">
      <protection hidden="1"/>
    </xf>
    <xf numFmtId="0" fontId="16" fillId="2" borderId="115" xfId="0" applyFont="1" applyFill="1" applyBorder="1" applyAlignment="1" applyProtection="1">
      <alignment horizontal="left" vertical="center"/>
      <protection hidden="1"/>
    </xf>
    <xf numFmtId="0" fontId="16" fillId="2" borderId="117" xfId="0" applyFont="1" applyFill="1" applyBorder="1" applyAlignment="1" applyProtection="1">
      <alignment horizontal="left" vertical="center"/>
      <protection hidden="1"/>
    </xf>
    <xf numFmtId="0" fontId="9" fillId="2" borderId="118" xfId="0" applyFont="1" applyFill="1" applyBorder="1" applyProtection="1">
      <protection hidden="1"/>
    </xf>
    <xf numFmtId="0" fontId="14" fillId="5" borderId="118" xfId="0" applyFont="1" applyFill="1" applyBorder="1" applyAlignment="1" applyProtection="1">
      <protection hidden="1"/>
    </xf>
    <xf numFmtId="0" fontId="9" fillId="2" borderId="119" xfId="0" applyFont="1" applyFill="1" applyBorder="1" applyProtection="1">
      <protection hidden="1"/>
    </xf>
    <xf numFmtId="0" fontId="5" fillId="0" borderId="23" xfId="0" applyFont="1" applyBorder="1" applyAlignment="1">
      <alignment horizontal="left"/>
    </xf>
    <xf numFmtId="0" fontId="5" fillId="0" borderId="2" xfId="0" applyFont="1" applyBorder="1" applyAlignment="1">
      <alignment horizontal="left"/>
    </xf>
    <xf numFmtId="0" fontId="5" fillId="0" borderId="31" xfId="0" applyFont="1" applyBorder="1" applyAlignment="1">
      <alignment horizontal="left"/>
    </xf>
    <xf numFmtId="0" fontId="17" fillId="2" borderId="0" xfId="0" applyFont="1" applyFill="1" applyBorder="1" applyAlignment="1" applyProtection="1">
      <alignment horizontal="right"/>
      <protection hidden="1"/>
    </xf>
    <xf numFmtId="0" fontId="9" fillId="2" borderId="113" xfId="0" applyFont="1" applyFill="1" applyBorder="1" applyAlignment="1" applyProtection="1">
      <protection hidden="1"/>
    </xf>
    <xf numFmtId="0" fontId="9" fillId="2" borderId="114" xfId="0" applyFont="1" applyFill="1" applyBorder="1" applyAlignment="1" applyProtection="1">
      <protection hidden="1"/>
    </xf>
    <xf numFmtId="0" fontId="9" fillId="2" borderId="116" xfId="0" applyFont="1" applyFill="1" applyBorder="1" applyAlignment="1" applyProtection="1">
      <protection hidden="1"/>
    </xf>
    <xf numFmtId="0" fontId="9" fillId="2" borderId="117" xfId="0" applyFont="1" applyFill="1" applyBorder="1" applyProtection="1">
      <protection hidden="1"/>
    </xf>
    <xf numFmtId="0" fontId="9" fillId="2" borderId="112" xfId="0" applyFont="1" applyFill="1" applyBorder="1" applyAlignment="1" applyProtection="1">
      <protection hidden="1"/>
    </xf>
    <xf numFmtId="0" fontId="9" fillId="2" borderId="115" xfId="0" applyFont="1" applyFill="1" applyBorder="1" applyAlignment="1" applyProtection="1">
      <protection hidden="1"/>
    </xf>
    <xf numFmtId="0" fontId="9" fillId="2" borderId="121" xfId="0" applyFont="1" applyFill="1" applyBorder="1" applyProtection="1">
      <protection hidden="1"/>
    </xf>
    <xf numFmtId="0" fontId="9" fillId="2" borderId="35" xfId="0" applyFont="1" applyFill="1" applyBorder="1" applyProtection="1">
      <protection hidden="1"/>
    </xf>
    <xf numFmtId="0" fontId="9" fillId="2" borderId="35" xfId="0" applyFont="1" applyFill="1" applyBorder="1" applyAlignment="1" applyProtection="1">
      <protection hidden="1"/>
    </xf>
    <xf numFmtId="0" fontId="9" fillId="2" borderId="120" xfId="0" applyFont="1" applyFill="1" applyBorder="1" applyAlignment="1" applyProtection="1">
      <protection hidden="1"/>
    </xf>
    <xf numFmtId="0" fontId="9" fillId="2" borderId="121" xfId="0" applyFont="1" applyFill="1" applyBorder="1" applyAlignment="1" applyProtection="1">
      <protection hidden="1"/>
    </xf>
    <xf numFmtId="0" fontId="9" fillId="2" borderId="122" xfId="0" applyFont="1" applyFill="1" applyBorder="1" applyProtection="1">
      <protection hidden="1"/>
    </xf>
    <xf numFmtId="0" fontId="9" fillId="2" borderId="21" xfId="0" applyFont="1" applyFill="1" applyBorder="1" applyProtection="1">
      <protection hidden="1"/>
    </xf>
    <xf numFmtId="0" fontId="9" fillId="2" borderId="21" xfId="0" applyFont="1" applyFill="1" applyBorder="1" applyAlignment="1" applyProtection="1">
      <protection hidden="1"/>
    </xf>
    <xf numFmtId="0" fontId="9" fillId="2" borderId="123" xfId="0" applyFont="1" applyFill="1" applyBorder="1" applyAlignment="1" applyProtection="1">
      <protection hidden="1"/>
    </xf>
    <xf numFmtId="0" fontId="9" fillId="2" borderId="122" xfId="0" applyFont="1" applyFill="1" applyBorder="1" applyAlignment="1" applyProtection="1">
      <protection hidden="1"/>
    </xf>
    <xf numFmtId="0" fontId="9" fillId="2" borderId="18" xfId="0" applyFont="1" applyFill="1" applyBorder="1" applyAlignment="1" applyProtection="1">
      <alignment horizontal="right"/>
      <protection hidden="1"/>
    </xf>
    <xf numFmtId="0" fontId="33" fillId="2" borderId="61" xfId="0" applyFont="1" applyFill="1" applyBorder="1" applyProtection="1">
      <protection hidden="1"/>
    </xf>
    <xf numFmtId="0" fontId="5" fillId="2" borderId="56" xfId="0" applyFont="1" applyFill="1" applyBorder="1" applyAlignment="1" applyProtection="1">
      <protection hidden="1"/>
    </xf>
    <xf numFmtId="0" fontId="5" fillId="2" borderId="56" xfId="0" applyFont="1" applyFill="1" applyBorder="1" applyAlignment="1" applyProtection="1">
      <protection locked="0"/>
    </xf>
    <xf numFmtId="0" fontId="9" fillId="2" borderId="0" xfId="0" applyFont="1" applyFill="1" applyBorder="1" applyAlignment="1" applyProtection="1">
      <alignment horizontal="right" vertical="center"/>
      <protection hidden="1"/>
    </xf>
    <xf numFmtId="0" fontId="30" fillId="2" borderId="0" xfId="0" applyFont="1" applyFill="1" applyBorder="1" applyAlignment="1" applyProtection="1">
      <alignment vertical="top"/>
      <protection hidden="1"/>
    </xf>
    <xf numFmtId="0" fontId="2" fillId="0" borderId="1" xfId="0" applyFont="1" applyBorder="1" applyAlignment="1">
      <alignment wrapText="1"/>
    </xf>
    <xf numFmtId="0" fontId="2" fillId="0" borderId="1" xfId="0" applyFont="1" applyBorder="1"/>
    <xf numFmtId="0" fontId="1" fillId="0" borderId="0" xfId="0" applyFont="1"/>
    <xf numFmtId="0" fontId="1" fillId="0" borderId="2" xfId="0" applyFont="1" applyBorder="1"/>
    <xf numFmtId="0" fontId="3" fillId="3" borderId="124" xfId="0" applyFont="1" applyFill="1" applyBorder="1"/>
    <xf numFmtId="0" fontId="5" fillId="6" borderId="23" xfId="0" applyFont="1" applyFill="1" applyBorder="1"/>
    <xf numFmtId="0" fontId="3" fillId="6" borderId="49" xfId="0" applyFont="1" applyFill="1" applyBorder="1" applyAlignment="1">
      <alignment horizontal="center"/>
    </xf>
    <xf numFmtId="0" fontId="5" fillId="6" borderId="39" xfId="0" applyFont="1" applyFill="1" applyBorder="1" applyAlignment="1">
      <alignment horizontal="center"/>
    </xf>
    <xf numFmtId="0" fontId="5" fillId="6" borderId="2" xfId="0" applyFont="1" applyFill="1" applyBorder="1"/>
    <xf numFmtId="0" fontId="3" fillId="6" borderId="1" xfId="0" applyFont="1" applyFill="1" applyBorder="1" applyAlignment="1">
      <alignment horizontal="center"/>
    </xf>
    <xf numFmtId="0" fontId="5" fillId="6" borderId="3" xfId="0" applyFont="1" applyFill="1" applyBorder="1" applyAlignment="1">
      <alignment horizontal="center"/>
    </xf>
    <xf numFmtId="0" fontId="3" fillId="6" borderId="74" xfId="0" applyFont="1" applyFill="1" applyBorder="1" applyAlignment="1">
      <alignment horizontal="center"/>
    </xf>
    <xf numFmtId="0" fontId="5" fillId="6" borderId="78" xfId="0" applyFont="1" applyFill="1" applyBorder="1" applyAlignment="1">
      <alignment horizontal="center"/>
    </xf>
    <xf numFmtId="0" fontId="5" fillId="6" borderId="22" xfId="0" applyFont="1" applyFill="1" applyBorder="1" applyAlignment="1">
      <alignment horizontal="center"/>
    </xf>
    <xf numFmtId="0" fontId="5" fillId="6" borderId="79" xfId="0" applyFont="1" applyFill="1" applyBorder="1" applyAlignment="1">
      <alignment horizontal="center"/>
    </xf>
    <xf numFmtId="0" fontId="3" fillId="6" borderId="22" xfId="0" applyFont="1" applyFill="1" applyBorder="1" applyAlignment="1">
      <alignment horizontal="center"/>
    </xf>
    <xf numFmtId="0" fontId="3" fillId="6" borderId="6" xfId="0" applyFont="1" applyFill="1" applyBorder="1" applyAlignment="1">
      <alignment horizontal="center"/>
    </xf>
    <xf numFmtId="0" fontId="3" fillId="6" borderId="94" xfId="0" applyFont="1" applyFill="1" applyBorder="1" applyAlignment="1">
      <alignment vertical="center"/>
    </xf>
    <xf numFmtId="0" fontId="3" fillId="6" borderId="96" xfId="0" applyFont="1" applyFill="1" applyBorder="1" applyAlignment="1">
      <alignment vertical="center"/>
    </xf>
    <xf numFmtId="0" fontId="5" fillId="6" borderId="74" xfId="0" applyFont="1" applyFill="1" applyBorder="1" applyAlignment="1">
      <alignment horizontal="center"/>
    </xf>
    <xf numFmtId="0" fontId="3" fillId="6" borderId="3" xfId="0" applyFont="1" applyFill="1" applyBorder="1" applyAlignment="1">
      <alignment horizontal="center"/>
    </xf>
    <xf numFmtId="0" fontId="5" fillId="6" borderId="82" xfId="0" applyFont="1" applyFill="1" applyBorder="1" applyAlignment="1">
      <alignment horizontal="center"/>
    </xf>
    <xf numFmtId="0" fontId="3" fillId="6" borderId="95" xfId="0" applyFont="1" applyFill="1" applyBorder="1" applyAlignment="1">
      <alignment vertical="center"/>
    </xf>
    <xf numFmtId="0" fontId="5" fillId="6" borderId="67" xfId="0" applyFont="1" applyFill="1" applyBorder="1"/>
    <xf numFmtId="0" fontId="5" fillId="6" borderId="59" xfId="0" applyFont="1" applyFill="1" applyBorder="1" applyAlignment="1">
      <alignment horizontal="center"/>
    </xf>
    <xf numFmtId="0" fontId="5" fillId="6" borderId="97" xfId="0" applyFont="1" applyFill="1" applyBorder="1" applyAlignment="1">
      <alignment horizontal="center"/>
    </xf>
    <xf numFmtId="0" fontId="5" fillId="6" borderId="6" xfId="0" applyFont="1" applyFill="1" applyBorder="1" applyAlignment="1">
      <alignment horizontal="center"/>
    </xf>
    <xf numFmtId="0" fontId="1" fillId="6" borderId="67" xfId="0" applyFont="1" applyFill="1" applyBorder="1"/>
    <xf numFmtId="0" fontId="3" fillId="6" borderId="1" xfId="0" applyFont="1" applyFill="1" applyBorder="1"/>
    <xf numFmtId="0" fontId="5" fillId="6" borderId="3" xfId="0" applyFont="1" applyFill="1" applyBorder="1"/>
    <xf numFmtId="0" fontId="1" fillId="6" borderId="68" xfId="0" applyFont="1" applyFill="1" applyBorder="1"/>
    <xf numFmtId="0" fontId="3" fillId="6" borderId="50" xfId="0" applyFont="1" applyFill="1" applyBorder="1"/>
    <xf numFmtId="0" fontId="5" fillId="6" borderId="32" xfId="0" applyFont="1" applyFill="1" applyBorder="1"/>
    <xf numFmtId="0" fontId="1" fillId="6" borderId="2" xfId="0" applyFont="1" applyFill="1" applyBorder="1"/>
    <xf numFmtId="0" fontId="3" fillId="6" borderId="31" xfId="0" applyFont="1" applyFill="1" applyBorder="1"/>
    <xf numFmtId="0" fontId="5" fillId="6" borderId="5" xfId="0" applyFont="1" applyFill="1" applyBorder="1"/>
    <xf numFmtId="0" fontId="5" fillId="6" borderId="7" xfId="0" applyFont="1" applyFill="1" applyBorder="1"/>
    <xf numFmtId="0" fontId="3" fillId="0" borderId="0" xfId="0" applyFont="1" applyAlignment="1">
      <alignment horizontal="right"/>
    </xf>
    <xf numFmtId="0" fontId="1" fillId="0" borderId="0" xfId="0" applyFont="1" applyAlignment="1">
      <alignment horizontal="right"/>
    </xf>
    <xf numFmtId="0" fontId="1" fillId="0" borderId="1" xfId="0" applyFont="1" applyBorder="1"/>
    <xf numFmtId="0" fontId="1" fillId="0" borderId="3" xfId="0" applyFont="1" applyBorder="1"/>
    <xf numFmtId="0" fontId="37" fillId="2" borderId="0" xfId="2" applyFont="1" applyFill="1" applyBorder="1" applyProtection="1">
      <protection hidden="1"/>
    </xf>
    <xf numFmtId="0" fontId="23" fillId="2" borderId="0" xfId="0" applyFont="1" applyFill="1" applyBorder="1" applyAlignment="1" applyProtection="1">
      <alignment vertical="top" wrapText="1"/>
      <protection hidden="1"/>
    </xf>
    <xf numFmtId="0" fontId="14" fillId="2" borderId="0" xfId="0" applyFont="1" applyFill="1" applyAlignment="1" applyProtection="1">
      <alignment vertical="top"/>
      <protection hidden="1"/>
    </xf>
    <xf numFmtId="0" fontId="9" fillId="2" borderId="0" xfId="0" applyFont="1" applyFill="1" applyAlignment="1" applyProtection="1">
      <alignment vertical="top"/>
      <protection hidden="1"/>
    </xf>
    <xf numFmtId="164" fontId="5" fillId="0" borderId="0" xfId="0" applyNumberFormat="1" applyFont="1"/>
    <xf numFmtId="0" fontId="9" fillId="0" borderId="2" xfId="2" applyFont="1" applyBorder="1"/>
    <xf numFmtId="0" fontId="9" fillId="2" borderId="16" xfId="0" applyFont="1" applyFill="1" applyBorder="1" applyProtection="1">
      <protection locked="0" hidden="1"/>
    </xf>
    <xf numFmtId="0" fontId="9" fillId="2" borderId="97" xfId="0" applyFont="1" applyFill="1" applyBorder="1" applyProtection="1">
      <protection hidden="1"/>
    </xf>
    <xf numFmtId="0" fontId="9" fillId="2" borderId="129" xfId="0" applyFont="1" applyFill="1" applyBorder="1" applyProtection="1">
      <protection hidden="1"/>
    </xf>
    <xf numFmtId="0" fontId="30" fillId="2" borderId="14" xfId="0" applyFont="1" applyFill="1" applyBorder="1" applyAlignment="1" applyProtection="1">
      <alignment horizontal="left"/>
      <protection hidden="1"/>
    </xf>
    <xf numFmtId="0" fontId="9" fillId="5" borderId="0" xfId="0" applyFont="1" applyFill="1" applyBorder="1" applyAlignment="1" applyProtection="1">
      <protection hidden="1"/>
    </xf>
    <xf numFmtId="0" fontId="1" fillId="0" borderId="23" xfId="0" applyFont="1" applyBorder="1"/>
    <xf numFmtId="0" fontId="1" fillId="0" borderId="49" xfId="0" applyFont="1" applyBorder="1"/>
    <xf numFmtId="0" fontId="9" fillId="2" borderId="16" xfId="0" applyFont="1" applyFill="1" applyBorder="1" applyAlignment="1" applyProtection="1">
      <alignment horizontal="center" vertical="center"/>
      <protection hidden="1"/>
    </xf>
    <xf numFmtId="0" fontId="9" fillId="2" borderId="56" xfId="0" applyFont="1" applyFill="1" applyBorder="1" applyAlignment="1" applyProtection="1">
      <alignment vertical="center"/>
      <protection locked="0" hidden="1"/>
    </xf>
    <xf numFmtId="0" fontId="9" fillId="2" borderId="16" xfId="0" applyFont="1" applyFill="1" applyBorder="1" applyAlignment="1" applyProtection="1">
      <alignment vertical="center"/>
      <protection locked="0" hidden="1"/>
    </xf>
    <xf numFmtId="0" fontId="1" fillId="0" borderId="2" xfId="0" applyFont="1" applyBorder="1" applyAlignment="1">
      <alignment wrapText="1"/>
    </xf>
    <xf numFmtId="0" fontId="1" fillId="0" borderId="1" xfId="0" applyFont="1" applyBorder="1" applyAlignment="1">
      <alignment vertical="top"/>
    </xf>
    <xf numFmtId="0" fontId="31" fillId="0" borderId="1" xfId="0" applyFont="1" applyBorder="1" applyAlignment="1">
      <alignment vertical="top"/>
    </xf>
    <xf numFmtId="0" fontId="31" fillId="0" borderId="1" xfId="0" applyFont="1" applyBorder="1" applyAlignment="1">
      <alignment vertical="top" wrapText="1"/>
    </xf>
    <xf numFmtId="0" fontId="1" fillId="0" borderId="1" xfId="0" applyFont="1" applyBorder="1" applyAlignment="1">
      <alignment vertical="top" wrapText="1"/>
    </xf>
    <xf numFmtId="0" fontId="1" fillId="2" borderId="0" xfId="0" applyFont="1" applyFill="1" applyProtection="1">
      <protection hidden="1"/>
    </xf>
    <xf numFmtId="0" fontId="1" fillId="2" borderId="0" xfId="0" applyFont="1" applyFill="1" applyBorder="1" applyProtection="1">
      <protection hidden="1"/>
    </xf>
    <xf numFmtId="0" fontId="1" fillId="2" borderId="15" xfId="0" applyFont="1" applyFill="1" applyBorder="1" applyProtection="1">
      <protection hidden="1"/>
    </xf>
    <xf numFmtId="0" fontId="1" fillId="2" borderId="61" xfId="0" applyFont="1" applyFill="1" applyBorder="1" applyProtection="1">
      <protection hidden="1"/>
    </xf>
    <xf numFmtId="0" fontId="1" fillId="2" borderId="16" xfId="0" applyFont="1" applyFill="1" applyBorder="1" applyProtection="1">
      <protection hidden="1"/>
    </xf>
    <xf numFmtId="0" fontId="1" fillId="2" borderId="17" xfId="0" applyFont="1" applyFill="1" applyBorder="1" applyProtection="1">
      <protection hidden="1"/>
    </xf>
    <xf numFmtId="0" fontId="1" fillId="2" borderId="18" xfId="0" applyFont="1" applyFill="1" applyBorder="1" applyProtection="1">
      <protection hidden="1"/>
    </xf>
    <xf numFmtId="0" fontId="1" fillId="2" borderId="19" xfId="0" applyFont="1" applyFill="1" applyBorder="1" applyProtection="1">
      <protection hidden="1"/>
    </xf>
    <xf numFmtId="0" fontId="1" fillId="2" borderId="56" xfId="0" applyFont="1" applyFill="1" applyBorder="1" applyProtection="1">
      <protection hidden="1"/>
    </xf>
    <xf numFmtId="0" fontId="1" fillId="2" borderId="14" xfId="0" applyFont="1" applyFill="1" applyBorder="1" applyProtection="1">
      <protection hidden="1"/>
    </xf>
    <xf numFmtId="0" fontId="38" fillId="2" borderId="0" xfId="0" applyFont="1" applyFill="1" applyAlignment="1" applyProtection="1">
      <alignment horizontal="left" vertical="top"/>
      <protection hidden="1"/>
    </xf>
    <xf numFmtId="0" fontId="3" fillId="2" borderId="14" xfId="0" quotePrefix="1" applyFont="1" applyFill="1" applyBorder="1" applyAlignment="1" applyProtection="1">
      <alignment horizontal="right"/>
      <protection hidden="1"/>
    </xf>
    <xf numFmtId="0" fontId="7" fillId="2" borderId="0" xfId="0" applyFont="1" applyFill="1" applyBorder="1" applyProtection="1">
      <protection hidden="1"/>
    </xf>
    <xf numFmtId="0" fontId="1" fillId="2" borderId="0" xfId="0" applyFont="1" applyFill="1" applyBorder="1" applyAlignment="1" applyProtection="1">
      <alignment vertical="top" wrapText="1"/>
      <protection hidden="1"/>
    </xf>
    <xf numFmtId="0" fontId="1" fillId="2" borderId="0" xfId="0" applyFont="1" applyFill="1" applyBorder="1" applyAlignment="1" applyProtection="1">
      <alignment horizontal="left" vertical="top" wrapText="1"/>
      <protection hidden="1"/>
    </xf>
    <xf numFmtId="0" fontId="1" fillId="2" borderId="107" xfId="0" applyFont="1" applyFill="1" applyBorder="1" applyProtection="1">
      <protection hidden="1"/>
    </xf>
    <xf numFmtId="0" fontId="1" fillId="2" borderId="130" xfId="0" applyFont="1" applyFill="1" applyBorder="1" applyProtection="1">
      <protection hidden="1"/>
    </xf>
    <xf numFmtId="0" fontId="1" fillId="2" borderId="108" xfId="0" applyFont="1" applyFill="1" applyBorder="1" applyProtection="1">
      <protection hidden="1"/>
    </xf>
    <xf numFmtId="0" fontId="4" fillId="2" borderId="98" xfId="0" applyFont="1" applyFill="1" applyBorder="1" applyProtection="1">
      <protection hidden="1"/>
    </xf>
    <xf numFmtId="0" fontId="1" fillId="2" borderId="33" xfId="0" applyFont="1" applyFill="1" applyBorder="1" applyProtection="1">
      <protection hidden="1"/>
    </xf>
    <xf numFmtId="0" fontId="1" fillId="2" borderId="131" xfId="0" applyFont="1" applyFill="1" applyBorder="1" applyProtection="1">
      <protection hidden="1"/>
    </xf>
    <xf numFmtId="0" fontId="1" fillId="2" borderId="132" xfId="0" applyFont="1" applyFill="1" applyBorder="1" applyProtection="1">
      <protection hidden="1"/>
    </xf>
    <xf numFmtId="0" fontId="1" fillId="2" borderId="133" xfId="0" applyFont="1" applyFill="1" applyBorder="1" applyProtection="1">
      <protection hidden="1"/>
    </xf>
    <xf numFmtId="0" fontId="1" fillId="0" borderId="39" xfId="0" applyFont="1" applyBorder="1" applyAlignment="1">
      <alignment horizontal="center"/>
    </xf>
    <xf numFmtId="0" fontId="9" fillId="2" borderId="114" xfId="0" applyFont="1" applyFill="1" applyBorder="1" applyAlignment="1" applyProtection="1">
      <alignment horizontal="right"/>
      <protection hidden="1"/>
    </xf>
    <xf numFmtId="0" fontId="9"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1" fillId="0" borderId="3" xfId="0" quotePrefix="1" applyFont="1" applyBorder="1"/>
    <xf numFmtId="0" fontId="1" fillId="0" borderId="2" xfId="0" quotePrefix="1" applyFont="1" applyBorder="1"/>
    <xf numFmtId="0" fontId="1" fillId="0" borderId="1" xfId="0" quotePrefix="1" applyFont="1" applyBorder="1"/>
    <xf numFmtId="0" fontId="1" fillId="0" borderId="52" xfId="0" applyFont="1" applyBorder="1" applyAlignment="1">
      <alignment horizontal="left"/>
    </xf>
    <xf numFmtId="0" fontId="1" fillId="0" borderId="24" xfId="0" applyFont="1" applyBorder="1" applyAlignment="1">
      <alignment horizontal="left"/>
    </xf>
    <xf numFmtId="0" fontId="8" fillId="0" borderId="25" xfId="0" applyFont="1" applyBorder="1" applyAlignment="1">
      <alignment horizontal="left"/>
    </xf>
    <xf numFmtId="0" fontId="5" fillId="0" borderId="49" xfId="0" applyFont="1" applyBorder="1" applyAlignment="1">
      <alignment horizontal="center"/>
    </xf>
    <xf numFmtId="0" fontId="5" fillId="0" borderId="1" xfId="0" applyFont="1" applyBorder="1" applyAlignment="1">
      <alignment horizontal="center"/>
    </xf>
    <xf numFmtId="0" fontId="3" fillId="3" borderId="11" xfId="0" applyFont="1" applyFill="1" applyBorder="1"/>
    <xf numFmtId="0" fontId="3" fillId="3" borderId="12" xfId="0" applyFont="1" applyFill="1" applyBorder="1"/>
    <xf numFmtId="0" fontId="3" fillId="3" borderId="13" xfId="0" applyFont="1" applyFill="1" applyBorder="1"/>
    <xf numFmtId="0" fontId="1" fillId="0" borderId="68" xfId="0" applyFont="1" applyBorder="1"/>
    <xf numFmtId="0" fontId="1" fillId="0" borderId="62" xfId="0" applyFont="1" applyBorder="1"/>
    <xf numFmtId="0" fontId="41" fillId="2" borderId="116" xfId="0" applyFont="1" applyFill="1" applyBorder="1" applyAlignment="1" applyProtection="1">
      <alignment horizontal="right"/>
      <protection hidden="1"/>
    </xf>
    <xf numFmtId="0" fontId="9" fillId="5" borderId="0" xfId="0" applyFont="1" applyFill="1" applyBorder="1" applyAlignment="1" applyProtection="1">
      <alignment vertical="center"/>
      <protection locked="0" hidden="1"/>
    </xf>
    <xf numFmtId="0" fontId="9" fillId="2" borderId="0" xfId="0" applyFont="1" applyFill="1" applyBorder="1" applyAlignment="1" applyProtection="1">
      <alignment horizontal="left" vertical="center"/>
      <protection locked="0" hidden="1"/>
    </xf>
    <xf numFmtId="0" fontId="9" fillId="5" borderId="0" xfId="0" applyFont="1" applyFill="1" applyBorder="1" applyAlignment="1" applyProtection="1">
      <alignment vertical="center"/>
      <protection hidden="1"/>
    </xf>
    <xf numFmtId="0" fontId="9" fillId="4" borderId="1" xfId="0" applyFont="1" applyFill="1" applyBorder="1" applyAlignment="1" applyProtection="1">
      <alignment horizontal="center" vertical="center"/>
      <protection locked="0"/>
    </xf>
    <xf numFmtId="0" fontId="40" fillId="2" borderId="0" xfId="0" applyFont="1" applyFill="1" applyProtection="1">
      <protection hidden="1"/>
    </xf>
    <xf numFmtId="0" fontId="40" fillId="2" borderId="15" xfId="0" applyFont="1" applyFill="1" applyBorder="1" applyProtection="1">
      <protection hidden="1"/>
    </xf>
    <xf numFmtId="0" fontId="40" fillId="2" borderId="61" xfId="0" applyFont="1" applyFill="1" applyBorder="1" applyProtection="1">
      <protection hidden="1"/>
    </xf>
    <xf numFmtId="0" fontId="40" fillId="2" borderId="16" xfId="0" applyFont="1" applyFill="1" applyBorder="1" applyProtection="1">
      <protection hidden="1"/>
    </xf>
    <xf numFmtId="0" fontId="40" fillId="2" borderId="17" xfId="0" applyFont="1" applyFill="1" applyBorder="1" applyProtection="1">
      <protection hidden="1"/>
    </xf>
    <xf numFmtId="0" fontId="40" fillId="2" borderId="18" xfId="0" applyFont="1" applyFill="1" applyBorder="1" applyProtection="1">
      <protection hidden="1"/>
    </xf>
    <xf numFmtId="0" fontId="40" fillId="2" borderId="19" xfId="0" applyFont="1" applyFill="1" applyBorder="1" applyProtection="1">
      <protection hidden="1"/>
    </xf>
    <xf numFmtId="0" fontId="40" fillId="2" borderId="56" xfId="0" applyFont="1" applyFill="1" applyBorder="1" applyProtection="1">
      <protection hidden="1"/>
    </xf>
    <xf numFmtId="0" fontId="40" fillId="2" borderId="14" xfId="0" applyFont="1" applyFill="1" applyBorder="1" applyProtection="1">
      <protection hidden="1"/>
    </xf>
    <xf numFmtId="0" fontId="25" fillId="2" borderId="0" xfId="0" applyFont="1" applyFill="1" applyProtection="1">
      <protection hidden="1"/>
    </xf>
    <xf numFmtId="0" fontId="43" fillId="2" borderId="61" xfId="0" applyFont="1" applyFill="1" applyBorder="1" applyProtection="1">
      <protection hidden="1"/>
    </xf>
    <xf numFmtId="0" fontId="42" fillId="2" borderId="61" xfId="0" applyFont="1" applyFill="1" applyBorder="1" applyProtection="1">
      <protection hidden="1"/>
    </xf>
    <xf numFmtId="0" fontId="42" fillId="2" borderId="56" xfId="0" applyFont="1" applyFill="1" applyBorder="1" applyAlignment="1" applyProtection="1">
      <alignment horizontal="right"/>
      <protection hidden="1"/>
    </xf>
    <xf numFmtId="0" fontId="40" fillId="2" borderId="0" xfId="0" applyFont="1" applyFill="1" applyBorder="1" applyProtection="1">
      <protection hidden="1"/>
    </xf>
    <xf numFmtId="0" fontId="42" fillId="2" borderId="0" xfId="0" applyFont="1" applyFill="1" applyBorder="1" applyProtection="1">
      <protection hidden="1"/>
    </xf>
    <xf numFmtId="49" fontId="40" fillId="2" borderId="0" xfId="0" applyNumberFormat="1" applyFont="1" applyFill="1" applyBorder="1" applyProtection="1">
      <protection hidden="1"/>
    </xf>
    <xf numFmtId="0" fontId="43" fillId="2" borderId="0" xfId="0" applyFont="1" applyFill="1" applyBorder="1" applyProtection="1">
      <protection hidden="1"/>
    </xf>
    <xf numFmtId="0" fontId="40" fillId="2" borderId="0" xfId="0" applyFont="1" applyFill="1" applyBorder="1" applyAlignment="1" applyProtection="1">
      <alignment horizontal="right"/>
      <protection hidden="1"/>
    </xf>
    <xf numFmtId="1" fontId="40" fillId="2" borderId="0" xfId="0" applyNumberFormat="1" applyFont="1" applyFill="1" applyBorder="1" applyAlignment="1" applyProtection="1">
      <alignment horizontal="left"/>
      <protection hidden="1"/>
    </xf>
    <xf numFmtId="0" fontId="40" fillId="2" borderId="0" xfId="0" applyFont="1" applyFill="1" applyBorder="1" applyAlignment="1" applyProtection="1">
      <alignment horizontal="left"/>
      <protection hidden="1"/>
    </xf>
    <xf numFmtId="0" fontId="43" fillId="2" borderId="0" xfId="0" applyFont="1" applyFill="1" applyProtection="1">
      <protection hidden="1"/>
    </xf>
    <xf numFmtId="0" fontId="9" fillId="2" borderId="0" xfId="0" applyFont="1" applyFill="1" applyBorder="1" applyAlignment="1" applyProtection="1">
      <alignment horizontal="left" vertical="center"/>
      <protection hidden="1"/>
    </xf>
    <xf numFmtId="0" fontId="9" fillId="2" borderId="16" xfId="0" applyFont="1" applyFill="1" applyBorder="1" applyAlignment="1" applyProtection="1">
      <alignment vertical="center"/>
      <protection hidden="1"/>
    </xf>
    <xf numFmtId="0" fontId="11" fillId="2" borderId="0" xfId="0" applyFont="1" applyFill="1" applyProtection="1">
      <protection hidden="1"/>
    </xf>
    <xf numFmtId="0" fontId="9" fillId="2" borderId="75" xfId="0" applyFont="1" applyFill="1" applyBorder="1" applyAlignment="1" applyProtection="1">
      <alignment vertical="center"/>
      <protection hidden="1"/>
    </xf>
    <xf numFmtId="0" fontId="9" fillId="2" borderId="135" xfId="0" applyFont="1" applyFill="1" applyBorder="1" applyProtection="1">
      <protection hidden="1"/>
    </xf>
    <xf numFmtId="0" fontId="5" fillId="0" borderId="0" xfId="0" applyFont="1" applyAlignment="1">
      <alignment horizontal="center"/>
    </xf>
    <xf numFmtId="0" fontId="44" fillId="2" borderId="0" xfId="0" applyFont="1" applyFill="1" applyBorder="1" applyAlignment="1" applyProtection="1">
      <alignment vertical="top"/>
      <protection hidden="1"/>
    </xf>
    <xf numFmtId="0" fontId="9" fillId="0" borderId="134"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9" fillId="2" borderId="112" xfId="0" applyFont="1" applyFill="1" applyBorder="1" applyAlignment="1" applyProtection="1">
      <alignment horizontal="left"/>
      <protection locked="0"/>
    </xf>
    <xf numFmtId="0" fontId="11" fillId="2" borderId="0" xfId="0" applyFont="1" applyFill="1" applyBorder="1" applyAlignment="1" applyProtection="1">
      <alignment horizontal="left"/>
      <protection hidden="1"/>
    </xf>
    <xf numFmtId="0" fontId="3" fillId="2" borderId="14" xfId="0" applyFont="1" applyFill="1" applyBorder="1" applyAlignment="1" applyProtection="1">
      <alignment horizontal="right"/>
      <protection hidden="1"/>
    </xf>
    <xf numFmtId="0" fontId="1" fillId="2" borderId="0" xfId="0" applyFont="1" applyFill="1" applyBorder="1" applyAlignment="1" applyProtection="1">
      <alignment wrapText="1"/>
      <protection hidden="1"/>
    </xf>
    <xf numFmtId="0" fontId="1" fillId="2" borderId="84" xfId="0" applyFont="1" applyFill="1" applyBorder="1" applyProtection="1">
      <protection hidden="1"/>
    </xf>
    <xf numFmtId="0" fontId="1" fillId="2" borderId="54" xfId="0" applyFont="1" applyFill="1" applyBorder="1" applyProtection="1">
      <protection hidden="1"/>
    </xf>
    <xf numFmtId="0" fontId="4" fillId="2" borderId="85" xfId="0" applyFont="1" applyFill="1" applyBorder="1" applyAlignment="1" applyProtection="1">
      <alignment horizontal="right"/>
      <protection hidden="1"/>
    </xf>
    <xf numFmtId="0" fontId="35" fillId="2" borderId="0" xfId="0" applyFont="1" applyFill="1" applyProtection="1">
      <protection hidden="1"/>
    </xf>
    <xf numFmtId="0" fontId="40" fillId="2" borderId="0" xfId="0" applyFont="1" applyFill="1" applyAlignment="1" applyProtection="1">
      <protection hidden="1"/>
    </xf>
    <xf numFmtId="0" fontId="45" fillId="7" borderId="15" xfId="0" applyFont="1" applyFill="1" applyBorder="1" applyProtection="1">
      <protection hidden="1"/>
    </xf>
    <xf numFmtId="0" fontId="45" fillId="7" borderId="61" xfId="0" applyFont="1" applyFill="1" applyBorder="1" applyProtection="1">
      <protection hidden="1"/>
    </xf>
    <xf numFmtId="0" fontId="45" fillId="7" borderId="16" xfId="0" applyFont="1" applyFill="1" applyBorder="1" applyProtection="1">
      <protection hidden="1"/>
    </xf>
    <xf numFmtId="0" fontId="45" fillId="7" borderId="136" xfId="0" applyFont="1" applyFill="1" applyBorder="1" applyProtection="1">
      <protection hidden="1"/>
    </xf>
    <xf numFmtId="0" fontId="45" fillId="7" borderId="35" xfId="0" applyFont="1" applyFill="1" applyBorder="1" applyProtection="1">
      <protection hidden="1"/>
    </xf>
    <xf numFmtId="0" fontId="45" fillId="7" borderId="137" xfId="0" applyFont="1" applyFill="1" applyBorder="1" applyProtection="1">
      <protection hidden="1"/>
    </xf>
    <xf numFmtId="0" fontId="1" fillId="2" borderId="14" xfId="0" applyFont="1" applyFill="1" applyBorder="1" applyAlignment="1" applyProtection="1">
      <alignment horizontal="right"/>
      <protection hidden="1"/>
    </xf>
    <xf numFmtId="0" fontId="9"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protection hidden="1"/>
    </xf>
    <xf numFmtId="0" fontId="9" fillId="2" borderId="18" xfId="0" applyFont="1" applyFill="1" applyBorder="1" applyAlignment="1" applyProtection="1">
      <alignment horizontal="center"/>
      <protection hidden="1"/>
    </xf>
    <xf numFmtId="0" fontId="11" fillId="2" borderId="0" xfId="0" applyFont="1" applyFill="1" applyBorder="1" applyAlignment="1" applyProtection="1">
      <alignment horizontal="center" vertical="center"/>
      <protection hidden="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4" xfId="0" applyFont="1" applyBorder="1"/>
    <xf numFmtId="0" fontId="1" fillId="3" borderId="42" xfId="0" applyFont="1" applyFill="1" applyBorder="1"/>
    <xf numFmtId="0" fontId="1" fillId="3" borderId="38" xfId="0" applyFont="1" applyFill="1" applyBorder="1"/>
    <xf numFmtId="0" fontId="1" fillId="0" borderId="0" xfId="0" applyFont="1" applyFill="1" applyBorder="1"/>
    <xf numFmtId="0" fontId="1" fillId="0" borderId="27" xfId="0" applyFont="1" applyBorder="1" applyAlignment="1"/>
    <xf numFmtId="0" fontId="1" fillId="0" borderId="28" xfId="0" applyFont="1" applyBorder="1"/>
    <xf numFmtId="0" fontId="1" fillId="0" borderId="11" xfId="0" applyFont="1" applyBorder="1"/>
    <xf numFmtId="0" fontId="1" fillId="0" borderId="12" xfId="0" applyFont="1" applyBorder="1"/>
    <xf numFmtId="0" fontId="1" fillId="0" borderId="13" xfId="0" applyFont="1" applyBorder="1"/>
    <xf numFmtId="0" fontId="1" fillId="0" borderId="27" xfId="0" applyFont="1" applyBorder="1" applyAlignment="1">
      <alignment horizontal="center"/>
    </xf>
    <xf numFmtId="0" fontId="1" fillId="0" borderId="39" xfId="0" applyFont="1" applyBorder="1"/>
    <xf numFmtId="0" fontId="1" fillId="0" borderId="49" xfId="0" quotePrefix="1" applyFont="1" applyBorder="1"/>
    <xf numFmtId="0" fontId="1" fillId="0" borderId="0" xfId="0" applyFont="1" applyFill="1" applyBorder="1" applyAlignment="1">
      <alignment horizontal="left"/>
    </xf>
    <xf numFmtId="0" fontId="1" fillId="0" borderId="24" xfId="0" applyFont="1" applyBorder="1" applyAlignment="1"/>
    <xf numFmtId="0" fontId="1" fillId="0" borderId="22" xfId="0" applyFont="1" applyBorder="1"/>
    <xf numFmtId="0" fontId="1" fillId="0" borderId="6" xfId="0" applyFont="1" applyBorder="1"/>
    <xf numFmtId="0" fontId="1" fillId="0" borderId="7" xfId="0" applyFont="1" applyBorder="1"/>
    <xf numFmtId="0" fontId="1" fillId="0" borderId="0" xfId="0" applyFont="1" applyFill="1" applyBorder="1" applyAlignment="1"/>
    <xf numFmtId="0" fontId="1" fillId="0" borderId="25" xfId="0" applyFont="1" applyBorder="1" applyAlignment="1"/>
    <xf numFmtId="0" fontId="1" fillId="0" borderId="26" xfId="0" applyFont="1" applyBorder="1"/>
    <xf numFmtId="0" fontId="1" fillId="0" borderId="5" xfId="0" applyFont="1" applyBorder="1"/>
    <xf numFmtId="0" fontId="1" fillId="0" borderId="7" xfId="0" applyFont="1" applyBorder="1" applyAlignment="1">
      <alignment horizontal="center"/>
    </xf>
    <xf numFmtId="0" fontId="1" fillId="0" borderId="27" xfId="0" quotePrefix="1" applyFont="1" applyFill="1" applyBorder="1" applyAlignment="1">
      <alignment horizontal="center"/>
    </xf>
    <xf numFmtId="0" fontId="1" fillId="0" borderId="52" xfId="0" applyFont="1" applyBorder="1"/>
    <xf numFmtId="0" fontId="1" fillId="0" borderId="20" xfId="0" applyFont="1" applyBorder="1"/>
    <xf numFmtId="0" fontId="1" fillId="0" borderId="3" xfId="0" applyFont="1" applyBorder="1" applyAlignment="1">
      <alignment horizontal="center"/>
    </xf>
    <xf numFmtId="0" fontId="1" fillId="0" borderId="34" xfId="0" applyFont="1" applyBorder="1"/>
    <xf numFmtId="0" fontId="1" fillId="0" borderId="72" xfId="0" applyFont="1" applyBorder="1" applyAlignment="1">
      <alignment horizontal="center"/>
    </xf>
    <xf numFmtId="0" fontId="1" fillId="0" borderId="32" xfId="0" applyFont="1" applyBorder="1" applyAlignment="1">
      <alignment horizontal="center"/>
    </xf>
    <xf numFmtId="0" fontId="1" fillId="0" borderId="36" xfId="0" applyFont="1" applyBorder="1"/>
    <xf numFmtId="0" fontId="1" fillId="0" borderId="25" xfId="0" applyFont="1" applyBorder="1" applyAlignment="1">
      <alignment horizontal="left"/>
    </xf>
    <xf numFmtId="0" fontId="1" fillId="0" borderId="31" xfId="0" applyFont="1" applyBorder="1"/>
    <xf numFmtId="0" fontId="1" fillId="0" borderId="109" xfId="0" applyFont="1" applyBorder="1"/>
    <xf numFmtId="0" fontId="1" fillId="0" borderId="74" xfId="0" applyFont="1" applyBorder="1"/>
    <xf numFmtId="0" fontId="1" fillId="0" borderId="72" xfId="0" applyFont="1" applyBorder="1"/>
    <xf numFmtId="0" fontId="1" fillId="0" borderId="2" xfId="0" applyFont="1" applyFill="1" applyBorder="1"/>
    <xf numFmtId="0" fontId="1" fillId="0" borderId="1" xfId="0" applyFont="1" applyFill="1" applyBorder="1"/>
    <xf numFmtId="0" fontId="1" fillId="0" borderId="33" xfId="0" applyFont="1" applyFill="1" applyBorder="1"/>
    <xf numFmtId="0" fontId="1" fillId="0" borderId="31" xfId="0" quotePrefix="1" applyFont="1" applyBorder="1"/>
    <xf numFmtId="0" fontId="1" fillId="0" borderId="32" xfId="0" applyFont="1" applyBorder="1"/>
    <xf numFmtId="0" fontId="1" fillId="0" borderId="50" xfId="0" applyFont="1" applyBorder="1"/>
    <xf numFmtId="0" fontId="1" fillId="0" borderId="31" xfId="0" applyFont="1" applyFill="1" applyBorder="1"/>
    <xf numFmtId="0" fontId="1" fillId="0" borderId="50" xfId="0" applyFont="1" applyFill="1" applyBorder="1"/>
    <xf numFmtId="0" fontId="1" fillId="6" borderId="23" xfId="0" applyFont="1" applyFill="1" applyBorder="1"/>
    <xf numFmtId="0" fontId="1" fillId="6" borderId="39" xfId="0" applyFont="1" applyFill="1" applyBorder="1" applyAlignment="1">
      <alignment horizontal="center"/>
    </xf>
    <xf numFmtId="0" fontId="1" fillId="6" borderId="5" xfId="0" applyFont="1" applyFill="1" applyBorder="1"/>
    <xf numFmtId="0" fontId="1" fillId="6" borderId="7" xfId="0" applyFont="1" applyFill="1" applyBorder="1"/>
    <xf numFmtId="0" fontId="1" fillId="6" borderId="3" xfId="0" applyFont="1" applyFill="1" applyBorder="1" applyAlignment="1">
      <alignment horizontal="center"/>
    </xf>
    <xf numFmtId="0" fontId="1" fillId="0" borderId="27" xfId="0" applyFont="1" applyBorder="1" applyAlignment="1">
      <alignment horizontal="left"/>
    </xf>
    <xf numFmtId="0" fontId="1" fillId="0" borderId="52" xfId="0" quotePrefix="1" applyFont="1" applyBorder="1" applyAlignment="1">
      <alignment horizontal="left"/>
    </xf>
    <xf numFmtId="0" fontId="1" fillId="6" borderId="3" xfId="0" applyFont="1" applyFill="1" applyBorder="1"/>
    <xf numFmtId="0" fontId="1" fillId="6" borderId="78" xfId="0" applyFont="1" applyFill="1" applyBorder="1" applyAlignment="1">
      <alignment horizontal="center"/>
    </xf>
    <xf numFmtId="0" fontId="1" fillId="6" borderId="22" xfId="0" applyFont="1" applyFill="1" applyBorder="1" applyAlignment="1">
      <alignment horizontal="center"/>
    </xf>
    <xf numFmtId="0" fontId="1" fillId="0" borderId="25" xfId="0" applyFont="1" applyBorder="1"/>
    <xf numFmtId="0" fontId="1" fillId="6" borderId="79" xfId="0" applyFont="1" applyFill="1" applyBorder="1" applyAlignment="1">
      <alignment horizontal="center"/>
    </xf>
    <xf numFmtId="0" fontId="1" fillId="6" borderId="74" xfId="0" applyFont="1" applyFill="1" applyBorder="1" applyAlignment="1">
      <alignment horizontal="center"/>
    </xf>
    <xf numFmtId="0" fontId="1" fillId="0" borderId="49"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wrapText="1"/>
    </xf>
    <xf numFmtId="0" fontId="1" fillId="0" borderId="3" xfId="0" applyFont="1" applyBorder="1" applyAlignment="1">
      <alignment wrapText="1"/>
    </xf>
    <xf numFmtId="0" fontId="1" fillId="6" borderId="82" xfId="0" applyFont="1" applyFill="1" applyBorder="1" applyAlignment="1">
      <alignment horizontal="center"/>
    </xf>
    <xf numFmtId="0" fontId="1" fillId="0" borderId="42" xfId="0" applyFont="1" applyBorder="1"/>
    <xf numFmtId="0" fontId="1" fillId="0" borderId="38" xfId="0" applyFont="1" applyBorder="1" applyAlignment="1">
      <alignment horizontal="center" vertical="center"/>
    </xf>
    <xf numFmtId="0" fontId="1" fillId="0" borderId="33" xfId="0" applyFont="1" applyBorder="1"/>
    <xf numFmtId="0" fontId="1" fillId="0" borderId="27" xfId="0" applyFont="1" applyFill="1" applyBorder="1"/>
    <xf numFmtId="0" fontId="1" fillId="6" borderId="59" xfId="0" applyFont="1" applyFill="1" applyBorder="1" applyAlignment="1">
      <alignment horizontal="center"/>
    </xf>
    <xf numFmtId="0" fontId="1" fillId="0" borderId="0" xfId="0" applyFont="1" applyAlignment="1">
      <alignment horizontal="center"/>
    </xf>
    <xf numFmtId="0" fontId="1" fillId="6" borderId="97" xfId="0" applyFont="1" applyFill="1" applyBorder="1" applyAlignment="1">
      <alignment horizontal="center"/>
    </xf>
    <xf numFmtId="0" fontId="1" fillId="0" borderId="69" xfId="0" applyFont="1" applyBorder="1"/>
    <xf numFmtId="0" fontId="1" fillId="6" borderId="6" xfId="0" applyFont="1" applyFill="1" applyBorder="1" applyAlignment="1">
      <alignment horizontal="center"/>
    </xf>
    <xf numFmtId="0" fontId="1" fillId="6" borderId="32" xfId="0" applyFont="1" applyFill="1" applyBorder="1"/>
    <xf numFmtId="0" fontId="1" fillId="0" borderId="65" xfId="0" applyFont="1" applyBorder="1"/>
    <xf numFmtId="0" fontId="1" fillId="0" borderId="66" xfId="0" applyFont="1" applyBorder="1"/>
    <xf numFmtId="0" fontId="1" fillId="0" borderId="47" xfId="0" applyFont="1" applyBorder="1"/>
    <xf numFmtId="0" fontId="1" fillId="0" borderId="46" xfId="0" applyFont="1" applyBorder="1"/>
    <xf numFmtId="0" fontId="1" fillId="0" borderId="70" xfId="0" applyFont="1" applyBorder="1"/>
    <xf numFmtId="0" fontId="1" fillId="0" borderId="67" xfId="0" applyFont="1" applyBorder="1"/>
    <xf numFmtId="0" fontId="1" fillId="0" borderId="51" xfId="0" applyFont="1" applyBorder="1"/>
    <xf numFmtId="0" fontId="1" fillId="0" borderId="48" xfId="0" applyFont="1" applyBorder="1"/>
    <xf numFmtId="0" fontId="1" fillId="0" borderId="101" xfId="0" applyFont="1" applyBorder="1" applyAlignment="1">
      <alignment horizontal="center"/>
    </xf>
    <xf numFmtId="0" fontId="1" fillId="0" borderId="66" xfId="0" applyFont="1" applyBorder="1" applyAlignment="1">
      <alignment horizontal="center"/>
    </xf>
    <xf numFmtId="0" fontId="1" fillId="0" borderId="104" xfId="0" applyFont="1" applyBorder="1" applyAlignment="1">
      <alignment horizontal="center"/>
    </xf>
    <xf numFmtId="0" fontId="1" fillId="0" borderId="71" xfId="0" applyFont="1" applyBorder="1"/>
    <xf numFmtId="0" fontId="1" fillId="0" borderId="102" xfId="0" applyFont="1" applyBorder="1" applyAlignment="1">
      <alignment horizontal="center"/>
    </xf>
    <xf numFmtId="0" fontId="1" fillId="0" borderId="51" xfId="0" applyFont="1" applyBorder="1" applyAlignment="1">
      <alignment horizontal="center"/>
    </xf>
    <xf numFmtId="0" fontId="1" fillId="0" borderId="105" xfId="0" applyFont="1" applyBorder="1" applyAlignment="1">
      <alignment horizontal="center"/>
    </xf>
    <xf numFmtId="0" fontId="1" fillId="0" borderId="103" xfId="0" applyFont="1" applyBorder="1" applyAlignment="1">
      <alignment horizontal="center"/>
    </xf>
    <xf numFmtId="0" fontId="1" fillId="0" borderId="69" xfId="0" applyFont="1" applyBorder="1" applyAlignment="1">
      <alignment horizontal="center"/>
    </xf>
    <xf numFmtId="0" fontId="1" fillId="0" borderId="106" xfId="0" applyFont="1" applyBorder="1" applyAlignment="1">
      <alignment horizontal="center"/>
    </xf>
    <xf numFmtId="0" fontId="1" fillId="0" borderId="23" xfId="0" applyFont="1" applyBorder="1" applyAlignment="1">
      <alignment horizontal="left"/>
    </xf>
    <xf numFmtId="0" fontId="1" fillId="0" borderId="2" xfId="0" applyFont="1" applyBorder="1" applyAlignment="1">
      <alignment horizontal="left"/>
    </xf>
    <xf numFmtId="164" fontId="1" fillId="0" borderId="0" xfId="0" applyNumberFormat="1" applyFont="1"/>
    <xf numFmtId="0" fontId="1" fillId="0" borderId="24" xfId="0" applyFont="1" applyBorder="1" applyAlignment="1">
      <alignment wrapText="1"/>
    </xf>
    <xf numFmtId="0" fontId="1" fillId="0" borderId="31" xfId="0" applyFont="1" applyBorder="1" applyAlignment="1">
      <alignment horizontal="left"/>
    </xf>
    <xf numFmtId="0" fontId="1" fillId="2" borderId="56" xfId="0" applyFont="1" applyFill="1" applyBorder="1" applyAlignment="1" applyProtection="1">
      <protection hidden="1"/>
    </xf>
    <xf numFmtId="0" fontId="1" fillId="2" borderId="56" xfId="0" applyFont="1" applyFill="1" applyBorder="1" applyAlignment="1" applyProtection="1">
      <protection locked="0"/>
    </xf>
    <xf numFmtId="49" fontId="40" fillId="2" borderId="0" xfId="0" applyNumberFormat="1" applyFont="1" applyFill="1" applyBorder="1" applyAlignment="1" applyProtection="1">
      <alignment horizontal="left"/>
      <protection hidden="1"/>
    </xf>
    <xf numFmtId="0" fontId="40" fillId="2" borderId="0" xfId="0" applyFont="1" applyFill="1" applyBorder="1" applyAlignment="1" applyProtection="1">
      <alignment horizontal="left" vertical="top" wrapText="1"/>
      <protection hidden="1"/>
    </xf>
    <xf numFmtId="0" fontId="11" fillId="3" borderId="37" xfId="0" applyFont="1" applyFill="1" applyBorder="1" applyAlignment="1">
      <alignment horizontal="left"/>
    </xf>
    <xf numFmtId="0" fontId="11" fillId="3" borderId="42" xfId="0" applyFont="1" applyFill="1" applyBorder="1" applyAlignment="1">
      <alignment horizontal="left"/>
    </xf>
    <xf numFmtId="0" fontId="11" fillId="3" borderId="38" xfId="0" applyFont="1" applyFill="1" applyBorder="1" applyAlignment="1">
      <alignment horizontal="left"/>
    </xf>
    <xf numFmtId="0" fontId="5" fillId="0" borderId="98" xfId="0" applyFont="1" applyFill="1" applyBorder="1" applyAlignment="1">
      <alignment horizontal="center"/>
    </xf>
    <xf numFmtId="0" fontId="3" fillId="6" borderId="94" xfId="0" applyFont="1" applyFill="1" applyBorder="1" applyAlignment="1">
      <alignment horizontal="center" vertical="center"/>
    </xf>
    <xf numFmtId="0" fontId="3" fillId="6" borderId="96" xfId="0" applyFont="1" applyFill="1" applyBorder="1" applyAlignment="1">
      <alignment horizontal="center" vertical="center"/>
    </xf>
    <xf numFmtId="0" fontId="3" fillId="3" borderId="107" xfId="0" applyFont="1" applyFill="1" applyBorder="1" applyAlignment="1">
      <alignment horizontal="left"/>
    </xf>
    <xf numFmtId="0" fontId="3" fillId="3" borderId="108" xfId="0" applyFont="1" applyFill="1" applyBorder="1" applyAlignment="1">
      <alignment horizontal="left"/>
    </xf>
    <xf numFmtId="0" fontId="3" fillId="3" borderId="37" xfId="0" applyFont="1" applyFill="1" applyBorder="1" applyAlignment="1">
      <alignment horizontal="left"/>
    </xf>
    <xf numFmtId="0" fontId="3" fillId="3" borderId="38" xfId="0" applyFont="1" applyFill="1" applyBorder="1" applyAlignment="1">
      <alignment horizontal="left"/>
    </xf>
    <xf numFmtId="0" fontId="9" fillId="0" borderId="48" xfId="0" applyFont="1" applyFill="1" applyBorder="1" applyAlignment="1" applyProtection="1">
      <alignment horizontal="left" vertical="center"/>
      <protection locked="0" hidden="1"/>
    </xf>
    <xf numFmtId="0" fontId="9" fillId="0" borderId="20" xfId="0" applyFont="1" applyFill="1" applyBorder="1" applyAlignment="1" applyProtection="1">
      <alignment horizontal="left" vertical="center"/>
      <protection locked="0" hidden="1"/>
    </xf>
    <xf numFmtId="0" fontId="9" fillId="0" borderId="43" xfId="0" applyFont="1" applyFill="1" applyBorder="1" applyAlignment="1" applyProtection="1">
      <alignment horizontal="left"/>
      <protection locked="0"/>
    </xf>
    <xf numFmtId="0" fontId="9" fillId="0" borderId="45" xfId="0" applyFont="1" applyFill="1" applyBorder="1" applyAlignment="1" applyProtection="1">
      <alignment horizontal="left"/>
      <protection locked="0"/>
    </xf>
    <xf numFmtId="0" fontId="9" fillId="0" borderId="74" xfId="0" applyFont="1" applyFill="1" applyBorder="1" applyAlignment="1" applyProtection="1">
      <alignment horizontal="right" vertical="center"/>
      <protection locked="0"/>
    </xf>
    <xf numFmtId="0" fontId="9" fillId="0" borderId="6" xfId="0" applyFont="1" applyFill="1" applyBorder="1" applyAlignment="1" applyProtection="1">
      <alignment horizontal="right" vertical="center"/>
      <protection locked="0"/>
    </xf>
    <xf numFmtId="0" fontId="9" fillId="2" borderId="0" xfId="0" quotePrefix="1" applyFont="1" applyFill="1" applyBorder="1" applyAlignment="1" applyProtection="1">
      <alignment horizontal="center" vertical="center"/>
      <protection hidden="1"/>
    </xf>
    <xf numFmtId="0" fontId="9" fillId="0" borderId="74" xfId="0"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0" fontId="11" fillId="6" borderId="84" xfId="0" applyFont="1" applyFill="1" applyBorder="1" applyAlignment="1" applyProtection="1">
      <alignment horizontal="center" vertical="center"/>
      <protection hidden="1"/>
    </xf>
    <xf numFmtId="0" fontId="11" fillId="6" borderId="54" xfId="0" applyFont="1" applyFill="1" applyBorder="1" applyAlignment="1" applyProtection="1">
      <alignment horizontal="center" vertical="center"/>
      <protection hidden="1"/>
    </xf>
    <xf numFmtId="0" fontId="11" fillId="6" borderId="85" xfId="0" applyFont="1" applyFill="1" applyBorder="1" applyAlignment="1" applyProtection="1">
      <alignment horizontal="center" vertical="center"/>
      <protection hidden="1"/>
    </xf>
    <xf numFmtId="0" fontId="9" fillId="0" borderId="48" xfId="0" applyFont="1" applyFill="1" applyBorder="1" applyAlignment="1" applyProtection="1">
      <alignment horizontal="center" vertical="center" shrinkToFit="1"/>
      <protection locked="0" hidden="1"/>
    </xf>
    <xf numFmtId="0" fontId="9" fillId="0" borderId="51" xfId="0" applyFont="1" applyFill="1" applyBorder="1" applyAlignment="1" applyProtection="1">
      <alignment horizontal="center" vertical="center" shrinkToFit="1"/>
      <protection locked="0" hidden="1"/>
    </xf>
    <xf numFmtId="0" fontId="9" fillId="0" borderId="20" xfId="0" applyFont="1" applyFill="1" applyBorder="1" applyAlignment="1" applyProtection="1">
      <alignment horizontal="center" vertical="center" shrinkToFit="1"/>
      <protection locked="0" hidden="1"/>
    </xf>
    <xf numFmtId="0" fontId="9" fillId="4" borderId="110" xfId="0" applyFont="1" applyFill="1" applyBorder="1" applyAlignment="1" applyProtection="1">
      <alignment horizontal="left"/>
      <protection locked="0" hidden="1"/>
    </xf>
    <xf numFmtId="0" fontId="9" fillId="4" borderId="111" xfId="0" applyFont="1" applyFill="1" applyBorder="1" applyAlignment="1" applyProtection="1">
      <alignment horizontal="left"/>
      <protection locked="0" hidden="1"/>
    </xf>
    <xf numFmtId="0" fontId="9" fillId="0" borderId="1" xfId="0" applyFont="1" applyFill="1" applyBorder="1" applyAlignment="1" applyProtection="1">
      <alignment horizontal="left" vertical="center"/>
      <protection locked="0" hidden="1"/>
    </xf>
    <xf numFmtId="49" fontId="22" fillId="2" borderId="0" xfId="1" applyNumberFormat="1" applyFont="1" applyFill="1" applyBorder="1" applyAlignment="1" applyProtection="1">
      <alignment horizontal="center"/>
      <protection locked="0"/>
    </xf>
    <xf numFmtId="0" fontId="22" fillId="2" borderId="0" xfId="0" applyFont="1" applyFill="1" applyBorder="1" applyAlignment="1" applyProtection="1">
      <alignment horizontal="left" vertical="center"/>
      <protection locked="0" hidden="1"/>
    </xf>
    <xf numFmtId="0" fontId="9" fillId="0" borderId="48" xfId="0" applyFont="1" applyFill="1" applyBorder="1" applyAlignment="1" applyProtection="1">
      <alignment horizontal="left" shrinkToFit="1"/>
      <protection locked="0" hidden="1"/>
    </xf>
    <xf numFmtId="0" fontId="9" fillId="0" borderId="51" xfId="0" applyFont="1" applyFill="1" applyBorder="1" applyAlignment="1" applyProtection="1">
      <alignment horizontal="left" shrinkToFit="1"/>
      <protection locked="0" hidden="1"/>
    </xf>
    <xf numFmtId="0" fontId="9" fillId="0" borderId="20" xfId="0" applyFont="1" applyFill="1" applyBorder="1" applyAlignment="1" applyProtection="1">
      <alignment horizontal="left" shrinkToFit="1"/>
      <protection locked="0" hidden="1"/>
    </xf>
    <xf numFmtId="0" fontId="11" fillId="0" borderId="48" xfId="0" applyFont="1" applyFill="1" applyBorder="1" applyAlignment="1" applyProtection="1">
      <alignment horizontal="center" vertical="center" shrinkToFit="1"/>
      <protection locked="0" hidden="1"/>
    </xf>
    <xf numFmtId="0" fontId="11" fillId="0" borderId="51" xfId="0" applyFont="1" applyFill="1" applyBorder="1" applyAlignment="1" applyProtection="1">
      <alignment horizontal="center" vertical="center" shrinkToFit="1"/>
      <protection locked="0" hidden="1"/>
    </xf>
    <xf numFmtId="0" fontId="11" fillId="0" borderId="20" xfId="0" applyFont="1" applyFill="1" applyBorder="1" applyAlignment="1" applyProtection="1">
      <alignment horizontal="center" vertical="center" shrinkToFit="1"/>
      <protection locked="0" hidden="1"/>
    </xf>
    <xf numFmtId="0" fontId="12" fillId="2" borderId="0" xfId="0" applyFont="1" applyFill="1" applyBorder="1" applyAlignment="1" applyProtection="1">
      <alignment horizontal="left" vertical="center"/>
      <protection hidden="1"/>
    </xf>
    <xf numFmtId="0" fontId="9" fillId="0" borderId="51" xfId="0" applyFont="1" applyFill="1" applyBorder="1" applyAlignment="1" applyProtection="1">
      <alignment horizontal="left" vertical="center"/>
      <protection locked="0" hidden="1"/>
    </xf>
    <xf numFmtId="165" fontId="9" fillId="4" borderId="125" xfId="0" applyNumberFormat="1" applyFont="1" applyFill="1" applyBorder="1" applyAlignment="1" applyProtection="1">
      <alignment horizontal="left"/>
      <protection locked="0" hidden="1"/>
    </xf>
    <xf numFmtId="165" fontId="9" fillId="4" borderId="35" xfId="0" applyNumberFormat="1" applyFont="1" applyFill="1" applyBorder="1" applyAlignment="1" applyProtection="1">
      <alignment horizontal="left"/>
      <protection locked="0" hidden="1"/>
    </xf>
    <xf numFmtId="165" fontId="9" fillId="4" borderId="51" xfId="0" applyNumberFormat="1" applyFont="1" applyFill="1" applyBorder="1" applyAlignment="1" applyProtection="1">
      <alignment horizontal="left"/>
      <protection locked="0" hidden="1"/>
    </xf>
    <xf numFmtId="165" fontId="9" fillId="4" borderId="20" xfId="0" applyNumberFormat="1" applyFont="1" applyFill="1" applyBorder="1" applyAlignment="1" applyProtection="1">
      <alignment horizontal="left"/>
      <protection locked="0" hidden="1"/>
    </xf>
    <xf numFmtId="0" fontId="22" fillId="2" borderId="21" xfId="0" applyFont="1" applyFill="1" applyBorder="1" applyAlignment="1" applyProtection="1">
      <alignment horizontal="left" vertical="center"/>
      <protection locked="0" hidden="1"/>
    </xf>
    <xf numFmtId="0" fontId="9" fillId="0" borderId="43" xfId="0" applyFont="1" applyFill="1" applyBorder="1" applyAlignment="1" applyProtection="1">
      <alignment horizontal="left"/>
      <protection locked="0" hidden="1"/>
    </xf>
    <xf numFmtId="0" fontId="9" fillId="0" borderId="44" xfId="0" applyFont="1" applyFill="1" applyBorder="1" applyAlignment="1" applyProtection="1">
      <alignment horizontal="left"/>
      <protection locked="0" hidden="1"/>
    </xf>
    <xf numFmtId="0" fontId="9" fillId="0" borderId="45" xfId="0" applyFont="1" applyFill="1" applyBorder="1" applyAlignment="1" applyProtection="1">
      <alignment horizontal="left"/>
      <protection locked="0" hidden="1"/>
    </xf>
    <xf numFmtId="0" fontId="9" fillId="0" borderId="48" xfId="0" applyFont="1" applyFill="1" applyBorder="1" applyAlignment="1" applyProtection="1">
      <alignment horizontal="left" vertical="center" shrinkToFit="1"/>
      <protection locked="0" hidden="1"/>
    </xf>
    <xf numFmtId="0" fontId="9" fillId="0" borderId="51" xfId="0" applyFont="1" applyFill="1" applyBorder="1" applyAlignment="1" applyProtection="1">
      <alignment horizontal="left" vertical="center" shrinkToFit="1"/>
      <protection locked="0" hidden="1"/>
    </xf>
    <xf numFmtId="0" fontId="9" fillId="0" borderId="20" xfId="0" applyFont="1" applyFill="1" applyBorder="1" applyAlignment="1" applyProtection="1">
      <alignment horizontal="left" vertical="center" shrinkToFit="1"/>
      <protection locked="0" hidden="1"/>
    </xf>
    <xf numFmtId="0" fontId="23" fillId="2" borderId="0" xfId="0" applyFont="1" applyFill="1" applyBorder="1" applyAlignment="1" applyProtection="1">
      <alignment horizontal="left" vertical="top" wrapText="1"/>
      <protection hidden="1"/>
    </xf>
    <xf numFmtId="0" fontId="9" fillId="4" borderId="43" xfId="0" applyFont="1" applyFill="1" applyBorder="1" applyAlignment="1" applyProtection="1">
      <alignment horizontal="left" vertical="top"/>
      <protection locked="0" hidden="1"/>
    </xf>
    <xf numFmtId="0" fontId="9" fillId="4" borderId="44" xfId="0" applyFont="1" applyFill="1" applyBorder="1" applyAlignment="1" applyProtection="1">
      <alignment horizontal="left" vertical="top"/>
      <protection locked="0" hidden="1"/>
    </xf>
    <xf numFmtId="0" fontId="9" fillId="4" borderId="45" xfId="0" applyFont="1" applyFill="1" applyBorder="1" applyAlignment="1" applyProtection="1">
      <alignment horizontal="left" vertical="top"/>
      <protection locked="0" hidden="1"/>
    </xf>
    <xf numFmtId="0" fontId="9" fillId="2" borderId="126" xfId="0" applyFont="1" applyFill="1" applyBorder="1" applyAlignment="1" applyProtection="1">
      <alignment horizontal="center"/>
      <protection hidden="1"/>
    </xf>
    <xf numFmtId="0" fontId="9" fillId="2" borderId="127" xfId="0" applyFont="1" applyFill="1" applyBorder="1" applyAlignment="1" applyProtection="1">
      <alignment horizontal="center"/>
      <protection hidden="1"/>
    </xf>
    <xf numFmtId="0" fontId="9" fillId="2" borderId="128" xfId="0" applyFont="1" applyFill="1" applyBorder="1" applyAlignment="1" applyProtection="1">
      <alignment horizontal="center"/>
      <protection hidden="1"/>
    </xf>
    <xf numFmtId="0" fontId="11" fillId="0" borderId="57" xfId="0" applyFont="1" applyFill="1" applyBorder="1" applyAlignment="1" applyProtection="1">
      <alignment horizontal="center" vertical="center" textRotation="90"/>
      <protection locked="0" hidden="1"/>
    </xf>
    <xf numFmtId="0" fontId="11" fillId="0" borderId="58" xfId="0" applyFont="1" applyFill="1" applyBorder="1" applyAlignment="1" applyProtection="1">
      <alignment horizontal="center" vertical="center" textRotation="90"/>
      <protection locked="0" hidden="1"/>
    </xf>
    <xf numFmtId="0" fontId="11" fillId="0" borderId="59" xfId="0" applyFont="1" applyFill="1" applyBorder="1" applyAlignment="1" applyProtection="1">
      <alignment horizontal="center" vertical="center" textRotation="90"/>
      <protection locked="0" hidden="1"/>
    </xf>
    <xf numFmtId="0" fontId="9" fillId="2" borderId="1" xfId="0" applyFont="1" applyFill="1" applyBorder="1" applyAlignment="1" applyProtection="1">
      <alignment horizontal="center" vertical="center"/>
      <protection locked="0"/>
    </xf>
    <xf numFmtId="1" fontId="9" fillId="2" borderId="17" xfId="0" applyNumberFormat="1" applyFont="1" applyFill="1" applyBorder="1" applyAlignment="1" applyProtection="1">
      <alignment horizontal="center"/>
      <protection locked="0" hidden="1"/>
    </xf>
    <xf numFmtId="1" fontId="9" fillId="2" borderId="18" xfId="0" applyNumberFormat="1" applyFont="1" applyFill="1" applyBorder="1" applyAlignment="1" applyProtection="1">
      <alignment horizontal="center"/>
      <protection locked="0" hidden="1"/>
    </xf>
    <xf numFmtId="1" fontId="9" fillId="2" borderId="19" xfId="0" applyNumberFormat="1" applyFont="1" applyFill="1" applyBorder="1" applyAlignment="1" applyProtection="1">
      <alignment horizontal="center"/>
      <protection locked="0" hidden="1"/>
    </xf>
    <xf numFmtId="0" fontId="11" fillId="2" borderId="0" xfId="0" applyFont="1" applyFill="1" applyBorder="1" applyAlignment="1" applyProtection="1">
      <alignment horizontal="center" textRotation="90"/>
      <protection hidden="1"/>
    </xf>
    <xf numFmtId="0" fontId="11" fillId="2" borderId="35" xfId="0" applyFont="1" applyFill="1" applyBorder="1" applyAlignment="1" applyProtection="1">
      <alignment horizontal="center" textRotation="90"/>
      <protection hidden="1"/>
    </xf>
    <xf numFmtId="0" fontId="5" fillId="4" borderId="48" xfId="0" applyFont="1" applyFill="1" applyBorder="1" applyAlignment="1" applyProtection="1">
      <alignment horizontal="left"/>
      <protection locked="0" hidden="1"/>
    </xf>
    <xf numFmtId="0" fontId="5" fillId="4" borderId="20" xfId="0" applyFont="1" applyFill="1" applyBorder="1" applyAlignment="1" applyProtection="1">
      <alignment horizontal="left"/>
      <protection locked="0" hidden="1"/>
    </xf>
    <xf numFmtId="0" fontId="9" fillId="4" borderId="43" xfId="0" applyFont="1" applyFill="1" applyBorder="1" applyAlignment="1" applyProtection="1">
      <alignment horizontal="left" vertical="center"/>
      <protection locked="0" hidden="1"/>
    </xf>
    <xf numFmtId="0" fontId="9" fillId="4" borderId="44" xfId="0" applyFont="1" applyFill="1" applyBorder="1" applyAlignment="1" applyProtection="1">
      <alignment horizontal="left" vertical="center"/>
      <protection locked="0" hidden="1"/>
    </xf>
    <xf numFmtId="0" fontId="9" fillId="4" borderId="45" xfId="0" applyFont="1" applyFill="1" applyBorder="1" applyAlignment="1" applyProtection="1">
      <alignment horizontal="left" vertical="center"/>
      <protection locked="0" hidden="1"/>
    </xf>
    <xf numFmtId="0" fontId="20" fillId="2" borderId="18" xfId="0" applyFont="1" applyFill="1" applyBorder="1" applyAlignment="1" applyProtection="1">
      <alignment horizontal="left" vertical="center"/>
      <protection hidden="1"/>
    </xf>
    <xf numFmtId="0" fontId="22" fillId="2" borderId="0" xfId="0" applyFont="1" applyFill="1" applyBorder="1" applyAlignment="1" applyProtection="1">
      <alignment horizontal="left" vertical="top" wrapText="1"/>
      <protection hidden="1"/>
    </xf>
    <xf numFmtId="0" fontId="22" fillId="2" borderId="18" xfId="0" applyFont="1" applyFill="1" applyBorder="1" applyAlignment="1" applyProtection="1">
      <alignment horizontal="left" vertical="top" wrapText="1"/>
      <protection hidden="1"/>
    </xf>
    <xf numFmtId="0" fontId="9" fillId="4" borderId="48" xfId="0" applyFont="1" applyFill="1" applyBorder="1" applyAlignment="1" applyProtection="1">
      <alignment horizontal="left" vertical="center"/>
      <protection locked="0" hidden="1"/>
    </xf>
    <xf numFmtId="0" fontId="9" fillId="4" borderId="51" xfId="0" applyFont="1" applyFill="1" applyBorder="1" applyAlignment="1" applyProtection="1">
      <alignment horizontal="left" vertical="center"/>
      <protection locked="0" hidden="1"/>
    </xf>
    <xf numFmtId="0" fontId="9" fillId="4" borderId="20" xfId="0" applyFont="1" applyFill="1" applyBorder="1" applyAlignment="1" applyProtection="1">
      <alignment horizontal="left" vertical="center"/>
      <protection locked="0" hidden="1"/>
    </xf>
    <xf numFmtId="164" fontId="9" fillId="2" borderId="0" xfId="0" applyNumberFormat="1" applyFont="1" applyFill="1" applyBorder="1" applyAlignment="1" applyProtection="1">
      <alignment horizontal="left" vertical="center"/>
      <protection hidden="1"/>
    </xf>
    <xf numFmtId="0" fontId="9" fillId="0" borderId="46" xfId="0" applyFont="1" applyFill="1" applyBorder="1" applyAlignment="1" applyProtection="1">
      <alignment horizontal="left" vertical="center"/>
      <protection locked="0" hidden="1"/>
    </xf>
    <xf numFmtId="0" fontId="9" fillId="0" borderId="66" xfId="0" applyFont="1" applyFill="1" applyBorder="1" applyAlignment="1" applyProtection="1">
      <alignment horizontal="left" vertical="center"/>
      <protection locked="0" hidden="1"/>
    </xf>
    <xf numFmtId="0" fontId="9" fillId="0" borderId="47" xfId="0" applyFont="1" applyFill="1" applyBorder="1" applyAlignment="1" applyProtection="1">
      <alignment horizontal="left" vertical="center"/>
      <protection locked="0" hidden="1"/>
    </xf>
    <xf numFmtId="0" fontId="9" fillId="0" borderId="43" xfId="0" applyFont="1" applyFill="1" applyBorder="1" applyAlignment="1" applyProtection="1">
      <alignment horizontal="left" vertical="center"/>
      <protection locked="0"/>
    </xf>
    <xf numFmtId="0" fontId="9" fillId="0" borderId="44" xfId="0" applyFont="1" applyFill="1" applyBorder="1" applyAlignment="1" applyProtection="1">
      <alignment horizontal="left" vertical="center"/>
      <protection locked="0"/>
    </xf>
    <xf numFmtId="0" fontId="9" fillId="0" borderId="45" xfId="0" applyFont="1" applyFill="1" applyBorder="1" applyAlignment="1" applyProtection="1">
      <alignment horizontal="left" vertical="center"/>
      <protection locked="0"/>
    </xf>
    <xf numFmtId="0" fontId="11"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shrinkToFit="1"/>
      <protection hidden="1"/>
    </xf>
    <xf numFmtId="0" fontId="14" fillId="2" borderId="15" xfId="0" applyFont="1" applyFill="1" applyBorder="1" applyAlignment="1" applyProtection="1">
      <alignment horizontal="left" vertical="center"/>
      <protection hidden="1"/>
    </xf>
    <xf numFmtId="0" fontId="14" fillId="2" borderId="61" xfId="0" applyFont="1" applyFill="1" applyBorder="1" applyAlignment="1" applyProtection="1">
      <alignment horizontal="left" vertical="center"/>
      <protection hidden="1"/>
    </xf>
    <xf numFmtId="0" fontId="14" fillId="2" borderId="16" xfId="0" applyFont="1" applyFill="1" applyBorder="1" applyAlignment="1" applyProtection="1">
      <alignment horizontal="left" vertical="center"/>
      <protection hidden="1"/>
    </xf>
    <xf numFmtId="0" fontId="14" fillId="2" borderId="14" xfId="0" applyFont="1" applyFill="1" applyBorder="1" applyAlignment="1" applyProtection="1">
      <alignment horizontal="left" vertical="center"/>
      <protection hidden="1"/>
    </xf>
    <xf numFmtId="0" fontId="14" fillId="2" borderId="0" xfId="0" applyFont="1" applyFill="1" applyBorder="1" applyAlignment="1" applyProtection="1">
      <alignment horizontal="left" vertical="center"/>
      <protection hidden="1"/>
    </xf>
    <xf numFmtId="0" fontId="14" fillId="2" borderId="56" xfId="0" applyFont="1" applyFill="1" applyBorder="1" applyAlignment="1" applyProtection="1">
      <alignment horizontal="left" vertical="center"/>
      <protection hidden="1"/>
    </xf>
    <xf numFmtId="0" fontId="34" fillId="2" borderId="41" xfId="0" applyFont="1" applyFill="1" applyBorder="1" applyAlignment="1" applyProtection="1">
      <alignment horizontal="center"/>
      <protection locked="0"/>
    </xf>
    <xf numFmtId="0" fontId="22" fillId="2" borderId="35" xfId="0" applyFont="1" applyFill="1" applyBorder="1" applyAlignment="1" applyProtection="1">
      <alignment horizontal="center"/>
      <protection locked="0" hidden="1"/>
    </xf>
    <xf numFmtId="0" fontId="9" fillId="2" borderId="41" xfId="0" applyFont="1" applyFill="1" applyBorder="1" applyAlignment="1" applyProtection="1">
      <alignment horizontal="center"/>
      <protection hidden="1"/>
    </xf>
    <xf numFmtId="0" fontId="18" fillId="2" borderId="41" xfId="0" applyFont="1" applyFill="1" applyBorder="1" applyAlignment="1" applyProtection="1">
      <alignment horizontal="center"/>
      <protection hidden="1"/>
    </xf>
    <xf numFmtId="0" fontId="36" fillId="2" borderId="61" xfId="0" applyFont="1" applyFill="1" applyBorder="1" applyAlignment="1" applyProtection="1">
      <alignment horizontal="left" vertical="center"/>
      <protection hidden="1"/>
    </xf>
    <xf numFmtId="0" fontId="36" fillId="2" borderId="118" xfId="0" applyFont="1" applyFill="1" applyBorder="1" applyAlignment="1" applyProtection="1">
      <alignment horizontal="left" vertical="center"/>
      <protection hidden="1"/>
    </xf>
    <xf numFmtId="0" fontId="35" fillId="4" borderId="15" xfId="0" applyFont="1" applyFill="1" applyBorder="1" applyAlignment="1" applyProtection="1">
      <alignment horizontal="center" vertical="center"/>
      <protection locked="0" hidden="1"/>
    </xf>
    <xf numFmtId="0" fontId="35" fillId="4" borderId="61" xfId="0" applyFont="1" applyFill="1" applyBorder="1" applyAlignment="1" applyProtection="1">
      <alignment horizontal="center" vertical="center"/>
      <protection locked="0" hidden="1"/>
    </xf>
    <xf numFmtId="0" fontId="35" fillId="4" borderId="16" xfId="0" applyFont="1" applyFill="1" applyBorder="1" applyAlignment="1" applyProtection="1">
      <alignment horizontal="center" vertical="center"/>
      <protection locked="0" hidden="1"/>
    </xf>
    <xf numFmtId="0" fontId="35" fillId="4" borderId="17" xfId="0" applyFont="1" applyFill="1" applyBorder="1" applyAlignment="1" applyProtection="1">
      <alignment horizontal="center" vertical="center"/>
      <protection locked="0" hidden="1"/>
    </xf>
    <xf numFmtId="0" fontId="35" fillId="4" borderId="18" xfId="0" applyFont="1" applyFill="1" applyBorder="1" applyAlignment="1" applyProtection="1">
      <alignment horizontal="center" vertical="center"/>
      <protection locked="0" hidden="1"/>
    </xf>
    <xf numFmtId="0" fontId="35" fillId="4" borderId="19" xfId="0" applyFont="1" applyFill="1" applyBorder="1" applyAlignment="1" applyProtection="1">
      <alignment horizontal="center" vertical="center"/>
      <protection locked="0" hidden="1"/>
    </xf>
    <xf numFmtId="0" fontId="25" fillId="2" borderId="113" xfId="0" applyFont="1" applyFill="1" applyBorder="1" applyAlignment="1" applyProtection="1">
      <alignment horizontal="left" vertical="center"/>
      <protection hidden="1"/>
    </xf>
    <xf numFmtId="0" fontId="25" fillId="2" borderId="0" xfId="0" applyFont="1" applyFill="1" applyBorder="1" applyAlignment="1" applyProtection="1">
      <alignment horizontal="left" vertical="center"/>
      <protection hidden="1"/>
    </xf>
    <xf numFmtId="0" fontId="9" fillId="4" borderId="15" xfId="0" quotePrefix="1" applyFont="1" applyFill="1" applyBorder="1" applyAlignment="1" applyProtection="1">
      <alignment horizontal="left" vertical="top" wrapText="1"/>
      <protection locked="0" hidden="1"/>
    </xf>
    <xf numFmtId="0" fontId="9" fillId="4" borderId="61" xfId="0" applyFont="1" applyFill="1" applyBorder="1" applyAlignment="1" applyProtection="1">
      <alignment horizontal="left" vertical="top" wrapText="1"/>
      <protection locked="0" hidden="1"/>
    </xf>
    <xf numFmtId="0" fontId="9" fillId="4" borderId="16" xfId="0" applyFont="1" applyFill="1" applyBorder="1" applyAlignment="1" applyProtection="1">
      <alignment horizontal="left" vertical="top" wrapText="1"/>
      <protection locked="0" hidden="1"/>
    </xf>
    <xf numFmtId="0" fontId="9" fillId="4" borderId="14" xfId="0" applyFont="1" applyFill="1" applyBorder="1" applyAlignment="1" applyProtection="1">
      <alignment horizontal="left" vertical="top" wrapText="1"/>
      <protection locked="0" hidden="1"/>
    </xf>
    <xf numFmtId="0" fontId="9" fillId="4" borderId="0" xfId="0" applyFont="1" applyFill="1" applyBorder="1" applyAlignment="1" applyProtection="1">
      <alignment horizontal="left" vertical="top" wrapText="1"/>
      <protection locked="0" hidden="1"/>
    </xf>
    <xf numFmtId="0" fontId="9" fillId="4" borderId="56" xfId="0" applyFont="1" applyFill="1" applyBorder="1" applyAlignment="1" applyProtection="1">
      <alignment horizontal="left" vertical="top" wrapText="1"/>
      <protection locked="0" hidden="1"/>
    </xf>
    <xf numFmtId="0" fontId="9" fillId="4" borderId="17" xfId="0" applyFont="1" applyFill="1" applyBorder="1" applyAlignment="1" applyProtection="1">
      <alignment horizontal="left" vertical="top" wrapText="1"/>
      <protection locked="0" hidden="1"/>
    </xf>
    <xf numFmtId="0" fontId="9" fillId="4" borderId="18" xfId="0" applyFont="1" applyFill="1" applyBorder="1" applyAlignment="1" applyProtection="1">
      <alignment horizontal="left" vertical="top" wrapText="1"/>
      <protection locked="0" hidden="1"/>
    </xf>
    <xf numFmtId="0" fontId="9" fillId="4" borderId="19" xfId="0" applyFont="1" applyFill="1" applyBorder="1" applyAlignment="1" applyProtection="1">
      <alignment horizontal="left" vertical="top" wrapText="1"/>
      <protection locked="0" hidden="1"/>
    </xf>
    <xf numFmtId="0" fontId="17" fillId="0" borderId="60" xfId="0" applyFont="1" applyFill="1" applyBorder="1" applyAlignment="1" applyProtection="1">
      <alignment horizontal="center" shrinkToFit="1"/>
      <protection locked="0" hidden="1"/>
    </xf>
    <xf numFmtId="0" fontId="17" fillId="0" borderId="40" xfId="0" applyFont="1" applyFill="1" applyBorder="1" applyAlignment="1" applyProtection="1">
      <alignment horizontal="center" shrinkToFit="1"/>
      <protection locked="0" hidden="1"/>
    </xf>
    <xf numFmtId="0" fontId="9" fillId="0" borderId="48" xfId="0" applyFont="1" applyFill="1" applyBorder="1" applyAlignment="1" applyProtection="1">
      <alignment horizontal="center" vertical="center" shrinkToFit="1"/>
      <protection locked="0"/>
    </xf>
    <xf numFmtId="0" fontId="9" fillId="0" borderId="20" xfId="0" applyFont="1" applyFill="1" applyBorder="1" applyAlignment="1" applyProtection="1">
      <alignment horizontal="center" vertical="center" shrinkToFit="1"/>
      <protection locked="0"/>
    </xf>
    <xf numFmtId="0" fontId="39" fillId="2" borderId="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hidden="1"/>
    </xf>
    <xf numFmtId="0" fontId="30" fillId="4" borderId="80" xfId="0" applyFont="1" applyFill="1" applyBorder="1" applyAlignment="1" applyProtection="1">
      <alignment horizontal="left" wrapText="1"/>
      <protection hidden="1"/>
    </xf>
    <xf numFmtId="0" fontId="30" fillId="4" borderId="56" xfId="0" applyFont="1" applyFill="1" applyBorder="1" applyAlignment="1" applyProtection="1">
      <alignment horizontal="left" wrapText="1"/>
      <protection hidden="1"/>
    </xf>
    <xf numFmtId="0" fontId="30" fillId="4" borderId="81" xfId="0" applyFont="1" applyFill="1" applyBorder="1" applyAlignment="1" applyProtection="1">
      <alignment horizontal="left" wrapText="1"/>
      <protection hidden="1"/>
    </xf>
    <xf numFmtId="0" fontId="11" fillId="2" borderId="14" xfId="0" applyFont="1" applyFill="1" applyBorder="1" applyAlignment="1" applyProtection="1">
      <alignment horizontal="right" textRotation="90"/>
      <protection hidden="1"/>
    </xf>
    <xf numFmtId="0" fontId="11" fillId="2" borderId="17" xfId="0" applyFont="1" applyFill="1" applyBorder="1" applyAlignment="1" applyProtection="1">
      <alignment horizontal="right" textRotation="90"/>
      <protection hidden="1"/>
    </xf>
    <xf numFmtId="0" fontId="11" fillId="2" borderId="56" xfId="0" applyFont="1" applyFill="1" applyBorder="1" applyAlignment="1" applyProtection="1">
      <alignment horizontal="center" textRotation="90"/>
      <protection hidden="1"/>
    </xf>
    <xf numFmtId="0" fontId="11" fillId="2" borderId="19" xfId="0" applyFont="1" applyFill="1" applyBorder="1" applyAlignment="1" applyProtection="1">
      <alignment horizontal="center" textRotation="90"/>
      <protection hidden="1"/>
    </xf>
    <xf numFmtId="0" fontId="9" fillId="0" borderId="53" xfId="0" applyFont="1" applyFill="1" applyBorder="1" applyAlignment="1" applyProtection="1">
      <alignment horizontal="left"/>
      <protection locked="0" hidden="1"/>
    </xf>
    <xf numFmtId="0" fontId="9" fillId="0" borderId="54" xfId="0" applyFont="1" applyFill="1" applyBorder="1" applyAlignment="1" applyProtection="1">
      <alignment horizontal="left"/>
      <protection locked="0" hidden="1"/>
    </xf>
    <xf numFmtId="0" fontId="9" fillId="0" borderId="55" xfId="0" applyFont="1" applyFill="1" applyBorder="1" applyAlignment="1" applyProtection="1">
      <alignment horizontal="left"/>
      <protection locked="0" hidden="1"/>
    </xf>
    <xf numFmtId="0" fontId="30" fillId="2" borderId="0" xfId="0" applyFont="1" applyFill="1" applyBorder="1" applyAlignment="1" applyProtection="1">
      <alignment horizontal="left" vertical="top" wrapText="1"/>
      <protection hidden="1"/>
    </xf>
    <xf numFmtId="0" fontId="9" fillId="0" borderId="48" xfId="0" applyFont="1" applyFill="1" applyBorder="1" applyAlignment="1" applyProtection="1">
      <alignment horizontal="left" vertical="center"/>
      <protection locked="0"/>
    </xf>
    <xf numFmtId="0" fontId="9" fillId="0" borderId="51" xfId="0" applyFont="1" applyFill="1" applyBorder="1" applyAlignment="1" applyProtection="1">
      <alignment horizontal="left" vertical="center"/>
      <protection locked="0"/>
    </xf>
    <xf numFmtId="0" fontId="9" fillId="0" borderId="20" xfId="0" applyFont="1" applyFill="1" applyBorder="1" applyAlignment="1" applyProtection="1">
      <alignment horizontal="left" vertical="center"/>
      <protection locked="0"/>
    </xf>
    <xf numFmtId="0" fontId="5" fillId="4" borderId="48" xfId="0" applyFont="1" applyFill="1" applyBorder="1" applyAlignment="1" applyProtection="1">
      <alignment horizontal="left" vertical="center"/>
      <protection locked="0" hidden="1"/>
    </xf>
    <xf numFmtId="0" fontId="5" fillId="4" borderId="20" xfId="0" applyFont="1" applyFill="1" applyBorder="1" applyAlignment="1" applyProtection="1">
      <alignment horizontal="left" vertical="center"/>
      <protection locked="0" hidden="1"/>
    </xf>
    <xf numFmtId="49" fontId="1" fillId="4" borderId="43" xfId="0" applyNumberFormat="1" applyFont="1" applyFill="1" applyBorder="1" applyAlignment="1" applyProtection="1">
      <alignment horizontal="left" vertical="center"/>
      <protection locked="0" hidden="1"/>
    </xf>
    <xf numFmtId="49" fontId="5" fillId="4" borderId="45" xfId="0" applyNumberFormat="1" applyFont="1" applyFill="1" applyBorder="1" applyAlignment="1" applyProtection="1">
      <alignment horizontal="left" vertical="center"/>
      <protection locked="0" hidden="1"/>
    </xf>
    <xf numFmtId="0" fontId="5" fillId="4" borderId="51" xfId="0" applyFont="1" applyFill="1" applyBorder="1" applyAlignment="1" applyProtection="1">
      <alignment horizontal="left" vertical="center"/>
      <protection locked="0" hidden="1"/>
    </xf>
    <xf numFmtId="0" fontId="5" fillId="4" borderId="43" xfId="0" applyFont="1" applyFill="1" applyBorder="1" applyAlignment="1" applyProtection="1">
      <alignment horizontal="left" vertical="center"/>
      <protection locked="0"/>
    </xf>
    <xf numFmtId="0" fontId="5" fillId="4" borderId="44" xfId="0" applyFont="1" applyFill="1" applyBorder="1" applyAlignment="1" applyProtection="1">
      <alignment horizontal="left" vertical="center"/>
      <protection locked="0"/>
    </xf>
    <xf numFmtId="0" fontId="5" fillId="4" borderId="45" xfId="0" applyFont="1" applyFill="1" applyBorder="1" applyAlignment="1" applyProtection="1">
      <alignment horizontal="left" vertical="center"/>
      <protection locked="0"/>
    </xf>
    <xf numFmtId="0" fontId="17" fillId="2" borderId="0" xfId="0" applyFont="1" applyFill="1" applyBorder="1" applyAlignment="1" applyProtection="1">
      <alignment horizontal="left" vertical="top" wrapText="1"/>
      <protection hidden="1"/>
    </xf>
    <xf numFmtId="0" fontId="17" fillId="2" borderId="56" xfId="0" applyFont="1" applyFill="1" applyBorder="1" applyAlignment="1" applyProtection="1">
      <alignment horizontal="left" vertical="top" wrapText="1"/>
      <protection hidden="1"/>
    </xf>
    <xf numFmtId="0" fontId="17" fillId="2" borderId="0" xfId="0" applyFont="1" applyFill="1" applyBorder="1" applyAlignment="1" applyProtection="1">
      <alignment horizontal="left" wrapText="1"/>
      <protection hidden="1"/>
    </xf>
    <xf numFmtId="0" fontId="17" fillId="2" borderId="56" xfId="0" applyFont="1" applyFill="1" applyBorder="1" applyAlignment="1" applyProtection="1">
      <alignment horizontal="left" wrapText="1"/>
      <protection hidden="1"/>
    </xf>
    <xf numFmtId="0" fontId="9" fillId="2" borderId="18" xfId="0" applyFont="1" applyFill="1" applyBorder="1" applyAlignment="1" applyProtection="1">
      <alignment horizontal="center"/>
      <protection hidden="1"/>
    </xf>
    <xf numFmtId="0" fontId="9" fillId="2" borderId="0" xfId="0" applyFont="1" applyFill="1" applyBorder="1" applyAlignment="1" applyProtection="1">
      <alignment horizontal="center" vertical="center"/>
      <protection locked="0" hidden="1"/>
    </xf>
    <xf numFmtId="0" fontId="11" fillId="0" borderId="43" xfId="0" applyFont="1" applyFill="1" applyBorder="1" applyAlignment="1" applyProtection="1">
      <alignment horizontal="center" vertical="center"/>
      <protection locked="0" hidden="1"/>
    </xf>
    <xf numFmtId="0" fontId="11" fillId="0" borderId="44" xfId="0" applyFont="1" applyFill="1" applyBorder="1" applyAlignment="1" applyProtection="1">
      <alignment horizontal="center" vertical="center"/>
      <protection locked="0" hidden="1"/>
    </xf>
    <xf numFmtId="0" fontId="11" fillId="0" borderId="45" xfId="0" applyFont="1" applyFill="1" applyBorder="1" applyAlignment="1" applyProtection="1">
      <alignment horizontal="center" vertical="center"/>
      <protection locked="0" hidden="1"/>
    </xf>
    <xf numFmtId="0" fontId="22" fillId="2" borderId="35" xfId="0" applyFont="1" applyFill="1" applyBorder="1" applyAlignment="1" applyProtection="1">
      <alignment horizontal="center" vertical="center"/>
      <protection locked="0" hidden="1"/>
    </xf>
    <xf numFmtId="0" fontId="11" fillId="2" borderId="0" xfId="0" applyFont="1" applyFill="1" applyBorder="1" applyAlignment="1" applyProtection="1">
      <alignment horizontal="right" wrapText="1"/>
      <protection hidden="1"/>
    </xf>
    <xf numFmtId="0" fontId="3" fillId="4" borderId="48" xfId="0" applyFont="1" applyFill="1" applyBorder="1" applyAlignment="1" applyProtection="1">
      <alignment horizontal="left" vertical="center"/>
      <protection locked="0" hidden="1"/>
    </xf>
    <xf numFmtId="0" fontId="3" fillId="4" borderId="51" xfId="0" applyFont="1" applyFill="1" applyBorder="1" applyAlignment="1" applyProtection="1">
      <alignment horizontal="left" vertical="center"/>
      <protection locked="0" hidden="1"/>
    </xf>
    <xf numFmtId="0" fontId="3" fillId="4" borderId="20" xfId="0" applyFont="1" applyFill="1" applyBorder="1" applyAlignment="1" applyProtection="1">
      <alignment horizontal="left" vertical="center"/>
      <protection locked="0" hidden="1"/>
    </xf>
    <xf numFmtId="0" fontId="11" fillId="2" borderId="21" xfId="0" applyFont="1" applyFill="1" applyBorder="1" applyAlignment="1" applyProtection="1">
      <alignment horizontal="center" vertical="top" textRotation="90"/>
      <protection hidden="1"/>
    </xf>
    <xf numFmtId="0" fontId="11" fillId="2" borderId="0" xfId="0" applyFont="1" applyFill="1" applyBorder="1" applyAlignment="1" applyProtection="1">
      <alignment horizontal="center" vertical="top" textRotation="90"/>
      <protection hidden="1"/>
    </xf>
    <xf numFmtId="0" fontId="9" fillId="0" borderId="43" xfId="0" applyFont="1" applyFill="1" applyBorder="1" applyAlignment="1" applyProtection="1">
      <alignment horizontal="center" vertical="center"/>
      <protection locked="0" hidden="1"/>
    </xf>
    <xf numFmtId="0" fontId="9" fillId="0" borderId="45" xfId="0" applyFont="1" applyFill="1" applyBorder="1" applyAlignment="1" applyProtection="1">
      <alignment horizontal="center" vertical="center"/>
      <protection locked="0" hidden="1"/>
    </xf>
    <xf numFmtId="0" fontId="9"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protection hidden="1"/>
    </xf>
    <xf numFmtId="0" fontId="11" fillId="2" borderId="15" xfId="0" applyFont="1" applyFill="1" applyBorder="1" applyAlignment="1" applyProtection="1">
      <alignment horizontal="left" shrinkToFit="1"/>
      <protection hidden="1"/>
    </xf>
    <xf numFmtId="0" fontId="11" fillId="2" borderId="61" xfId="0" applyFont="1" applyFill="1" applyBorder="1" applyAlignment="1" applyProtection="1">
      <alignment horizontal="left" shrinkToFit="1"/>
      <protection hidden="1"/>
    </xf>
    <xf numFmtId="0" fontId="11" fillId="2" borderId="77" xfId="0" applyFont="1" applyFill="1" applyBorder="1" applyAlignment="1" applyProtection="1">
      <alignment horizontal="left" shrinkToFit="1"/>
      <protection hidden="1"/>
    </xf>
    <xf numFmtId="0" fontId="9" fillId="4" borderId="43" xfId="0" applyFont="1" applyFill="1" applyBorder="1" applyAlignment="1" applyProtection="1">
      <alignment horizontal="left"/>
      <protection locked="0"/>
    </xf>
    <xf numFmtId="0" fontId="9" fillId="4" borderId="44" xfId="0" applyFont="1" applyFill="1" applyBorder="1" applyAlignment="1" applyProtection="1">
      <alignment horizontal="left"/>
      <protection locked="0"/>
    </xf>
    <xf numFmtId="0" fontId="9" fillId="4" borderId="45" xfId="0" applyFont="1" applyFill="1" applyBorder="1" applyAlignment="1" applyProtection="1">
      <alignment horizontal="left"/>
      <protection locked="0"/>
    </xf>
    <xf numFmtId="1" fontId="9" fillId="0" borderId="53" xfId="0" applyNumberFormat="1" applyFont="1" applyFill="1" applyBorder="1" applyAlignment="1" applyProtection="1">
      <alignment horizontal="left"/>
      <protection locked="0" hidden="1"/>
    </xf>
    <xf numFmtId="1" fontId="9" fillId="0" borderId="54" xfId="0" applyNumberFormat="1" applyFont="1" applyFill="1" applyBorder="1" applyAlignment="1" applyProtection="1">
      <alignment horizontal="left"/>
      <protection locked="0" hidden="1"/>
    </xf>
    <xf numFmtId="1" fontId="9" fillId="0" borderId="55" xfId="0" applyNumberFormat="1" applyFont="1" applyFill="1" applyBorder="1" applyAlignment="1" applyProtection="1">
      <alignment horizontal="left"/>
      <protection locked="0" hidden="1"/>
    </xf>
    <xf numFmtId="49" fontId="9" fillId="0" borderId="53" xfId="0" applyNumberFormat="1" applyFont="1" applyFill="1" applyBorder="1" applyAlignment="1" applyProtection="1">
      <alignment horizontal="left"/>
      <protection locked="0" hidden="1"/>
    </xf>
    <xf numFmtId="49" fontId="9" fillId="0" borderId="54" xfId="0" applyNumberFormat="1" applyFont="1" applyFill="1" applyBorder="1" applyAlignment="1" applyProtection="1">
      <alignment horizontal="left"/>
      <protection locked="0" hidden="1"/>
    </xf>
    <xf numFmtId="49" fontId="9" fillId="0" borderId="55" xfId="0" applyNumberFormat="1" applyFont="1" applyFill="1" applyBorder="1" applyAlignment="1" applyProtection="1">
      <alignment horizontal="left"/>
      <protection locked="0" hidden="1"/>
    </xf>
    <xf numFmtId="14" fontId="9" fillId="0" borderId="75" xfId="0" applyNumberFormat="1" applyFont="1" applyFill="1" applyBorder="1" applyAlignment="1" applyProtection="1">
      <alignment horizontal="left"/>
      <protection locked="0" hidden="1"/>
    </xf>
    <xf numFmtId="14" fontId="9" fillId="0" borderId="18" xfId="0" applyNumberFormat="1" applyFont="1" applyFill="1" applyBorder="1" applyAlignment="1" applyProtection="1">
      <alignment horizontal="left"/>
      <protection locked="0" hidden="1"/>
    </xf>
    <xf numFmtId="14" fontId="9" fillId="0" borderId="76" xfId="0" applyNumberFormat="1" applyFont="1" applyFill="1" applyBorder="1" applyAlignment="1" applyProtection="1">
      <alignment horizontal="left"/>
      <protection locked="0" hidden="1"/>
    </xf>
    <xf numFmtId="0" fontId="9" fillId="4" borderId="53" xfId="0" applyFont="1" applyFill="1" applyBorder="1" applyAlignment="1" applyProtection="1">
      <alignment horizontal="left"/>
      <protection locked="0" hidden="1"/>
    </xf>
    <xf numFmtId="0" fontId="9" fillId="4" borderId="54" xfId="0" applyFont="1" applyFill="1" applyBorder="1" applyAlignment="1" applyProtection="1">
      <alignment horizontal="left"/>
      <protection locked="0" hidden="1"/>
    </xf>
    <xf numFmtId="0" fontId="9" fillId="4" borderId="55" xfId="0" applyFont="1" applyFill="1" applyBorder="1" applyAlignment="1" applyProtection="1">
      <alignment horizontal="left"/>
      <protection locked="0" hidden="1"/>
    </xf>
    <xf numFmtId="0" fontId="1" fillId="0" borderId="98" xfId="0" applyFont="1" applyFill="1" applyBorder="1" applyAlignment="1">
      <alignment horizontal="center"/>
    </xf>
    <xf numFmtId="0" fontId="1" fillId="4" borderId="48" xfId="0" applyFont="1" applyFill="1" applyBorder="1" applyAlignment="1" applyProtection="1">
      <alignment horizontal="left"/>
      <protection locked="0" hidden="1"/>
    </xf>
    <xf numFmtId="0" fontId="1" fillId="4" borderId="20" xfId="0" applyFont="1" applyFill="1" applyBorder="1" applyAlignment="1" applyProtection="1">
      <alignment horizontal="left"/>
      <protection locked="0" hidden="1"/>
    </xf>
    <xf numFmtId="0" fontId="1" fillId="4" borderId="48" xfId="0" applyFont="1" applyFill="1" applyBorder="1" applyAlignment="1" applyProtection="1">
      <alignment horizontal="left" vertical="center"/>
      <protection locked="0" hidden="1"/>
    </xf>
    <xf numFmtId="0" fontId="1" fillId="4" borderId="20" xfId="0" applyFont="1" applyFill="1" applyBorder="1" applyAlignment="1" applyProtection="1">
      <alignment horizontal="left" vertical="center"/>
      <protection locked="0" hidden="1"/>
    </xf>
    <xf numFmtId="49" fontId="1" fillId="4" borderId="45" xfId="0" applyNumberFormat="1" applyFont="1" applyFill="1" applyBorder="1" applyAlignment="1" applyProtection="1">
      <alignment horizontal="left" vertical="center"/>
      <protection locked="0" hidden="1"/>
    </xf>
    <xf numFmtId="0" fontId="1" fillId="4" borderId="51" xfId="0" applyFont="1" applyFill="1" applyBorder="1" applyAlignment="1" applyProtection="1">
      <alignment horizontal="left" vertical="center"/>
      <protection locked="0" hidden="1"/>
    </xf>
    <xf numFmtId="0" fontId="1" fillId="4" borderId="43" xfId="0" applyFont="1" applyFill="1" applyBorder="1" applyAlignment="1" applyProtection="1">
      <alignment horizontal="left" vertical="center"/>
      <protection locked="0"/>
    </xf>
    <xf numFmtId="0" fontId="1" fillId="4" borderId="44" xfId="0" applyFont="1" applyFill="1" applyBorder="1" applyAlignment="1" applyProtection="1">
      <alignment horizontal="left" vertical="center"/>
      <protection locked="0"/>
    </xf>
    <xf numFmtId="0" fontId="1" fillId="4" borderId="45" xfId="0" applyFont="1" applyFill="1" applyBorder="1" applyAlignment="1" applyProtection="1">
      <alignment horizontal="left" vertical="center"/>
      <protection locked="0"/>
    </xf>
    <xf numFmtId="0" fontId="46" fillId="7" borderId="61" xfId="0" applyFont="1" applyFill="1" applyBorder="1" applyAlignment="1" applyProtection="1">
      <alignment horizontal="left" vertical="center"/>
      <protection hidden="1"/>
    </xf>
    <xf numFmtId="0" fontId="46" fillId="7" borderId="35" xfId="0" applyFont="1" applyFill="1" applyBorder="1" applyAlignment="1" applyProtection="1">
      <alignment horizontal="left" vertical="center"/>
      <protection hidden="1"/>
    </xf>
  </cellXfs>
  <cellStyles count="3">
    <cellStyle name="Komma" xfId="1" builtinId="3"/>
    <cellStyle name="Link" xfId="2" builtinId="8"/>
    <cellStyle name="Standard" xfId="0" builtinId="0"/>
  </cellStyles>
  <dxfs count="1594">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Sprachen &amp; Rückgabewerte'!$B$3:$B$6" fmlaRange="'Sprachen &amp; Rückgabewerte'!$C$3:$C$6" sel="1" val="0"/>
</file>

<file path=xl/ctrlProps/ctrlProp10.xml><?xml version="1.0" encoding="utf-8"?>
<formControlPr xmlns="http://schemas.microsoft.com/office/spreadsheetml/2009/9/main" objectType="CheckBox" fmlaLink="'Sprachen &amp; Rückgabewerte'!$I$10" lockText="1"/>
</file>

<file path=xl/ctrlProps/ctrlProp100.xml><?xml version="1.0" encoding="utf-8"?>
<formControlPr xmlns="http://schemas.microsoft.com/office/spreadsheetml/2009/9/main" objectType="CheckBox" fmlaLink="'Sprachen &amp; Rückgabewerte(3)'!$I$20" lockText="1"/>
</file>

<file path=xl/ctrlProps/ctrlProp101.xml><?xml version="1.0" encoding="utf-8"?>
<formControlPr xmlns="http://schemas.microsoft.com/office/spreadsheetml/2009/9/main" objectType="CheckBox" fmlaLink="'Sprachen &amp; Rückgabewerte(3)'!$I$22" lockText="1"/>
</file>

<file path=xl/ctrlProps/ctrlProp102.xml><?xml version="1.0" encoding="utf-8"?>
<formControlPr xmlns="http://schemas.microsoft.com/office/spreadsheetml/2009/9/main" objectType="CheckBox" fmlaLink="'Sprachen &amp; Rückgabewerte(3)'!$I$15" lockText="1"/>
</file>

<file path=xl/ctrlProps/ctrlProp103.xml><?xml version="1.0" encoding="utf-8"?>
<formControlPr xmlns="http://schemas.microsoft.com/office/spreadsheetml/2009/9/main" objectType="CheckBox" fmlaLink="'Sprachen &amp; Rückgabewerte(3)'!$I$25" lockText="1"/>
</file>

<file path=xl/ctrlProps/ctrlProp104.xml><?xml version="1.0" encoding="utf-8"?>
<formControlPr xmlns="http://schemas.microsoft.com/office/spreadsheetml/2009/9/main" objectType="CheckBox" fmlaLink="'Sprachen &amp; Rückgabewerte(3)'!$I$10" lockText="1"/>
</file>

<file path=xl/ctrlProps/ctrlProp105.xml><?xml version="1.0" encoding="utf-8"?>
<formControlPr xmlns="http://schemas.microsoft.com/office/spreadsheetml/2009/9/main" objectType="CheckBox" fmlaLink="'Sprachen &amp; Rückgabewerte(3)'!$I$11" lockText="1"/>
</file>

<file path=xl/ctrlProps/ctrlProp106.xml><?xml version="1.0" encoding="utf-8"?>
<formControlPr xmlns="http://schemas.microsoft.com/office/spreadsheetml/2009/9/main" objectType="CheckBox" fmlaLink="'Sprachen &amp; Rückgabewerte(3)'!$I$13" lockText="1"/>
</file>

<file path=xl/ctrlProps/ctrlProp107.xml><?xml version="1.0" encoding="utf-8"?>
<formControlPr xmlns="http://schemas.microsoft.com/office/spreadsheetml/2009/9/main" objectType="CheckBox" fmlaLink="'Sprachen &amp; Rückgabewerte(3)'!$I$14" lockText="1"/>
</file>

<file path=xl/ctrlProps/ctrlProp108.xml><?xml version="1.0" encoding="utf-8"?>
<formControlPr xmlns="http://schemas.microsoft.com/office/spreadsheetml/2009/9/main" objectType="CheckBox" fmlaLink="'Sprachen &amp; Rückgabewerte(3)'!$I$5" lockText="1"/>
</file>

<file path=xl/ctrlProps/ctrlProp109.xml><?xml version="1.0" encoding="utf-8"?>
<formControlPr xmlns="http://schemas.microsoft.com/office/spreadsheetml/2009/9/main" objectType="CheckBox" fmlaLink="'Sprachen &amp; Rückgabewerte(3)'!$I$6" lockText="1"/>
</file>

<file path=xl/ctrlProps/ctrlProp11.xml><?xml version="1.0" encoding="utf-8"?>
<formControlPr xmlns="http://schemas.microsoft.com/office/spreadsheetml/2009/9/main" objectType="CheckBox" fmlaLink="'Sprachen &amp; Rückgabewerte'!$I$11" lockText="1"/>
</file>

<file path=xl/ctrlProps/ctrlProp110.xml><?xml version="1.0" encoding="utf-8"?>
<formControlPr xmlns="http://schemas.microsoft.com/office/spreadsheetml/2009/9/main" objectType="CheckBox" checked="Checked" fmlaLink="'Sprachen &amp; Rückgabewerte(3)'!$C$37" lockText="1"/>
</file>

<file path=xl/ctrlProps/ctrlProp111.xml><?xml version="1.0" encoding="utf-8"?>
<formControlPr xmlns="http://schemas.microsoft.com/office/spreadsheetml/2009/9/main" objectType="CheckBox" checked="Checked" fmlaLink="'Sprachen &amp; Rückgabewerte(3)'!$C$38" lockText="1"/>
</file>

<file path=xl/ctrlProps/ctrlProp112.xml><?xml version="1.0" encoding="utf-8"?>
<formControlPr xmlns="http://schemas.microsoft.com/office/spreadsheetml/2009/9/main" objectType="CheckBox" fmlaLink="'Sprachen &amp; Rückgabewerte(3)'!$C$39" lockText="1"/>
</file>

<file path=xl/ctrlProps/ctrlProp113.xml><?xml version="1.0" encoding="utf-8"?>
<formControlPr xmlns="http://schemas.microsoft.com/office/spreadsheetml/2009/9/main" objectType="CheckBox" fmlaLink="'Sprachen &amp; Rückgabewerte(3)'!$C$40" lockText="1"/>
</file>

<file path=xl/ctrlProps/ctrlProp114.xml><?xml version="1.0" encoding="utf-8"?>
<formControlPr xmlns="http://schemas.microsoft.com/office/spreadsheetml/2009/9/main" objectType="CheckBox" fmlaLink="'Sprachen &amp; Rückgabewerte(3)'!$I$50" lockText="1"/>
</file>

<file path=xl/ctrlProps/ctrlProp115.xml><?xml version="1.0" encoding="utf-8"?>
<formControlPr xmlns="http://schemas.microsoft.com/office/spreadsheetml/2009/9/main" objectType="CheckBox" fmlaLink="'Sprachen &amp; Rückgabewerte(3)'!$I$51" lockText="1"/>
</file>

<file path=xl/ctrlProps/ctrlProp116.xml><?xml version="1.0" encoding="utf-8"?>
<formControlPr xmlns="http://schemas.microsoft.com/office/spreadsheetml/2009/9/main" objectType="CheckBox" fmlaLink="'Sprachen &amp; Rückgabewerte(3)'!$I$110" lockText="1"/>
</file>

<file path=xl/ctrlProps/ctrlProp117.xml><?xml version="1.0" encoding="utf-8"?>
<formControlPr xmlns="http://schemas.microsoft.com/office/spreadsheetml/2009/9/main" objectType="CheckBox" fmlaLink="'Sprachen &amp; Rückgabewerte(3)'!$I$111" lockText="1"/>
</file>

<file path=xl/ctrlProps/ctrlProp118.xml><?xml version="1.0" encoding="utf-8"?>
<formControlPr xmlns="http://schemas.microsoft.com/office/spreadsheetml/2009/9/main" objectType="CheckBox" fmlaLink="'Sprachen &amp; Rückgabewerte(3)'!$C$41" lockText="1"/>
</file>

<file path=xl/ctrlProps/ctrlProp119.xml><?xml version="1.0" encoding="utf-8"?>
<formControlPr xmlns="http://schemas.microsoft.com/office/spreadsheetml/2009/9/main" objectType="CheckBox" fmlaLink="'Sprachen &amp; Rückgabewerte(3)'!$C$42" lockText="1"/>
</file>

<file path=xl/ctrlProps/ctrlProp12.xml><?xml version="1.0" encoding="utf-8"?>
<formControlPr xmlns="http://schemas.microsoft.com/office/spreadsheetml/2009/9/main" objectType="CheckBox" fmlaLink="'Sprachen &amp; Rückgabewerte'!$I$13" lockText="1"/>
</file>

<file path=xl/ctrlProps/ctrlProp120.xml><?xml version="1.0" encoding="utf-8"?>
<formControlPr xmlns="http://schemas.microsoft.com/office/spreadsheetml/2009/9/main" objectType="CheckBox" fmlaLink="'Sprachen &amp; Rückgabewerte(3)'!$C$43" lockText="1"/>
</file>

<file path=xl/ctrlProps/ctrlProp121.xml><?xml version="1.0" encoding="utf-8"?>
<formControlPr xmlns="http://schemas.microsoft.com/office/spreadsheetml/2009/9/main" objectType="CheckBox" fmlaLink="'Sprachen &amp; Rückgabewerte(3)'!$C$44" lockText="1"/>
</file>

<file path=xl/ctrlProps/ctrlProp122.xml><?xml version="1.0" encoding="utf-8"?>
<formControlPr xmlns="http://schemas.microsoft.com/office/spreadsheetml/2009/9/main" objectType="CheckBox" fmlaLink="'Sprachen &amp; Rückgabewerte(3)'!$C$45" lockText="1"/>
</file>

<file path=xl/ctrlProps/ctrlProp123.xml><?xml version="1.0" encoding="utf-8"?>
<formControlPr xmlns="http://schemas.microsoft.com/office/spreadsheetml/2009/9/main" objectType="CheckBox" fmlaLink="'Sprachen &amp; Rückgabewerte(3)'!$C$46" lockText="1"/>
</file>

<file path=xl/ctrlProps/ctrlProp124.xml><?xml version="1.0" encoding="utf-8"?>
<formControlPr xmlns="http://schemas.microsoft.com/office/spreadsheetml/2009/9/main" objectType="CheckBox" fmlaLink="'Sprachen &amp; Rückgabewerte(3)'!$C$47" lockText="1"/>
</file>

<file path=xl/ctrlProps/ctrlProp125.xml><?xml version="1.0" encoding="utf-8"?>
<formControlPr xmlns="http://schemas.microsoft.com/office/spreadsheetml/2009/9/main" objectType="CheckBox" fmlaLink="'Sprachen &amp; Rückgabewerte(3)'!$C$50" lockText="1"/>
</file>

<file path=xl/ctrlProps/ctrlProp126.xml><?xml version="1.0" encoding="utf-8"?>
<formControlPr xmlns="http://schemas.microsoft.com/office/spreadsheetml/2009/9/main" objectType="CheckBox" fmlaLink="'Sprachen &amp; Rückgabewerte(3)'!$C$48" lockText="1"/>
</file>

<file path=xl/ctrlProps/ctrlProp127.xml><?xml version="1.0" encoding="utf-8"?>
<formControlPr xmlns="http://schemas.microsoft.com/office/spreadsheetml/2009/9/main" objectType="CheckBox" fmlaLink="'Sprachen &amp; Rückgabewerte(3)'!$C$49" lockText="1"/>
</file>

<file path=xl/ctrlProps/ctrlProp128.xml><?xml version="1.0" encoding="utf-8"?>
<formControlPr xmlns="http://schemas.microsoft.com/office/spreadsheetml/2009/9/main" objectType="CheckBox" fmlaLink="'Sprachen &amp; Rückgabewerte(3)'!$C$57" lockText="1"/>
</file>

<file path=xl/ctrlProps/ctrlProp129.xml><?xml version="1.0" encoding="utf-8"?>
<formControlPr xmlns="http://schemas.microsoft.com/office/spreadsheetml/2009/9/main" objectType="CheckBox" fmlaLink="'Sprachen &amp; Rückgabewerte(3)'!$C$58" lockText="1"/>
</file>

<file path=xl/ctrlProps/ctrlProp13.xml><?xml version="1.0" encoding="utf-8"?>
<formControlPr xmlns="http://schemas.microsoft.com/office/spreadsheetml/2009/9/main" objectType="CheckBox" fmlaLink="'Sprachen &amp; Rückgabewerte'!$I$14" lockText="1"/>
</file>

<file path=xl/ctrlProps/ctrlProp130.xml><?xml version="1.0" encoding="utf-8"?>
<formControlPr xmlns="http://schemas.microsoft.com/office/spreadsheetml/2009/9/main" objectType="CheckBox" fmlaLink="'Sprachen &amp; Rückgabewerte(3)'!$C$55" lockText="1"/>
</file>

<file path=xl/ctrlProps/ctrlProp131.xml><?xml version="1.0" encoding="utf-8"?>
<formControlPr xmlns="http://schemas.microsoft.com/office/spreadsheetml/2009/9/main" objectType="CheckBox" fmlaLink="'Sprachen &amp; Rückgabewerte(3)'!$C$56" lockText="1"/>
</file>

<file path=xl/ctrlProps/ctrlProp132.xml><?xml version="1.0" encoding="utf-8"?>
<formControlPr xmlns="http://schemas.microsoft.com/office/spreadsheetml/2009/9/main" objectType="CheckBox" fmlaLink="'Sprachen &amp; Rückgabewerte(3)'!$C$53" lockText="1"/>
</file>

<file path=xl/ctrlProps/ctrlProp133.xml><?xml version="1.0" encoding="utf-8"?>
<formControlPr xmlns="http://schemas.microsoft.com/office/spreadsheetml/2009/9/main" objectType="CheckBox" fmlaLink="'Sprachen &amp; Rückgabewerte(3)'!$C$54" lockText="1"/>
</file>

<file path=xl/ctrlProps/ctrlProp134.xml><?xml version="1.0" encoding="utf-8"?>
<formControlPr xmlns="http://schemas.microsoft.com/office/spreadsheetml/2009/9/main" objectType="CheckBox" fmlaLink="'Sprachen &amp; Rückgabewerte(3)'!$I$36" lockText="1"/>
</file>

<file path=xl/ctrlProps/ctrlProp135.xml><?xml version="1.0" encoding="utf-8"?>
<formControlPr xmlns="http://schemas.microsoft.com/office/spreadsheetml/2009/9/main" objectType="CheckBox" fmlaLink="'Sprachen &amp; Rückgabewerte(3)'!$I$39" lockText="1"/>
</file>

<file path=xl/ctrlProps/ctrlProp136.xml><?xml version="1.0" encoding="utf-8"?>
<formControlPr xmlns="http://schemas.microsoft.com/office/spreadsheetml/2009/9/main" objectType="CheckBox" fmlaLink="'Sprachen &amp; Rückgabewerte(3)'!$I$45" lockText="1"/>
</file>

<file path=xl/ctrlProps/ctrlProp137.xml><?xml version="1.0" encoding="utf-8"?>
<formControlPr xmlns="http://schemas.microsoft.com/office/spreadsheetml/2009/9/main" objectType="CheckBox" fmlaLink="'Sprachen &amp; Rückgabewerte(3)'!$I$71" lockText="1"/>
</file>

<file path=xl/ctrlProps/ctrlProp138.xml><?xml version="1.0" encoding="utf-8"?>
<formControlPr xmlns="http://schemas.microsoft.com/office/spreadsheetml/2009/9/main" objectType="CheckBox" fmlaLink="'Sprachen &amp; Rückgabewerte(3)'!$C$60" lockText="1"/>
</file>

<file path=xl/ctrlProps/ctrlProp139.xml><?xml version="1.0" encoding="utf-8"?>
<formControlPr xmlns="http://schemas.microsoft.com/office/spreadsheetml/2009/9/main" objectType="CheckBox" fmlaLink="'Sprachen &amp; Rückgabewerte(3)'!$C$61" lockText="1"/>
</file>

<file path=xl/ctrlProps/ctrlProp14.xml><?xml version="1.0" encoding="utf-8"?>
<formControlPr xmlns="http://schemas.microsoft.com/office/spreadsheetml/2009/9/main" objectType="CheckBox" fmlaLink="'Sprachen &amp; Rückgabewerte'!$I$5" lockText="1"/>
</file>

<file path=xl/ctrlProps/ctrlProp140.xml><?xml version="1.0" encoding="utf-8"?>
<formControlPr xmlns="http://schemas.microsoft.com/office/spreadsheetml/2009/9/main" objectType="CheckBox" fmlaLink="'Sprachen &amp; Rückgabewerte(3)'!$C$62" lockText="1"/>
</file>

<file path=xl/ctrlProps/ctrlProp141.xml><?xml version="1.0" encoding="utf-8"?>
<formControlPr xmlns="http://schemas.microsoft.com/office/spreadsheetml/2009/9/main" objectType="CheckBox" fmlaLink="'Sprachen &amp; Rückgabewerte(3)'!$C$63" lockText="1"/>
</file>

<file path=xl/ctrlProps/ctrlProp142.xml><?xml version="1.0" encoding="utf-8"?>
<formControlPr xmlns="http://schemas.microsoft.com/office/spreadsheetml/2009/9/main" objectType="Drop" dropStyle="combo" dx="16" fmlaLink="'Sprachen &amp; Rückgabewerte(4)'!$B$3:$B$6" fmlaRange="'Sprachen &amp; Rückgabewerte(4)'!$C$3:$C$6" sel="1" val="0"/>
</file>

<file path=xl/ctrlProps/ctrlProp143.xml><?xml version="1.0" encoding="utf-8"?>
<formControlPr xmlns="http://schemas.microsoft.com/office/spreadsheetml/2009/9/main" objectType="CheckBox" fmlaLink="'Sprachen &amp; Rückgabewerte(4)'!$I$30" lockText="1"/>
</file>

<file path=xl/ctrlProps/ctrlProp144.xml><?xml version="1.0" encoding="utf-8"?>
<formControlPr xmlns="http://schemas.microsoft.com/office/spreadsheetml/2009/9/main" objectType="CheckBox" fmlaLink="'Sprachen &amp; Rückgabewerte(4)'!$I$31" lockText="1"/>
</file>

<file path=xl/ctrlProps/ctrlProp145.xml><?xml version="1.0" encoding="utf-8"?>
<formControlPr xmlns="http://schemas.microsoft.com/office/spreadsheetml/2009/9/main" objectType="CheckBox" fmlaLink="'Sprachen &amp; Rückgabewerte(4)'!$I$17" lockText="1"/>
</file>

<file path=xl/ctrlProps/ctrlProp146.xml><?xml version="1.0" encoding="utf-8"?>
<formControlPr xmlns="http://schemas.microsoft.com/office/spreadsheetml/2009/9/main" objectType="CheckBox" fmlaLink="'Sprachen &amp; Rückgabewerte(4)'!$I$18" lockText="1"/>
</file>

<file path=xl/ctrlProps/ctrlProp147.xml><?xml version="1.0" encoding="utf-8"?>
<formControlPr xmlns="http://schemas.microsoft.com/office/spreadsheetml/2009/9/main" objectType="CheckBox" fmlaLink="'Sprachen &amp; Rückgabewerte(4)'!$I$20" lockText="1"/>
</file>

<file path=xl/ctrlProps/ctrlProp148.xml><?xml version="1.0" encoding="utf-8"?>
<formControlPr xmlns="http://schemas.microsoft.com/office/spreadsheetml/2009/9/main" objectType="CheckBox" fmlaLink="'Sprachen &amp; Rückgabewerte(4)'!$I$22" lockText="1"/>
</file>

<file path=xl/ctrlProps/ctrlProp149.xml><?xml version="1.0" encoding="utf-8"?>
<formControlPr xmlns="http://schemas.microsoft.com/office/spreadsheetml/2009/9/main" objectType="CheckBox" fmlaLink="'Sprachen &amp; Rückgabewerte(4)'!$I$15" lockText="1"/>
</file>

<file path=xl/ctrlProps/ctrlProp15.xml><?xml version="1.0" encoding="utf-8"?>
<formControlPr xmlns="http://schemas.microsoft.com/office/spreadsheetml/2009/9/main" objectType="CheckBox" fmlaLink="'Sprachen &amp; Rückgabewerte'!$I$6" lockText="1"/>
</file>

<file path=xl/ctrlProps/ctrlProp150.xml><?xml version="1.0" encoding="utf-8"?>
<formControlPr xmlns="http://schemas.microsoft.com/office/spreadsheetml/2009/9/main" objectType="CheckBox" fmlaLink="'Sprachen &amp; Rückgabewerte(4)'!$I$25" lockText="1"/>
</file>

<file path=xl/ctrlProps/ctrlProp151.xml><?xml version="1.0" encoding="utf-8"?>
<formControlPr xmlns="http://schemas.microsoft.com/office/spreadsheetml/2009/9/main" objectType="CheckBox" fmlaLink="'Sprachen &amp; Rückgabewerte(4)'!$I$10" lockText="1"/>
</file>

<file path=xl/ctrlProps/ctrlProp152.xml><?xml version="1.0" encoding="utf-8"?>
<formControlPr xmlns="http://schemas.microsoft.com/office/spreadsheetml/2009/9/main" objectType="CheckBox" fmlaLink="'Sprachen &amp; Rückgabewerte(4)'!$I$11" lockText="1"/>
</file>

<file path=xl/ctrlProps/ctrlProp153.xml><?xml version="1.0" encoding="utf-8"?>
<formControlPr xmlns="http://schemas.microsoft.com/office/spreadsheetml/2009/9/main" objectType="CheckBox" fmlaLink="'Sprachen &amp; Rückgabewerte(4)'!$I$13" lockText="1"/>
</file>

<file path=xl/ctrlProps/ctrlProp154.xml><?xml version="1.0" encoding="utf-8"?>
<formControlPr xmlns="http://schemas.microsoft.com/office/spreadsheetml/2009/9/main" objectType="CheckBox" fmlaLink="'Sprachen &amp; Rückgabewerte(4)'!$I$14" lockText="1"/>
</file>

<file path=xl/ctrlProps/ctrlProp155.xml><?xml version="1.0" encoding="utf-8"?>
<formControlPr xmlns="http://schemas.microsoft.com/office/spreadsheetml/2009/9/main" objectType="CheckBox" fmlaLink="'Sprachen &amp; Rückgabewerte(4)'!$I$5" lockText="1"/>
</file>

<file path=xl/ctrlProps/ctrlProp156.xml><?xml version="1.0" encoding="utf-8"?>
<formControlPr xmlns="http://schemas.microsoft.com/office/spreadsheetml/2009/9/main" objectType="CheckBox" fmlaLink="'Sprachen &amp; Rückgabewerte(4)'!$I$6" lockText="1"/>
</file>

<file path=xl/ctrlProps/ctrlProp157.xml><?xml version="1.0" encoding="utf-8"?>
<formControlPr xmlns="http://schemas.microsoft.com/office/spreadsheetml/2009/9/main" objectType="CheckBox" checked="Checked" fmlaLink="'Sprachen &amp; Rückgabewerte(4)'!$C$37" lockText="1"/>
</file>

<file path=xl/ctrlProps/ctrlProp158.xml><?xml version="1.0" encoding="utf-8"?>
<formControlPr xmlns="http://schemas.microsoft.com/office/spreadsheetml/2009/9/main" objectType="CheckBox" checked="Checked" fmlaLink="'Sprachen &amp; Rückgabewerte(4)'!$C$38" lockText="1"/>
</file>

<file path=xl/ctrlProps/ctrlProp159.xml><?xml version="1.0" encoding="utf-8"?>
<formControlPr xmlns="http://schemas.microsoft.com/office/spreadsheetml/2009/9/main" objectType="CheckBox" fmlaLink="'Sprachen &amp; Rückgabewerte(4)'!$C$39" lockText="1"/>
</file>

<file path=xl/ctrlProps/ctrlProp16.xml><?xml version="1.0" encoding="utf-8"?>
<formControlPr xmlns="http://schemas.microsoft.com/office/spreadsheetml/2009/9/main" objectType="CheckBox" checked="Checked" fmlaLink="'Sprachen &amp; Rückgabewerte'!$C$37" lockText="1"/>
</file>

<file path=xl/ctrlProps/ctrlProp160.xml><?xml version="1.0" encoding="utf-8"?>
<formControlPr xmlns="http://schemas.microsoft.com/office/spreadsheetml/2009/9/main" objectType="CheckBox" fmlaLink="'Sprachen &amp; Rückgabewerte(4)'!$C$40" lockText="1"/>
</file>

<file path=xl/ctrlProps/ctrlProp161.xml><?xml version="1.0" encoding="utf-8"?>
<formControlPr xmlns="http://schemas.microsoft.com/office/spreadsheetml/2009/9/main" objectType="CheckBox" fmlaLink="'Sprachen &amp; Rückgabewerte(4)'!$I$50" lockText="1"/>
</file>

<file path=xl/ctrlProps/ctrlProp162.xml><?xml version="1.0" encoding="utf-8"?>
<formControlPr xmlns="http://schemas.microsoft.com/office/spreadsheetml/2009/9/main" objectType="CheckBox" fmlaLink="'Sprachen &amp; Rückgabewerte(4)'!$I$51" lockText="1"/>
</file>

<file path=xl/ctrlProps/ctrlProp163.xml><?xml version="1.0" encoding="utf-8"?>
<formControlPr xmlns="http://schemas.microsoft.com/office/spreadsheetml/2009/9/main" objectType="CheckBox" fmlaLink="'Sprachen &amp; Rückgabewerte(4)'!$I$110" lockText="1"/>
</file>

<file path=xl/ctrlProps/ctrlProp164.xml><?xml version="1.0" encoding="utf-8"?>
<formControlPr xmlns="http://schemas.microsoft.com/office/spreadsheetml/2009/9/main" objectType="CheckBox" fmlaLink="'Sprachen &amp; Rückgabewerte(4)'!$I$111" lockText="1"/>
</file>

<file path=xl/ctrlProps/ctrlProp165.xml><?xml version="1.0" encoding="utf-8"?>
<formControlPr xmlns="http://schemas.microsoft.com/office/spreadsheetml/2009/9/main" objectType="CheckBox" fmlaLink="'Sprachen &amp; Rückgabewerte(4)'!$C$41" lockText="1"/>
</file>

<file path=xl/ctrlProps/ctrlProp166.xml><?xml version="1.0" encoding="utf-8"?>
<formControlPr xmlns="http://schemas.microsoft.com/office/spreadsheetml/2009/9/main" objectType="CheckBox" fmlaLink="'Sprachen &amp; Rückgabewerte(4)'!$C$42" lockText="1"/>
</file>

<file path=xl/ctrlProps/ctrlProp167.xml><?xml version="1.0" encoding="utf-8"?>
<formControlPr xmlns="http://schemas.microsoft.com/office/spreadsheetml/2009/9/main" objectType="CheckBox" fmlaLink="'Sprachen &amp; Rückgabewerte(4)'!$C$43" lockText="1"/>
</file>

<file path=xl/ctrlProps/ctrlProp168.xml><?xml version="1.0" encoding="utf-8"?>
<formControlPr xmlns="http://schemas.microsoft.com/office/spreadsheetml/2009/9/main" objectType="CheckBox" fmlaLink="'Sprachen &amp; Rückgabewerte(4)'!$C$44" lockText="1"/>
</file>

<file path=xl/ctrlProps/ctrlProp169.xml><?xml version="1.0" encoding="utf-8"?>
<formControlPr xmlns="http://schemas.microsoft.com/office/spreadsheetml/2009/9/main" objectType="CheckBox" fmlaLink="'Sprachen &amp; Rückgabewerte(4)'!$C$45" lockText="1"/>
</file>

<file path=xl/ctrlProps/ctrlProp17.xml><?xml version="1.0" encoding="utf-8"?>
<formControlPr xmlns="http://schemas.microsoft.com/office/spreadsheetml/2009/9/main" objectType="CheckBox" checked="Checked" fmlaLink="'Sprachen &amp; Rückgabewerte'!$C$38" lockText="1"/>
</file>

<file path=xl/ctrlProps/ctrlProp170.xml><?xml version="1.0" encoding="utf-8"?>
<formControlPr xmlns="http://schemas.microsoft.com/office/spreadsheetml/2009/9/main" objectType="CheckBox" fmlaLink="'Sprachen &amp; Rückgabewerte(4)'!$C$46" lockText="1"/>
</file>

<file path=xl/ctrlProps/ctrlProp171.xml><?xml version="1.0" encoding="utf-8"?>
<formControlPr xmlns="http://schemas.microsoft.com/office/spreadsheetml/2009/9/main" objectType="CheckBox" fmlaLink="'Sprachen &amp; Rückgabewerte(4)'!$C$47" lockText="1"/>
</file>

<file path=xl/ctrlProps/ctrlProp172.xml><?xml version="1.0" encoding="utf-8"?>
<formControlPr xmlns="http://schemas.microsoft.com/office/spreadsheetml/2009/9/main" objectType="CheckBox" fmlaLink="'Sprachen &amp; Rückgabewerte(4)'!$C$50" lockText="1"/>
</file>

<file path=xl/ctrlProps/ctrlProp173.xml><?xml version="1.0" encoding="utf-8"?>
<formControlPr xmlns="http://schemas.microsoft.com/office/spreadsheetml/2009/9/main" objectType="CheckBox" fmlaLink="'Sprachen &amp; Rückgabewerte(4)'!$C$48" lockText="1"/>
</file>

<file path=xl/ctrlProps/ctrlProp174.xml><?xml version="1.0" encoding="utf-8"?>
<formControlPr xmlns="http://schemas.microsoft.com/office/spreadsheetml/2009/9/main" objectType="CheckBox" fmlaLink="'Sprachen &amp; Rückgabewerte(4)'!$C$49" lockText="1"/>
</file>

<file path=xl/ctrlProps/ctrlProp175.xml><?xml version="1.0" encoding="utf-8"?>
<formControlPr xmlns="http://schemas.microsoft.com/office/spreadsheetml/2009/9/main" objectType="CheckBox" fmlaLink="'Sprachen &amp; Rückgabewerte(4)'!$C$57" lockText="1"/>
</file>

<file path=xl/ctrlProps/ctrlProp176.xml><?xml version="1.0" encoding="utf-8"?>
<formControlPr xmlns="http://schemas.microsoft.com/office/spreadsheetml/2009/9/main" objectType="CheckBox" fmlaLink="'Sprachen &amp; Rückgabewerte(4)'!$C$58" lockText="1"/>
</file>

<file path=xl/ctrlProps/ctrlProp177.xml><?xml version="1.0" encoding="utf-8"?>
<formControlPr xmlns="http://schemas.microsoft.com/office/spreadsheetml/2009/9/main" objectType="CheckBox" fmlaLink="'Sprachen &amp; Rückgabewerte(4)'!$C$55" lockText="1"/>
</file>

<file path=xl/ctrlProps/ctrlProp178.xml><?xml version="1.0" encoding="utf-8"?>
<formControlPr xmlns="http://schemas.microsoft.com/office/spreadsheetml/2009/9/main" objectType="CheckBox" fmlaLink="'Sprachen &amp; Rückgabewerte(4)'!$C$56" lockText="1"/>
</file>

<file path=xl/ctrlProps/ctrlProp179.xml><?xml version="1.0" encoding="utf-8"?>
<formControlPr xmlns="http://schemas.microsoft.com/office/spreadsheetml/2009/9/main" objectType="CheckBox" fmlaLink="'Sprachen &amp; Rückgabewerte(4)'!$C$53" lockText="1"/>
</file>

<file path=xl/ctrlProps/ctrlProp18.xml><?xml version="1.0" encoding="utf-8"?>
<formControlPr xmlns="http://schemas.microsoft.com/office/spreadsheetml/2009/9/main" objectType="CheckBox" fmlaLink="'Sprachen &amp; Rückgabewerte'!$C$39" lockText="1"/>
</file>

<file path=xl/ctrlProps/ctrlProp180.xml><?xml version="1.0" encoding="utf-8"?>
<formControlPr xmlns="http://schemas.microsoft.com/office/spreadsheetml/2009/9/main" objectType="CheckBox" fmlaLink="'Sprachen &amp; Rückgabewerte(4)'!$C$54" lockText="1"/>
</file>

<file path=xl/ctrlProps/ctrlProp181.xml><?xml version="1.0" encoding="utf-8"?>
<formControlPr xmlns="http://schemas.microsoft.com/office/spreadsheetml/2009/9/main" objectType="CheckBox" fmlaLink="'Sprachen &amp; Rückgabewerte(4)'!$I$36" lockText="1"/>
</file>

<file path=xl/ctrlProps/ctrlProp182.xml><?xml version="1.0" encoding="utf-8"?>
<formControlPr xmlns="http://schemas.microsoft.com/office/spreadsheetml/2009/9/main" objectType="CheckBox" fmlaLink="'Sprachen &amp; Rückgabewerte(4)'!$I$39" lockText="1"/>
</file>

<file path=xl/ctrlProps/ctrlProp183.xml><?xml version="1.0" encoding="utf-8"?>
<formControlPr xmlns="http://schemas.microsoft.com/office/spreadsheetml/2009/9/main" objectType="CheckBox" fmlaLink="'Sprachen &amp; Rückgabewerte(4)'!$I$45" lockText="1"/>
</file>

<file path=xl/ctrlProps/ctrlProp184.xml><?xml version="1.0" encoding="utf-8"?>
<formControlPr xmlns="http://schemas.microsoft.com/office/spreadsheetml/2009/9/main" objectType="CheckBox" fmlaLink="'Sprachen &amp; Rückgabewerte(4)'!$I$71" lockText="1"/>
</file>

<file path=xl/ctrlProps/ctrlProp185.xml><?xml version="1.0" encoding="utf-8"?>
<formControlPr xmlns="http://schemas.microsoft.com/office/spreadsheetml/2009/9/main" objectType="CheckBox" fmlaLink="'Sprachen &amp; Rückgabewerte(4)'!$C$60" lockText="1"/>
</file>

<file path=xl/ctrlProps/ctrlProp186.xml><?xml version="1.0" encoding="utf-8"?>
<formControlPr xmlns="http://schemas.microsoft.com/office/spreadsheetml/2009/9/main" objectType="CheckBox" fmlaLink="'Sprachen &amp; Rückgabewerte(4)'!$C$61" lockText="1"/>
</file>

<file path=xl/ctrlProps/ctrlProp187.xml><?xml version="1.0" encoding="utf-8"?>
<formControlPr xmlns="http://schemas.microsoft.com/office/spreadsheetml/2009/9/main" objectType="CheckBox" fmlaLink="'Sprachen &amp; Rückgabewerte(4)'!$C$62" lockText="1"/>
</file>

<file path=xl/ctrlProps/ctrlProp188.xml><?xml version="1.0" encoding="utf-8"?>
<formControlPr xmlns="http://schemas.microsoft.com/office/spreadsheetml/2009/9/main" objectType="CheckBox" fmlaLink="'Sprachen &amp; Rückgabewerte(4)'!$C$63" lockText="1"/>
</file>

<file path=xl/ctrlProps/ctrlProp189.xml><?xml version="1.0" encoding="utf-8"?>
<formControlPr xmlns="http://schemas.microsoft.com/office/spreadsheetml/2009/9/main" objectType="Drop" dropStyle="combo" dx="16" fmlaLink="'Sprachen &amp; Rückgabewerte(5)'!$B$3:$B$6" fmlaRange="'Sprachen &amp; Rückgabewerte(5)'!$C$3:$C$6" sel="1" val="0"/>
</file>

<file path=xl/ctrlProps/ctrlProp19.xml><?xml version="1.0" encoding="utf-8"?>
<formControlPr xmlns="http://schemas.microsoft.com/office/spreadsheetml/2009/9/main" objectType="CheckBox" fmlaLink="'Sprachen &amp; Rückgabewerte'!$C$40" lockText="1"/>
</file>

<file path=xl/ctrlProps/ctrlProp190.xml><?xml version="1.0" encoding="utf-8"?>
<formControlPr xmlns="http://schemas.microsoft.com/office/spreadsheetml/2009/9/main" objectType="CheckBox" fmlaLink="'Sprachen &amp; Rückgabewerte(5)'!$I$30" lockText="1"/>
</file>

<file path=xl/ctrlProps/ctrlProp191.xml><?xml version="1.0" encoding="utf-8"?>
<formControlPr xmlns="http://schemas.microsoft.com/office/spreadsheetml/2009/9/main" objectType="CheckBox" fmlaLink="'Sprachen &amp; Rückgabewerte(5)'!$I$31" lockText="1"/>
</file>

<file path=xl/ctrlProps/ctrlProp192.xml><?xml version="1.0" encoding="utf-8"?>
<formControlPr xmlns="http://schemas.microsoft.com/office/spreadsheetml/2009/9/main" objectType="CheckBox" fmlaLink="'Sprachen &amp; Rückgabewerte(5)'!$I$17" lockText="1"/>
</file>

<file path=xl/ctrlProps/ctrlProp193.xml><?xml version="1.0" encoding="utf-8"?>
<formControlPr xmlns="http://schemas.microsoft.com/office/spreadsheetml/2009/9/main" objectType="CheckBox" fmlaLink="'Sprachen &amp; Rückgabewerte(5)'!$I$18" lockText="1"/>
</file>

<file path=xl/ctrlProps/ctrlProp194.xml><?xml version="1.0" encoding="utf-8"?>
<formControlPr xmlns="http://schemas.microsoft.com/office/spreadsheetml/2009/9/main" objectType="CheckBox" fmlaLink="'Sprachen &amp; Rückgabewerte(5)'!$I$20" lockText="1"/>
</file>

<file path=xl/ctrlProps/ctrlProp195.xml><?xml version="1.0" encoding="utf-8"?>
<formControlPr xmlns="http://schemas.microsoft.com/office/spreadsheetml/2009/9/main" objectType="CheckBox" fmlaLink="'Sprachen &amp; Rückgabewerte(5)'!$I$22" lockText="1"/>
</file>

<file path=xl/ctrlProps/ctrlProp196.xml><?xml version="1.0" encoding="utf-8"?>
<formControlPr xmlns="http://schemas.microsoft.com/office/spreadsheetml/2009/9/main" objectType="CheckBox" fmlaLink="'Sprachen &amp; Rückgabewerte(5)'!$I$15" lockText="1"/>
</file>

<file path=xl/ctrlProps/ctrlProp197.xml><?xml version="1.0" encoding="utf-8"?>
<formControlPr xmlns="http://schemas.microsoft.com/office/spreadsheetml/2009/9/main" objectType="CheckBox" fmlaLink="'Sprachen &amp; Rückgabewerte(5)'!$I$25" lockText="1"/>
</file>

<file path=xl/ctrlProps/ctrlProp198.xml><?xml version="1.0" encoding="utf-8"?>
<formControlPr xmlns="http://schemas.microsoft.com/office/spreadsheetml/2009/9/main" objectType="CheckBox" fmlaLink="'Sprachen &amp; Rückgabewerte(5)'!$I$10" lockText="1"/>
</file>

<file path=xl/ctrlProps/ctrlProp199.xml><?xml version="1.0" encoding="utf-8"?>
<formControlPr xmlns="http://schemas.microsoft.com/office/spreadsheetml/2009/9/main" objectType="CheckBox" fmlaLink="'Sprachen &amp; Rückgabewerte(5)'!$I$11" lockText="1"/>
</file>

<file path=xl/ctrlProps/ctrlProp2.xml><?xml version="1.0" encoding="utf-8"?>
<formControlPr xmlns="http://schemas.microsoft.com/office/spreadsheetml/2009/9/main" objectType="CheckBox" fmlaLink="'Sprachen &amp; Rückgabewerte'!$I$30" lockText="1"/>
</file>

<file path=xl/ctrlProps/ctrlProp20.xml><?xml version="1.0" encoding="utf-8"?>
<formControlPr xmlns="http://schemas.microsoft.com/office/spreadsheetml/2009/9/main" objectType="CheckBox" fmlaLink="'Sprachen &amp; Rückgabewerte'!$I$50" lockText="1"/>
</file>

<file path=xl/ctrlProps/ctrlProp200.xml><?xml version="1.0" encoding="utf-8"?>
<formControlPr xmlns="http://schemas.microsoft.com/office/spreadsheetml/2009/9/main" objectType="CheckBox" fmlaLink="'Sprachen &amp; Rückgabewerte(5)'!$I$13" lockText="1"/>
</file>

<file path=xl/ctrlProps/ctrlProp201.xml><?xml version="1.0" encoding="utf-8"?>
<formControlPr xmlns="http://schemas.microsoft.com/office/spreadsheetml/2009/9/main" objectType="CheckBox" fmlaLink="'Sprachen &amp; Rückgabewerte(5)'!$I$14" lockText="1"/>
</file>

<file path=xl/ctrlProps/ctrlProp202.xml><?xml version="1.0" encoding="utf-8"?>
<formControlPr xmlns="http://schemas.microsoft.com/office/spreadsheetml/2009/9/main" objectType="CheckBox" fmlaLink="'Sprachen &amp; Rückgabewerte(5)'!$I$5" lockText="1"/>
</file>

<file path=xl/ctrlProps/ctrlProp203.xml><?xml version="1.0" encoding="utf-8"?>
<formControlPr xmlns="http://schemas.microsoft.com/office/spreadsheetml/2009/9/main" objectType="CheckBox" fmlaLink="'Sprachen &amp; Rückgabewerte(5)'!$I$6" lockText="1"/>
</file>

<file path=xl/ctrlProps/ctrlProp204.xml><?xml version="1.0" encoding="utf-8"?>
<formControlPr xmlns="http://schemas.microsoft.com/office/spreadsheetml/2009/9/main" objectType="CheckBox" checked="Checked" fmlaLink="'Sprachen &amp; Rückgabewerte(5)'!$C$37" lockText="1"/>
</file>

<file path=xl/ctrlProps/ctrlProp205.xml><?xml version="1.0" encoding="utf-8"?>
<formControlPr xmlns="http://schemas.microsoft.com/office/spreadsheetml/2009/9/main" objectType="CheckBox" checked="Checked" fmlaLink="'Sprachen &amp; Rückgabewerte(5)'!$C$38" lockText="1"/>
</file>

<file path=xl/ctrlProps/ctrlProp206.xml><?xml version="1.0" encoding="utf-8"?>
<formControlPr xmlns="http://schemas.microsoft.com/office/spreadsheetml/2009/9/main" objectType="CheckBox" fmlaLink="'Sprachen &amp; Rückgabewerte(5)'!$C$39" lockText="1"/>
</file>

<file path=xl/ctrlProps/ctrlProp207.xml><?xml version="1.0" encoding="utf-8"?>
<formControlPr xmlns="http://schemas.microsoft.com/office/spreadsheetml/2009/9/main" objectType="CheckBox" fmlaLink="'Sprachen &amp; Rückgabewerte(5)'!$C$40" lockText="1"/>
</file>

<file path=xl/ctrlProps/ctrlProp208.xml><?xml version="1.0" encoding="utf-8"?>
<formControlPr xmlns="http://schemas.microsoft.com/office/spreadsheetml/2009/9/main" objectType="CheckBox" fmlaLink="'Sprachen &amp; Rückgabewerte(5)'!$I$50" lockText="1"/>
</file>

<file path=xl/ctrlProps/ctrlProp209.xml><?xml version="1.0" encoding="utf-8"?>
<formControlPr xmlns="http://schemas.microsoft.com/office/spreadsheetml/2009/9/main" objectType="CheckBox" fmlaLink="'Sprachen &amp; Rückgabewerte(5)'!$I$51" lockText="1"/>
</file>

<file path=xl/ctrlProps/ctrlProp21.xml><?xml version="1.0" encoding="utf-8"?>
<formControlPr xmlns="http://schemas.microsoft.com/office/spreadsheetml/2009/9/main" objectType="CheckBox" fmlaLink="'Sprachen &amp; Rückgabewerte'!$I$51" lockText="1"/>
</file>

<file path=xl/ctrlProps/ctrlProp210.xml><?xml version="1.0" encoding="utf-8"?>
<formControlPr xmlns="http://schemas.microsoft.com/office/spreadsheetml/2009/9/main" objectType="CheckBox" fmlaLink="'Sprachen &amp; Rückgabewerte(5)'!$I$110" lockText="1"/>
</file>

<file path=xl/ctrlProps/ctrlProp211.xml><?xml version="1.0" encoding="utf-8"?>
<formControlPr xmlns="http://schemas.microsoft.com/office/spreadsheetml/2009/9/main" objectType="CheckBox" fmlaLink="'Sprachen &amp; Rückgabewerte(5)'!$I$111" lockText="1"/>
</file>

<file path=xl/ctrlProps/ctrlProp212.xml><?xml version="1.0" encoding="utf-8"?>
<formControlPr xmlns="http://schemas.microsoft.com/office/spreadsheetml/2009/9/main" objectType="CheckBox" fmlaLink="'Sprachen &amp; Rückgabewerte(5)'!$C$41" lockText="1"/>
</file>

<file path=xl/ctrlProps/ctrlProp213.xml><?xml version="1.0" encoding="utf-8"?>
<formControlPr xmlns="http://schemas.microsoft.com/office/spreadsheetml/2009/9/main" objectType="CheckBox" fmlaLink="'Sprachen &amp; Rückgabewerte(5)'!$C$42" lockText="1"/>
</file>

<file path=xl/ctrlProps/ctrlProp214.xml><?xml version="1.0" encoding="utf-8"?>
<formControlPr xmlns="http://schemas.microsoft.com/office/spreadsheetml/2009/9/main" objectType="CheckBox" fmlaLink="'Sprachen &amp; Rückgabewerte(5)'!$C$43" lockText="1"/>
</file>

<file path=xl/ctrlProps/ctrlProp215.xml><?xml version="1.0" encoding="utf-8"?>
<formControlPr xmlns="http://schemas.microsoft.com/office/spreadsheetml/2009/9/main" objectType="CheckBox" fmlaLink="'Sprachen &amp; Rückgabewerte(5)'!$C$44" lockText="1"/>
</file>

<file path=xl/ctrlProps/ctrlProp216.xml><?xml version="1.0" encoding="utf-8"?>
<formControlPr xmlns="http://schemas.microsoft.com/office/spreadsheetml/2009/9/main" objectType="CheckBox" fmlaLink="'Sprachen &amp; Rückgabewerte(5)'!$C$45" lockText="1"/>
</file>

<file path=xl/ctrlProps/ctrlProp217.xml><?xml version="1.0" encoding="utf-8"?>
<formControlPr xmlns="http://schemas.microsoft.com/office/spreadsheetml/2009/9/main" objectType="CheckBox" fmlaLink="'Sprachen &amp; Rückgabewerte(5)'!$C$46" lockText="1"/>
</file>

<file path=xl/ctrlProps/ctrlProp218.xml><?xml version="1.0" encoding="utf-8"?>
<formControlPr xmlns="http://schemas.microsoft.com/office/spreadsheetml/2009/9/main" objectType="CheckBox" fmlaLink="'Sprachen &amp; Rückgabewerte(5)'!$C$47" lockText="1"/>
</file>

<file path=xl/ctrlProps/ctrlProp219.xml><?xml version="1.0" encoding="utf-8"?>
<formControlPr xmlns="http://schemas.microsoft.com/office/spreadsheetml/2009/9/main" objectType="CheckBox" fmlaLink="'Sprachen &amp; Rückgabewerte(5)'!$C$50" lockText="1"/>
</file>

<file path=xl/ctrlProps/ctrlProp22.xml><?xml version="1.0" encoding="utf-8"?>
<formControlPr xmlns="http://schemas.microsoft.com/office/spreadsheetml/2009/9/main" objectType="CheckBox" fmlaLink="'Sprachen &amp; Rückgabewerte'!$I$110" lockText="1"/>
</file>

<file path=xl/ctrlProps/ctrlProp220.xml><?xml version="1.0" encoding="utf-8"?>
<formControlPr xmlns="http://schemas.microsoft.com/office/spreadsheetml/2009/9/main" objectType="CheckBox" fmlaLink="'Sprachen &amp; Rückgabewerte(5)'!$C$48" lockText="1"/>
</file>

<file path=xl/ctrlProps/ctrlProp221.xml><?xml version="1.0" encoding="utf-8"?>
<formControlPr xmlns="http://schemas.microsoft.com/office/spreadsheetml/2009/9/main" objectType="CheckBox" fmlaLink="'Sprachen &amp; Rückgabewerte(5)'!$C$49" lockText="1"/>
</file>

<file path=xl/ctrlProps/ctrlProp222.xml><?xml version="1.0" encoding="utf-8"?>
<formControlPr xmlns="http://schemas.microsoft.com/office/spreadsheetml/2009/9/main" objectType="CheckBox" fmlaLink="'Sprachen &amp; Rückgabewerte(5)'!$C$57" lockText="1"/>
</file>

<file path=xl/ctrlProps/ctrlProp223.xml><?xml version="1.0" encoding="utf-8"?>
<formControlPr xmlns="http://schemas.microsoft.com/office/spreadsheetml/2009/9/main" objectType="CheckBox" fmlaLink="'Sprachen &amp; Rückgabewerte(5)'!$C$58" lockText="1"/>
</file>

<file path=xl/ctrlProps/ctrlProp224.xml><?xml version="1.0" encoding="utf-8"?>
<formControlPr xmlns="http://schemas.microsoft.com/office/spreadsheetml/2009/9/main" objectType="CheckBox" fmlaLink="'Sprachen &amp; Rückgabewerte(5)'!$C$55" lockText="1"/>
</file>

<file path=xl/ctrlProps/ctrlProp225.xml><?xml version="1.0" encoding="utf-8"?>
<formControlPr xmlns="http://schemas.microsoft.com/office/spreadsheetml/2009/9/main" objectType="CheckBox" fmlaLink="'Sprachen &amp; Rückgabewerte(5)'!$C$56" lockText="1"/>
</file>

<file path=xl/ctrlProps/ctrlProp226.xml><?xml version="1.0" encoding="utf-8"?>
<formControlPr xmlns="http://schemas.microsoft.com/office/spreadsheetml/2009/9/main" objectType="CheckBox" fmlaLink="'Sprachen &amp; Rückgabewerte(5)'!$C$53" lockText="1"/>
</file>

<file path=xl/ctrlProps/ctrlProp227.xml><?xml version="1.0" encoding="utf-8"?>
<formControlPr xmlns="http://schemas.microsoft.com/office/spreadsheetml/2009/9/main" objectType="CheckBox" fmlaLink="'Sprachen &amp; Rückgabewerte(5)'!$C$54" lockText="1"/>
</file>

<file path=xl/ctrlProps/ctrlProp228.xml><?xml version="1.0" encoding="utf-8"?>
<formControlPr xmlns="http://schemas.microsoft.com/office/spreadsheetml/2009/9/main" objectType="CheckBox" fmlaLink="'Sprachen &amp; Rückgabewerte(5)'!$I$36" lockText="1"/>
</file>

<file path=xl/ctrlProps/ctrlProp229.xml><?xml version="1.0" encoding="utf-8"?>
<formControlPr xmlns="http://schemas.microsoft.com/office/spreadsheetml/2009/9/main" objectType="CheckBox" fmlaLink="'Sprachen &amp; Rückgabewerte(5)'!$I$39" lockText="1"/>
</file>

<file path=xl/ctrlProps/ctrlProp23.xml><?xml version="1.0" encoding="utf-8"?>
<formControlPr xmlns="http://schemas.microsoft.com/office/spreadsheetml/2009/9/main" objectType="CheckBox" fmlaLink="'Sprachen &amp; Rückgabewerte'!$I$111" lockText="1"/>
</file>

<file path=xl/ctrlProps/ctrlProp230.xml><?xml version="1.0" encoding="utf-8"?>
<formControlPr xmlns="http://schemas.microsoft.com/office/spreadsheetml/2009/9/main" objectType="CheckBox" fmlaLink="'Sprachen &amp; Rückgabewerte(5)'!$I$45" lockText="1"/>
</file>

<file path=xl/ctrlProps/ctrlProp231.xml><?xml version="1.0" encoding="utf-8"?>
<formControlPr xmlns="http://schemas.microsoft.com/office/spreadsheetml/2009/9/main" objectType="CheckBox" fmlaLink="'Sprachen &amp; Rückgabewerte(5)'!$I$71" lockText="1"/>
</file>

<file path=xl/ctrlProps/ctrlProp232.xml><?xml version="1.0" encoding="utf-8"?>
<formControlPr xmlns="http://schemas.microsoft.com/office/spreadsheetml/2009/9/main" objectType="CheckBox" fmlaLink="'Sprachen &amp; Rückgabewerte(5)'!$C$60" lockText="1"/>
</file>

<file path=xl/ctrlProps/ctrlProp233.xml><?xml version="1.0" encoding="utf-8"?>
<formControlPr xmlns="http://schemas.microsoft.com/office/spreadsheetml/2009/9/main" objectType="CheckBox" fmlaLink="'Sprachen &amp; Rückgabewerte(5)'!$C$61" lockText="1"/>
</file>

<file path=xl/ctrlProps/ctrlProp234.xml><?xml version="1.0" encoding="utf-8"?>
<formControlPr xmlns="http://schemas.microsoft.com/office/spreadsheetml/2009/9/main" objectType="CheckBox" fmlaLink="'Sprachen &amp; Rückgabewerte(5)'!$C$62" lockText="1"/>
</file>

<file path=xl/ctrlProps/ctrlProp235.xml><?xml version="1.0" encoding="utf-8"?>
<formControlPr xmlns="http://schemas.microsoft.com/office/spreadsheetml/2009/9/main" objectType="CheckBox" fmlaLink="'Sprachen &amp; Rückgabewerte(5)'!$C$63" lockText="1"/>
</file>

<file path=xl/ctrlProps/ctrlProp24.xml><?xml version="1.0" encoding="utf-8"?>
<formControlPr xmlns="http://schemas.microsoft.com/office/spreadsheetml/2009/9/main" objectType="CheckBox" fmlaLink="'Sprachen &amp; Rückgabewerte'!$C$41" lockText="1"/>
</file>

<file path=xl/ctrlProps/ctrlProp25.xml><?xml version="1.0" encoding="utf-8"?>
<formControlPr xmlns="http://schemas.microsoft.com/office/spreadsheetml/2009/9/main" objectType="CheckBox" fmlaLink="'Sprachen &amp; Rückgabewerte'!$C$42" lockText="1"/>
</file>

<file path=xl/ctrlProps/ctrlProp26.xml><?xml version="1.0" encoding="utf-8"?>
<formControlPr xmlns="http://schemas.microsoft.com/office/spreadsheetml/2009/9/main" objectType="CheckBox" fmlaLink="'Sprachen &amp; Rückgabewerte'!$C$43" lockText="1"/>
</file>

<file path=xl/ctrlProps/ctrlProp27.xml><?xml version="1.0" encoding="utf-8"?>
<formControlPr xmlns="http://schemas.microsoft.com/office/spreadsheetml/2009/9/main" objectType="CheckBox" fmlaLink="'Sprachen &amp; Rückgabewerte'!$C$44" lockText="1"/>
</file>

<file path=xl/ctrlProps/ctrlProp28.xml><?xml version="1.0" encoding="utf-8"?>
<formControlPr xmlns="http://schemas.microsoft.com/office/spreadsheetml/2009/9/main" objectType="CheckBox" fmlaLink="'Sprachen &amp; Rückgabewerte'!$C$45" lockText="1"/>
</file>

<file path=xl/ctrlProps/ctrlProp29.xml><?xml version="1.0" encoding="utf-8"?>
<formControlPr xmlns="http://schemas.microsoft.com/office/spreadsheetml/2009/9/main" objectType="CheckBox" fmlaLink="'Sprachen &amp; Rückgabewerte'!$C$46" lockText="1"/>
</file>

<file path=xl/ctrlProps/ctrlProp3.xml><?xml version="1.0" encoding="utf-8"?>
<formControlPr xmlns="http://schemas.microsoft.com/office/spreadsheetml/2009/9/main" objectType="CheckBox" fmlaLink="'Sprachen &amp; Rückgabewerte'!$I$31" lockText="1"/>
</file>

<file path=xl/ctrlProps/ctrlProp30.xml><?xml version="1.0" encoding="utf-8"?>
<formControlPr xmlns="http://schemas.microsoft.com/office/spreadsheetml/2009/9/main" objectType="CheckBox" fmlaLink="'Sprachen &amp; Rückgabewerte'!$C$47" lockText="1"/>
</file>

<file path=xl/ctrlProps/ctrlProp31.xml><?xml version="1.0" encoding="utf-8"?>
<formControlPr xmlns="http://schemas.microsoft.com/office/spreadsheetml/2009/9/main" objectType="CheckBox" fmlaLink="'Sprachen &amp; Rückgabewerte'!$C$50" lockText="1"/>
</file>

<file path=xl/ctrlProps/ctrlProp32.xml><?xml version="1.0" encoding="utf-8"?>
<formControlPr xmlns="http://schemas.microsoft.com/office/spreadsheetml/2009/9/main" objectType="CheckBox" fmlaLink="'Sprachen &amp; Rückgabewerte'!$C$48" lockText="1"/>
</file>

<file path=xl/ctrlProps/ctrlProp33.xml><?xml version="1.0" encoding="utf-8"?>
<formControlPr xmlns="http://schemas.microsoft.com/office/spreadsheetml/2009/9/main" objectType="CheckBox" fmlaLink="'Sprachen &amp; Rückgabewerte'!$C$49" lockText="1"/>
</file>

<file path=xl/ctrlProps/ctrlProp34.xml><?xml version="1.0" encoding="utf-8"?>
<formControlPr xmlns="http://schemas.microsoft.com/office/spreadsheetml/2009/9/main" objectType="CheckBox" fmlaLink="'Sprachen &amp; Rückgabewerte'!$C$57" lockText="1"/>
</file>

<file path=xl/ctrlProps/ctrlProp35.xml><?xml version="1.0" encoding="utf-8"?>
<formControlPr xmlns="http://schemas.microsoft.com/office/spreadsheetml/2009/9/main" objectType="CheckBox" fmlaLink="'Sprachen &amp; Rückgabewerte'!$C$58" lockText="1"/>
</file>

<file path=xl/ctrlProps/ctrlProp36.xml><?xml version="1.0" encoding="utf-8"?>
<formControlPr xmlns="http://schemas.microsoft.com/office/spreadsheetml/2009/9/main" objectType="CheckBox" fmlaLink="'Sprachen &amp; Rückgabewerte'!$C$55" lockText="1"/>
</file>

<file path=xl/ctrlProps/ctrlProp37.xml><?xml version="1.0" encoding="utf-8"?>
<formControlPr xmlns="http://schemas.microsoft.com/office/spreadsheetml/2009/9/main" objectType="CheckBox" fmlaLink="'Sprachen &amp; Rückgabewerte'!$C$56" lockText="1"/>
</file>

<file path=xl/ctrlProps/ctrlProp38.xml><?xml version="1.0" encoding="utf-8"?>
<formControlPr xmlns="http://schemas.microsoft.com/office/spreadsheetml/2009/9/main" objectType="CheckBox" fmlaLink="'Sprachen &amp; Rückgabewerte'!$C$53" lockText="1"/>
</file>

<file path=xl/ctrlProps/ctrlProp39.xml><?xml version="1.0" encoding="utf-8"?>
<formControlPr xmlns="http://schemas.microsoft.com/office/spreadsheetml/2009/9/main" objectType="CheckBox" fmlaLink="'Sprachen &amp; Rückgabewerte'!$C$54" lockText="1"/>
</file>

<file path=xl/ctrlProps/ctrlProp4.xml><?xml version="1.0" encoding="utf-8"?>
<formControlPr xmlns="http://schemas.microsoft.com/office/spreadsheetml/2009/9/main" objectType="CheckBox" fmlaLink="'Sprachen &amp; Rückgabewerte'!$I$17" lockText="1"/>
</file>

<file path=xl/ctrlProps/ctrlProp40.xml><?xml version="1.0" encoding="utf-8"?>
<formControlPr xmlns="http://schemas.microsoft.com/office/spreadsheetml/2009/9/main" objectType="CheckBox" fmlaLink="'Sprachen &amp; Rückgabewerte'!$I$36" lockText="1"/>
</file>

<file path=xl/ctrlProps/ctrlProp41.xml><?xml version="1.0" encoding="utf-8"?>
<formControlPr xmlns="http://schemas.microsoft.com/office/spreadsheetml/2009/9/main" objectType="CheckBox" fmlaLink="'Sprachen &amp; Rückgabewerte'!$I$39" lockText="1"/>
</file>

<file path=xl/ctrlProps/ctrlProp42.xml><?xml version="1.0" encoding="utf-8"?>
<formControlPr xmlns="http://schemas.microsoft.com/office/spreadsheetml/2009/9/main" objectType="CheckBox" fmlaLink="'Sprachen &amp; Rückgabewerte'!$I$45" lockText="1"/>
</file>

<file path=xl/ctrlProps/ctrlProp43.xml><?xml version="1.0" encoding="utf-8"?>
<formControlPr xmlns="http://schemas.microsoft.com/office/spreadsheetml/2009/9/main" objectType="CheckBox" fmlaLink="'Sprachen &amp; Rückgabewerte'!$I$71" lockText="1"/>
</file>

<file path=xl/ctrlProps/ctrlProp44.xml><?xml version="1.0" encoding="utf-8"?>
<formControlPr xmlns="http://schemas.microsoft.com/office/spreadsheetml/2009/9/main" objectType="CheckBox" fmlaLink="'Sprachen &amp; Rückgabewerte'!$C$60" lockText="1"/>
</file>

<file path=xl/ctrlProps/ctrlProp45.xml><?xml version="1.0" encoding="utf-8"?>
<formControlPr xmlns="http://schemas.microsoft.com/office/spreadsheetml/2009/9/main" objectType="CheckBox" fmlaLink="'Sprachen &amp; Rückgabewerte'!$C$61" lockText="1"/>
</file>

<file path=xl/ctrlProps/ctrlProp46.xml><?xml version="1.0" encoding="utf-8"?>
<formControlPr xmlns="http://schemas.microsoft.com/office/spreadsheetml/2009/9/main" objectType="CheckBox" fmlaLink="'Sprachen &amp; Rückgabewerte'!$C$62" lockText="1"/>
</file>

<file path=xl/ctrlProps/ctrlProp47.xml><?xml version="1.0" encoding="utf-8"?>
<formControlPr xmlns="http://schemas.microsoft.com/office/spreadsheetml/2009/9/main" objectType="CheckBox" fmlaLink="'Sprachen &amp; Rückgabewerte'!$C$63" lockText="1"/>
</file>

<file path=xl/ctrlProps/ctrlProp48.xml><?xml version="1.0" encoding="utf-8"?>
<formControlPr xmlns="http://schemas.microsoft.com/office/spreadsheetml/2009/9/main" objectType="Drop" dropStyle="combo" dx="16" fmlaLink="'Sprachen &amp; Rückgabewerte(2)'!$B$3:$B$6" fmlaRange="'Sprachen &amp; Rückgabewerte(2)'!$C$3:$C$6" sel="1" val="0"/>
</file>

<file path=xl/ctrlProps/ctrlProp49.xml><?xml version="1.0" encoding="utf-8"?>
<formControlPr xmlns="http://schemas.microsoft.com/office/spreadsheetml/2009/9/main" objectType="CheckBox" fmlaLink="'Sprachen &amp; Rückgabewerte(2)'!$I$30" lockText="1"/>
</file>

<file path=xl/ctrlProps/ctrlProp5.xml><?xml version="1.0" encoding="utf-8"?>
<formControlPr xmlns="http://schemas.microsoft.com/office/spreadsheetml/2009/9/main" objectType="CheckBox" fmlaLink="'Sprachen &amp; Rückgabewerte'!$I$18" lockText="1"/>
</file>

<file path=xl/ctrlProps/ctrlProp50.xml><?xml version="1.0" encoding="utf-8"?>
<formControlPr xmlns="http://schemas.microsoft.com/office/spreadsheetml/2009/9/main" objectType="CheckBox" fmlaLink="'Sprachen &amp; Rückgabewerte(2)'!$I$31" lockText="1"/>
</file>

<file path=xl/ctrlProps/ctrlProp51.xml><?xml version="1.0" encoding="utf-8"?>
<formControlPr xmlns="http://schemas.microsoft.com/office/spreadsheetml/2009/9/main" objectType="CheckBox" fmlaLink="'Sprachen &amp; Rückgabewerte(2)'!$I$17" lockText="1"/>
</file>

<file path=xl/ctrlProps/ctrlProp52.xml><?xml version="1.0" encoding="utf-8"?>
<formControlPr xmlns="http://schemas.microsoft.com/office/spreadsheetml/2009/9/main" objectType="CheckBox" fmlaLink="'Sprachen &amp; Rückgabewerte(2)'!$I$18" lockText="1"/>
</file>

<file path=xl/ctrlProps/ctrlProp53.xml><?xml version="1.0" encoding="utf-8"?>
<formControlPr xmlns="http://schemas.microsoft.com/office/spreadsheetml/2009/9/main" objectType="CheckBox" fmlaLink="'Sprachen &amp; Rückgabewerte(2)'!$I$20" lockText="1"/>
</file>

<file path=xl/ctrlProps/ctrlProp54.xml><?xml version="1.0" encoding="utf-8"?>
<formControlPr xmlns="http://schemas.microsoft.com/office/spreadsheetml/2009/9/main" objectType="CheckBox" fmlaLink="'Sprachen &amp; Rückgabewerte(2)'!$I$22" lockText="1"/>
</file>

<file path=xl/ctrlProps/ctrlProp55.xml><?xml version="1.0" encoding="utf-8"?>
<formControlPr xmlns="http://schemas.microsoft.com/office/spreadsheetml/2009/9/main" objectType="CheckBox" fmlaLink="'Sprachen &amp; Rückgabewerte(2)'!$I$15" lockText="1"/>
</file>

<file path=xl/ctrlProps/ctrlProp56.xml><?xml version="1.0" encoding="utf-8"?>
<formControlPr xmlns="http://schemas.microsoft.com/office/spreadsheetml/2009/9/main" objectType="CheckBox" fmlaLink="'Sprachen &amp; Rückgabewerte(2)'!$I$25" lockText="1"/>
</file>

<file path=xl/ctrlProps/ctrlProp57.xml><?xml version="1.0" encoding="utf-8"?>
<formControlPr xmlns="http://schemas.microsoft.com/office/spreadsheetml/2009/9/main" objectType="CheckBox" fmlaLink="'Sprachen &amp; Rückgabewerte(2)'!$I$10" lockText="1"/>
</file>

<file path=xl/ctrlProps/ctrlProp58.xml><?xml version="1.0" encoding="utf-8"?>
<formControlPr xmlns="http://schemas.microsoft.com/office/spreadsheetml/2009/9/main" objectType="CheckBox" fmlaLink="'Sprachen &amp; Rückgabewerte(2)'!$I$11" lockText="1"/>
</file>

<file path=xl/ctrlProps/ctrlProp59.xml><?xml version="1.0" encoding="utf-8"?>
<formControlPr xmlns="http://schemas.microsoft.com/office/spreadsheetml/2009/9/main" objectType="CheckBox" fmlaLink="'Sprachen &amp; Rückgabewerte(2)'!$I$13" lockText="1"/>
</file>

<file path=xl/ctrlProps/ctrlProp6.xml><?xml version="1.0" encoding="utf-8"?>
<formControlPr xmlns="http://schemas.microsoft.com/office/spreadsheetml/2009/9/main" objectType="CheckBox" fmlaLink="'Sprachen &amp; Rückgabewerte'!$I$20" lockText="1"/>
</file>

<file path=xl/ctrlProps/ctrlProp60.xml><?xml version="1.0" encoding="utf-8"?>
<formControlPr xmlns="http://schemas.microsoft.com/office/spreadsheetml/2009/9/main" objectType="CheckBox" fmlaLink="'Sprachen &amp; Rückgabewerte(2)'!$I$14" lockText="1"/>
</file>

<file path=xl/ctrlProps/ctrlProp61.xml><?xml version="1.0" encoding="utf-8"?>
<formControlPr xmlns="http://schemas.microsoft.com/office/spreadsheetml/2009/9/main" objectType="CheckBox" fmlaLink="'Sprachen &amp; Rückgabewerte(2)'!$I$5" lockText="1"/>
</file>

<file path=xl/ctrlProps/ctrlProp62.xml><?xml version="1.0" encoding="utf-8"?>
<formControlPr xmlns="http://schemas.microsoft.com/office/spreadsheetml/2009/9/main" objectType="CheckBox" fmlaLink="'Sprachen &amp; Rückgabewerte(2)'!$I$6" lockText="1"/>
</file>

<file path=xl/ctrlProps/ctrlProp63.xml><?xml version="1.0" encoding="utf-8"?>
<formControlPr xmlns="http://schemas.microsoft.com/office/spreadsheetml/2009/9/main" objectType="CheckBox" checked="Checked" fmlaLink="'Sprachen &amp; Rückgabewerte(2)'!$C$37" lockText="1"/>
</file>

<file path=xl/ctrlProps/ctrlProp64.xml><?xml version="1.0" encoding="utf-8"?>
<formControlPr xmlns="http://schemas.microsoft.com/office/spreadsheetml/2009/9/main" objectType="CheckBox" checked="Checked" fmlaLink="'Sprachen &amp; Rückgabewerte(2)'!$C$38" lockText="1"/>
</file>

<file path=xl/ctrlProps/ctrlProp65.xml><?xml version="1.0" encoding="utf-8"?>
<formControlPr xmlns="http://schemas.microsoft.com/office/spreadsheetml/2009/9/main" objectType="CheckBox" fmlaLink="'Sprachen &amp; Rückgabewerte(2)'!$C$39" lockText="1"/>
</file>

<file path=xl/ctrlProps/ctrlProp66.xml><?xml version="1.0" encoding="utf-8"?>
<formControlPr xmlns="http://schemas.microsoft.com/office/spreadsheetml/2009/9/main" objectType="CheckBox" fmlaLink="'Sprachen &amp; Rückgabewerte(2)'!$C$40" lockText="1"/>
</file>

<file path=xl/ctrlProps/ctrlProp67.xml><?xml version="1.0" encoding="utf-8"?>
<formControlPr xmlns="http://schemas.microsoft.com/office/spreadsheetml/2009/9/main" objectType="CheckBox" fmlaLink="'Sprachen &amp; Rückgabewerte(2)'!$I$50" lockText="1"/>
</file>

<file path=xl/ctrlProps/ctrlProp68.xml><?xml version="1.0" encoding="utf-8"?>
<formControlPr xmlns="http://schemas.microsoft.com/office/spreadsheetml/2009/9/main" objectType="CheckBox" fmlaLink="'Sprachen &amp; Rückgabewerte(2)'!$I$51" lockText="1"/>
</file>

<file path=xl/ctrlProps/ctrlProp69.xml><?xml version="1.0" encoding="utf-8"?>
<formControlPr xmlns="http://schemas.microsoft.com/office/spreadsheetml/2009/9/main" objectType="CheckBox" fmlaLink="'Sprachen &amp; Rückgabewerte(2)'!$I$110" lockText="1"/>
</file>

<file path=xl/ctrlProps/ctrlProp7.xml><?xml version="1.0" encoding="utf-8"?>
<formControlPr xmlns="http://schemas.microsoft.com/office/spreadsheetml/2009/9/main" objectType="CheckBox" fmlaLink="'Sprachen &amp; Rückgabewerte'!$I$22" lockText="1"/>
</file>

<file path=xl/ctrlProps/ctrlProp70.xml><?xml version="1.0" encoding="utf-8"?>
<formControlPr xmlns="http://schemas.microsoft.com/office/spreadsheetml/2009/9/main" objectType="CheckBox" fmlaLink="'Sprachen &amp; Rückgabewerte(2)'!$I$111" lockText="1"/>
</file>

<file path=xl/ctrlProps/ctrlProp71.xml><?xml version="1.0" encoding="utf-8"?>
<formControlPr xmlns="http://schemas.microsoft.com/office/spreadsheetml/2009/9/main" objectType="CheckBox" fmlaLink="'Sprachen &amp; Rückgabewerte(2)'!$C$41" lockText="1"/>
</file>

<file path=xl/ctrlProps/ctrlProp72.xml><?xml version="1.0" encoding="utf-8"?>
<formControlPr xmlns="http://schemas.microsoft.com/office/spreadsheetml/2009/9/main" objectType="CheckBox" fmlaLink="'Sprachen &amp; Rückgabewerte(2)'!$C$42" lockText="1"/>
</file>

<file path=xl/ctrlProps/ctrlProp73.xml><?xml version="1.0" encoding="utf-8"?>
<formControlPr xmlns="http://schemas.microsoft.com/office/spreadsheetml/2009/9/main" objectType="CheckBox" fmlaLink="'Sprachen &amp; Rückgabewerte(2)'!$C$43" lockText="1"/>
</file>

<file path=xl/ctrlProps/ctrlProp74.xml><?xml version="1.0" encoding="utf-8"?>
<formControlPr xmlns="http://schemas.microsoft.com/office/spreadsheetml/2009/9/main" objectType="CheckBox" fmlaLink="'Sprachen &amp; Rückgabewerte(2)'!$C$44" lockText="1"/>
</file>

<file path=xl/ctrlProps/ctrlProp75.xml><?xml version="1.0" encoding="utf-8"?>
<formControlPr xmlns="http://schemas.microsoft.com/office/spreadsheetml/2009/9/main" objectType="CheckBox" fmlaLink="'Sprachen &amp; Rückgabewerte(2)'!$C$45" lockText="1"/>
</file>

<file path=xl/ctrlProps/ctrlProp76.xml><?xml version="1.0" encoding="utf-8"?>
<formControlPr xmlns="http://schemas.microsoft.com/office/spreadsheetml/2009/9/main" objectType="CheckBox" fmlaLink="'Sprachen &amp; Rückgabewerte(2)'!$C$46" lockText="1"/>
</file>

<file path=xl/ctrlProps/ctrlProp77.xml><?xml version="1.0" encoding="utf-8"?>
<formControlPr xmlns="http://schemas.microsoft.com/office/spreadsheetml/2009/9/main" objectType="CheckBox" fmlaLink="'Sprachen &amp; Rückgabewerte(2)'!$C$47" lockText="1"/>
</file>

<file path=xl/ctrlProps/ctrlProp78.xml><?xml version="1.0" encoding="utf-8"?>
<formControlPr xmlns="http://schemas.microsoft.com/office/spreadsheetml/2009/9/main" objectType="CheckBox" fmlaLink="'Sprachen &amp; Rückgabewerte(2)'!$C$50" lockText="1"/>
</file>

<file path=xl/ctrlProps/ctrlProp79.xml><?xml version="1.0" encoding="utf-8"?>
<formControlPr xmlns="http://schemas.microsoft.com/office/spreadsheetml/2009/9/main" objectType="CheckBox" fmlaLink="'Sprachen &amp; Rückgabewerte(2)'!$C$48" lockText="1"/>
</file>

<file path=xl/ctrlProps/ctrlProp8.xml><?xml version="1.0" encoding="utf-8"?>
<formControlPr xmlns="http://schemas.microsoft.com/office/spreadsheetml/2009/9/main" objectType="CheckBox" fmlaLink="'Sprachen &amp; Rückgabewerte'!$I$15" lockText="1"/>
</file>

<file path=xl/ctrlProps/ctrlProp80.xml><?xml version="1.0" encoding="utf-8"?>
<formControlPr xmlns="http://schemas.microsoft.com/office/spreadsheetml/2009/9/main" objectType="CheckBox" fmlaLink="'Sprachen &amp; Rückgabewerte(2)'!$C$49" lockText="1"/>
</file>

<file path=xl/ctrlProps/ctrlProp81.xml><?xml version="1.0" encoding="utf-8"?>
<formControlPr xmlns="http://schemas.microsoft.com/office/spreadsheetml/2009/9/main" objectType="CheckBox" fmlaLink="'Sprachen &amp; Rückgabewerte(2)'!$C$57" lockText="1"/>
</file>

<file path=xl/ctrlProps/ctrlProp82.xml><?xml version="1.0" encoding="utf-8"?>
<formControlPr xmlns="http://schemas.microsoft.com/office/spreadsheetml/2009/9/main" objectType="CheckBox" fmlaLink="'Sprachen &amp; Rückgabewerte(2)'!$C$58" lockText="1"/>
</file>

<file path=xl/ctrlProps/ctrlProp83.xml><?xml version="1.0" encoding="utf-8"?>
<formControlPr xmlns="http://schemas.microsoft.com/office/spreadsheetml/2009/9/main" objectType="CheckBox" fmlaLink="'Sprachen &amp; Rückgabewerte(2)'!$C$55" lockText="1"/>
</file>

<file path=xl/ctrlProps/ctrlProp84.xml><?xml version="1.0" encoding="utf-8"?>
<formControlPr xmlns="http://schemas.microsoft.com/office/spreadsheetml/2009/9/main" objectType="CheckBox" fmlaLink="'Sprachen &amp; Rückgabewerte(2)'!$C$56" lockText="1"/>
</file>

<file path=xl/ctrlProps/ctrlProp85.xml><?xml version="1.0" encoding="utf-8"?>
<formControlPr xmlns="http://schemas.microsoft.com/office/spreadsheetml/2009/9/main" objectType="CheckBox" fmlaLink="'Sprachen &amp; Rückgabewerte(2)'!$C$53" lockText="1"/>
</file>

<file path=xl/ctrlProps/ctrlProp86.xml><?xml version="1.0" encoding="utf-8"?>
<formControlPr xmlns="http://schemas.microsoft.com/office/spreadsheetml/2009/9/main" objectType="CheckBox" fmlaLink="'Sprachen &amp; Rückgabewerte(2)'!$C$54" lockText="1"/>
</file>

<file path=xl/ctrlProps/ctrlProp87.xml><?xml version="1.0" encoding="utf-8"?>
<formControlPr xmlns="http://schemas.microsoft.com/office/spreadsheetml/2009/9/main" objectType="CheckBox" fmlaLink="'Sprachen &amp; Rückgabewerte(2)'!$I$36" lockText="1"/>
</file>

<file path=xl/ctrlProps/ctrlProp88.xml><?xml version="1.0" encoding="utf-8"?>
<formControlPr xmlns="http://schemas.microsoft.com/office/spreadsheetml/2009/9/main" objectType="CheckBox" fmlaLink="'Sprachen &amp; Rückgabewerte(2)'!$I$39" lockText="1"/>
</file>

<file path=xl/ctrlProps/ctrlProp89.xml><?xml version="1.0" encoding="utf-8"?>
<formControlPr xmlns="http://schemas.microsoft.com/office/spreadsheetml/2009/9/main" objectType="CheckBox" fmlaLink="'Sprachen &amp; Rückgabewerte(2)'!$I$45" lockText="1"/>
</file>

<file path=xl/ctrlProps/ctrlProp9.xml><?xml version="1.0" encoding="utf-8"?>
<formControlPr xmlns="http://schemas.microsoft.com/office/spreadsheetml/2009/9/main" objectType="CheckBox" fmlaLink="'Sprachen &amp; Rückgabewerte'!$I$25" lockText="1"/>
</file>

<file path=xl/ctrlProps/ctrlProp90.xml><?xml version="1.0" encoding="utf-8"?>
<formControlPr xmlns="http://schemas.microsoft.com/office/spreadsheetml/2009/9/main" objectType="CheckBox" fmlaLink="'Sprachen &amp; Rückgabewerte(2)'!$I$71" lockText="1"/>
</file>

<file path=xl/ctrlProps/ctrlProp91.xml><?xml version="1.0" encoding="utf-8"?>
<formControlPr xmlns="http://schemas.microsoft.com/office/spreadsheetml/2009/9/main" objectType="CheckBox" fmlaLink="'Sprachen &amp; Rückgabewerte(2)'!$C$60" lockText="1"/>
</file>

<file path=xl/ctrlProps/ctrlProp92.xml><?xml version="1.0" encoding="utf-8"?>
<formControlPr xmlns="http://schemas.microsoft.com/office/spreadsheetml/2009/9/main" objectType="CheckBox" fmlaLink="'Sprachen &amp; Rückgabewerte(2)'!$C$61" lockText="1"/>
</file>

<file path=xl/ctrlProps/ctrlProp93.xml><?xml version="1.0" encoding="utf-8"?>
<formControlPr xmlns="http://schemas.microsoft.com/office/spreadsheetml/2009/9/main" objectType="CheckBox" fmlaLink="'Sprachen &amp; Rückgabewerte(2)'!$C$62" lockText="1"/>
</file>

<file path=xl/ctrlProps/ctrlProp94.xml><?xml version="1.0" encoding="utf-8"?>
<formControlPr xmlns="http://schemas.microsoft.com/office/spreadsheetml/2009/9/main" objectType="CheckBox" fmlaLink="'Sprachen &amp; Rückgabewerte(2)'!$C$63" lockText="1"/>
</file>

<file path=xl/ctrlProps/ctrlProp95.xml><?xml version="1.0" encoding="utf-8"?>
<formControlPr xmlns="http://schemas.microsoft.com/office/spreadsheetml/2009/9/main" objectType="Drop" dropStyle="combo" dx="16" fmlaLink="'Sprachen &amp; Rückgabewerte(3)'!$B$3:$B$6" fmlaRange="'Sprachen &amp; Rückgabewerte(3)'!$C$3:$C$6" sel="1" val="0"/>
</file>

<file path=xl/ctrlProps/ctrlProp96.xml><?xml version="1.0" encoding="utf-8"?>
<formControlPr xmlns="http://schemas.microsoft.com/office/spreadsheetml/2009/9/main" objectType="CheckBox" fmlaLink="'Sprachen &amp; Rückgabewerte(3)'!$I$30" lockText="1"/>
</file>

<file path=xl/ctrlProps/ctrlProp97.xml><?xml version="1.0" encoding="utf-8"?>
<formControlPr xmlns="http://schemas.microsoft.com/office/spreadsheetml/2009/9/main" objectType="CheckBox" fmlaLink="'Sprachen &amp; Rückgabewerte(3)'!$I$31" lockText="1"/>
</file>

<file path=xl/ctrlProps/ctrlProp98.xml><?xml version="1.0" encoding="utf-8"?>
<formControlPr xmlns="http://schemas.microsoft.com/office/spreadsheetml/2009/9/main" objectType="CheckBox" fmlaLink="'Sprachen &amp; Rückgabewerte(3)'!$I$17" lockText="1"/>
</file>

<file path=xl/ctrlProps/ctrlProp99.xml><?xml version="1.0" encoding="utf-8"?>
<formControlPr xmlns="http://schemas.microsoft.com/office/spreadsheetml/2009/9/main" objectType="CheckBox" fmlaLink="'Sprachen &amp; Rückgabewerte(3)'!$I$18"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openxmlformats.org/officeDocument/2006/relationships/image" Target="../media/image14.tif"/><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jpeg"/><Relationship Id="rId33" Type="http://schemas.openxmlformats.org/officeDocument/2006/relationships/image" Target="../media/image18.png"/><Relationship Id="rId38" Type="http://schemas.microsoft.com/office/2007/relationships/hdphoto" Target="../media/hdphoto17.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tif"/><Relationship Id="rId41" Type="http://schemas.openxmlformats.org/officeDocument/2006/relationships/image" Target="../media/image22.png"/><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4.wdp"/><Relationship Id="rId37" Type="http://schemas.openxmlformats.org/officeDocument/2006/relationships/image" Target="../media/image20.png"/><Relationship Id="rId40" Type="http://schemas.microsoft.com/office/2007/relationships/hdphoto" Target="../media/hdphoto18.wdp"/><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3.wdp"/><Relationship Id="rId36" Type="http://schemas.microsoft.com/office/2007/relationships/hdphoto" Target="../media/hdphoto16.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microsoft.com/office/2007/relationships/hdphoto" Target="../media/hdphoto20.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openxmlformats.org/officeDocument/2006/relationships/hyperlink" Target="http://b2b.sky-frame.ch/b2b/" TargetMode="External"/><Relationship Id="rId35" Type="http://schemas.openxmlformats.org/officeDocument/2006/relationships/image" Target="../media/image19.png"/><Relationship Id="rId43" Type="http://schemas.openxmlformats.org/officeDocument/2006/relationships/image" Target="../media/image23.png"/></Relationships>
</file>

<file path=xl/drawings/_rels/drawing3.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openxmlformats.org/officeDocument/2006/relationships/image" Target="../media/image14.tif"/><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jpeg"/><Relationship Id="rId33" Type="http://schemas.openxmlformats.org/officeDocument/2006/relationships/image" Target="../media/image18.png"/><Relationship Id="rId38" Type="http://schemas.microsoft.com/office/2007/relationships/hdphoto" Target="../media/hdphoto17.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tif"/><Relationship Id="rId41" Type="http://schemas.openxmlformats.org/officeDocument/2006/relationships/image" Target="../media/image22.png"/><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4.wdp"/><Relationship Id="rId37" Type="http://schemas.openxmlformats.org/officeDocument/2006/relationships/image" Target="../media/image20.png"/><Relationship Id="rId40" Type="http://schemas.microsoft.com/office/2007/relationships/hdphoto" Target="../media/hdphoto18.wdp"/><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3.wdp"/><Relationship Id="rId36" Type="http://schemas.microsoft.com/office/2007/relationships/hdphoto" Target="../media/hdphoto16.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microsoft.com/office/2007/relationships/hdphoto" Target="../media/hdphoto20.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openxmlformats.org/officeDocument/2006/relationships/hyperlink" Target="http://b2b.sky-frame.ch/b2b/" TargetMode="External"/><Relationship Id="rId35" Type="http://schemas.openxmlformats.org/officeDocument/2006/relationships/image" Target="../media/image19.png"/><Relationship Id="rId43"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openxmlformats.org/officeDocument/2006/relationships/image" Target="../media/image14.tif"/><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jpeg"/><Relationship Id="rId33" Type="http://schemas.openxmlformats.org/officeDocument/2006/relationships/image" Target="../media/image18.png"/><Relationship Id="rId38" Type="http://schemas.microsoft.com/office/2007/relationships/hdphoto" Target="../media/hdphoto17.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tif"/><Relationship Id="rId41" Type="http://schemas.openxmlformats.org/officeDocument/2006/relationships/image" Target="../media/image22.png"/><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4.wdp"/><Relationship Id="rId37" Type="http://schemas.openxmlformats.org/officeDocument/2006/relationships/image" Target="../media/image20.png"/><Relationship Id="rId40" Type="http://schemas.microsoft.com/office/2007/relationships/hdphoto" Target="../media/hdphoto18.wdp"/><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3.wdp"/><Relationship Id="rId36" Type="http://schemas.microsoft.com/office/2007/relationships/hdphoto" Target="../media/hdphoto16.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microsoft.com/office/2007/relationships/hdphoto" Target="../media/hdphoto20.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openxmlformats.org/officeDocument/2006/relationships/hyperlink" Target="http://b2b.sky-frame.ch/b2b/" TargetMode="External"/><Relationship Id="rId35" Type="http://schemas.openxmlformats.org/officeDocument/2006/relationships/image" Target="../media/image19.png"/><Relationship Id="rId43" Type="http://schemas.openxmlformats.org/officeDocument/2006/relationships/image" Target="../media/image23.png"/></Relationships>
</file>

<file path=xl/drawings/_rels/drawing5.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openxmlformats.org/officeDocument/2006/relationships/image" Target="../media/image14.tif"/><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jpeg"/><Relationship Id="rId33" Type="http://schemas.openxmlformats.org/officeDocument/2006/relationships/image" Target="../media/image18.png"/><Relationship Id="rId38" Type="http://schemas.microsoft.com/office/2007/relationships/hdphoto" Target="../media/hdphoto17.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tif"/><Relationship Id="rId41" Type="http://schemas.openxmlformats.org/officeDocument/2006/relationships/image" Target="../media/image22.png"/><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4.wdp"/><Relationship Id="rId37" Type="http://schemas.openxmlformats.org/officeDocument/2006/relationships/image" Target="../media/image20.png"/><Relationship Id="rId40" Type="http://schemas.microsoft.com/office/2007/relationships/hdphoto" Target="../media/hdphoto18.wdp"/><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3.wdp"/><Relationship Id="rId36" Type="http://schemas.microsoft.com/office/2007/relationships/hdphoto" Target="../media/hdphoto16.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microsoft.com/office/2007/relationships/hdphoto" Target="../media/hdphoto20.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openxmlformats.org/officeDocument/2006/relationships/hyperlink" Target="http://b2b.sky-frame.ch/b2b/" TargetMode="External"/><Relationship Id="rId35" Type="http://schemas.openxmlformats.org/officeDocument/2006/relationships/image" Target="../media/image19.png"/><Relationship Id="rId43" Type="http://schemas.openxmlformats.org/officeDocument/2006/relationships/image" Target="../media/image23.png"/></Relationships>
</file>

<file path=xl/drawings/_rels/drawing6.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openxmlformats.org/officeDocument/2006/relationships/image" Target="../media/image14.tif"/><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jpeg"/><Relationship Id="rId33" Type="http://schemas.openxmlformats.org/officeDocument/2006/relationships/image" Target="../media/image18.png"/><Relationship Id="rId38" Type="http://schemas.microsoft.com/office/2007/relationships/hdphoto" Target="../media/hdphoto17.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tif"/><Relationship Id="rId41" Type="http://schemas.openxmlformats.org/officeDocument/2006/relationships/image" Target="../media/image22.png"/><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4.wdp"/><Relationship Id="rId37" Type="http://schemas.openxmlformats.org/officeDocument/2006/relationships/image" Target="../media/image20.png"/><Relationship Id="rId40" Type="http://schemas.microsoft.com/office/2007/relationships/hdphoto" Target="../media/hdphoto18.wdp"/><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3.wdp"/><Relationship Id="rId36" Type="http://schemas.microsoft.com/office/2007/relationships/hdphoto" Target="../media/hdphoto16.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microsoft.com/office/2007/relationships/hdphoto" Target="../media/hdphoto20.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openxmlformats.org/officeDocument/2006/relationships/hyperlink" Target="http://b2b.sky-frame.ch/b2b/" TargetMode="External"/><Relationship Id="rId35" Type="http://schemas.openxmlformats.org/officeDocument/2006/relationships/image" Target="../media/image19.png"/><Relationship Id="rId43" Type="http://schemas.openxmlformats.org/officeDocument/2006/relationships/image" Target="../media/image23.png"/></Relationships>
</file>

<file path=xl/drawings/_rels/drawing7.xml.rels><?xml version="1.0" encoding="UTF-8" standalone="yes"?>
<Relationships xmlns="http://schemas.openxmlformats.org/package/2006/relationships"><Relationship Id="rId8" Type="http://schemas.openxmlformats.org/officeDocument/2006/relationships/image" Target="../media/image29.png"/><Relationship Id="rId3" Type="http://schemas.microsoft.com/office/2007/relationships/hdphoto" Target="../media/hdphoto21.wdp"/><Relationship Id="rId7" Type="http://schemas.openxmlformats.org/officeDocument/2006/relationships/image" Target="../media/image28.png"/><Relationship Id="rId12" Type="http://schemas.openxmlformats.org/officeDocument/2006/relationships/image" Target="../media/image32.png"/><Relationship Id="rId2" Type="http://schemas.openxmlformats.org/officeDocument/2006/relationships/image" Target="../media/image24.png"/><Relationship Id="rId1" Type="http://schemas.openxmlformats.org/officeDocument/2006/relationships/image" Target="../media/image1.jpeg"/><Relationship Id="rId6" Type="http://schemas.openxmlformats.org/officeDocument/2006/relationships/image" Target="../media/image27.png"/><Relationship Id="rId11" Type="http://schemas.openxmlformats.org/officeDocument/2006/relationships/image" Target="../media/image31.png"/><Relationship Id="rId5" Type="http://schemas.openxmlformats.org/officeDocument/2006/relationships/image" Target="../media/image26.png"/><Relationship Id="rId10" Type="http://schemas.microsoft.com/office/2007/relationships/hdphoto" Target="../media/hdphoto22.wdp"/><Relationship Id="rId4" Type="http://schemas.openxmlformats.org/officeDocument/2006/relationships/image" Target="../media/image25.png"/><Relationship Id="rId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xdr:row>
      <xdr:rowOff>145677</xdr:rowOff>
    </xdr:from>
    <xdr:to>
      <xdr:col>5</xdr:col>
      <xdr:colOff>437030</xdr:colOff>
      <xdr:row>2</xdr:row>
      <xdr:rowOff>313068</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76326" y="317127"/>
          <a:ext cx="2723029" cy="338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155411</xdr:colOff>
      <xdr:row>61</xdr:row>
      <xdr:rowOff>35094</xdr:rowOff>
    </xdr:from>
    <xdr:to>
      <xdr:col>45</xdr:col>
      <xdr:colOff>139037</xdr:colOff>
      <xdr:row>67</xdr:row>
      <xdr:rowOff>135776</xdr:rowOff>
    </xdr:to>
    <xdr:pic>
      <xdr:nvPicPr>
        <xdr:cNvPr id="55" name="Grafik 54">
          <a:extLst>
            <a:ext uri="{FF2B5EF4-FFF2-40B4-BE49-F238E27FC236}">
              <a16:creationId xmlns:a16="http://schemas.microsoft.com/office/drawing/2014/main" id="{00000000-0008-0000-0300-000037000000}"/>
            </a:ext>
          </a:extLst>
        </xdr:cNvPr>
        <xdr:cNvPicPr>
          <a:picLocks noChangeAspect="1"/>
        </xdr:cNvPicPr>
      </xdr:nvPicPr>
      <xdr:blipFill rotWithShape="1">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t="22737"/>
        <a:stretch/>
      </xdr:blipFill>
      <xdr:spPr>
        <a:xfrm>
          <a:off x="7018424" y="10156660"/>
          <a:ext cx="3387560" cy="1063208"/>
        </a:xfrm>
        <a:prstGeom prst="rect">
          <a:avLst/>
        </a:prstGeom>
      </xdr:spPr>
    </xdr:pic>
    <xdr:clientData/>
  </xdr:twoCellAnchor>
  <xdr:twoCellAnchor editAs="oneCell">
    <xdr:from>
      <xdr:col>11</xdr:col>
      <xdr:colOff>156269</xdr:colOff>
      <xdr:row>86</xdr:row>
      <xdr:rowOff>42709</xdr:rowOff>
    </xdr:from>
    <xdr:to>
      <xdr:col>17</xdr:col>
      <xdr:colOff>178041</xdr:colOff>
      <xdr:row>93</xdr:row>
      <xdr:rowOff>16767</xdr:rowOff>
    </xdr:to>
    <xdr:pic>
      <xdr:nvPicPr>
        <xdr:cNvPr id="53" name="Grafik 52">
          <a:extLst>
            <a:ext uri="{FF2B5EF4-FFF2-40B4-BE49-F238E27FC236}">
              <a16:creationId xmlns:a16="http://schemas.microsoft.com/office/drawing/2014/main" id="{00000000-0008-0000-0300-000035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048861" y="14164775"/>
          <a:ext cx="1345246" cy="1097005"/>
        </a:xfrm>
        <a:prstGeom prst="rect">
          <a:avLst/>
        </a:prstGeom>
      </xdr:spPr>
    </xdr:pic>
    <xdr:clientData/>
  </xdr:twoCellAnchor>
  <xdr:twoCellAnchor editAs="oneCell">
    <xdr:from>
      <xdr:col>13</xdr:col>
      <xdr:colOff>35312</xdr:colOff>
      <xdr:row>72</xdr:row>
      <xdr:rowOff>87087</xdr:rowOff>
    </xdr:from>
    <xdr:to>
      <xdr:col>17</xdr:col>
      <xdr:colOff>51437</xdr:colOff>
      <xdr:row>82</xdr:row>
      <xdr:rowOff>105640</xdr:rowOff>
    </xdr:to>
    <xdr:pic>
      <xdr:nvPicPr>
        <xdr:cNvPr id="46" name="Grafik 45">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350012" y="12153901"/>
          <a:ext cx="886982" cy="1640524"/>
        </a:xfrm>
        <a:prstGeom prst="rect">
          <a:avLst/>
        </a:prstGeom>
      </xdr:spPr>
    </xdr:pic>
    <xdr:clientData/>
  </xdr:twoCellAnchor>
  <xdr:twoCellAnchor editAs="oneCell">
    <xdr:from>
      <xdr:col>23</xdr:col>
      <xdr:colOff>50316</xdr:colOff>
      <xdr:row>61</xdr:row>
      <xdr:rowOff>76201</xdr:rowOff>
    </xdr:from>
    <xdr:to>
      <xdr:col>26</xdr:col>
      <xdr:colOff>176663</xdr:colOff>
      <xdr:row>69</xdr:row>
      <xdr:rowOff>136073</xdr:rowOff>
    </xdr:to>
    <xdr:pic>
      <xdr:nvPicPr>
        <xdr:cNvPr id="39" name="Grafik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5542159" y="10346872"/>
          <a:ext cx="779490" cy="1366158"/>
        </a:xfrm>
        <a:prstGeom prst="rect">
          <a:avLst/>
        </a:prstGeom>
      </xdr:spPr>
    </xdr:pic>
    <xdr:clientData/>
  </xdr:twoCellAnchor>
  <xdr:twoCellAnchor editAs="oneCell">
    <xdr:from>
      <xdr:col>10</xdr:col>
      <xdr:colOff>195196</xdr:colOff>
      <xdr:row>62</xdr:row>
      <xdr:rowOff>0</xdr:rowOff>
    </xdr:from>
    <xdr:to>
      <xdr:col>14</xdr:col>
      <xdr:colOff>179360</xdr:colOff>
      <xdr:row>69</xdr:row>
      <xdr:rowOff>32654</xdr:rowOff>
    </xdr:to>
    <xdr:pic>
      <xdr:nvPicPr>
        <xdr:cNvPr id="31" name="Grafik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2856753" y="10433957"/>
          <a:ext cx="855021" cy="1175655"/>
        </a:xfrm>
        <a:prstGeom prst="rect">
          <a:avLst/>
        </a:prstGeom>
      </xdr:spPr>
    </xdr:pic>
    <xdr:clientData/>
  </xdr:twoCellAnchor>
  <xdr:twoCellAnchor editAs="oneCell">
    <xdr:from>
      <xdr:col>16</xdr:col>
      <xdr:colOff>0</xdr:colOff>
      <xdr:row>45</xdr:row>
      <xdr:rowOff>48283</xdr:rowOff>
    </xdr:from>
    <xdr:to>
      <xdr:col>22</xdr:col>
      <xdr:colOff>196453</xdr:colOff>
      <xdr:row>58</xdr:row>
      <xdr:rowOff>128124</xdr:rowOff>
    </xdr:to>
    <xdr:pic>
      <xdr:nvPicPr>
        <xdr:cNvPr id="25" name="Grafik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94547" y="7632564"/>
          <a:ext cx="1518047" cy="2169389"/>
        </a:xfrm>
        <a:prstGeom prst="rect">
          <a:avLst/>
        </a:prstGeom>
      </xdr:spPr>
    </xdr:pic>
    <xdr:clientData/>
  </xdr:twoCellAnchor>
  <xdr:twoCellAnchor editAs="oneCell">
    <xdr:from>
      <xdr:col>16</xdr:col>
      <xdr:colOff>23812</xdr:colOff>
      <xdr:row>35</xdr:row>
      <xdr:rowOff>86816</xdr:rowOff>
    </xdr:from>
    <xdr:to>
      <xdr:col>23</xdr:col>
      <xdr:colOff>15026</xdr:colOff>
      <xdr:row>43</xdr:row>
      <xdr:rowOff>80264</xdr:rowOff>
    </xdr:to>
    <xdr:pic>
      <xdr:nvPicPr>
        <xdr:cNvPr id="23" name="Grafik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18359" y="6063754"/>
          <a:ext cx="1533073" cy="1279323"/>
        </a:xfrm>
        <a:prstGeom prst="rect">
          <a:avLst/>
        </a:prstGeom>
      </xdr:spPr>
    </xdr:pic>
    <xdr:clientData/>
  </xdr:twoCellAnchor>
  <xdr:twoCellAnchor editAs="oneCell">
    <xdr:from>
      <xdr:col>10</xdr:col>
      <xdr:colOff>104982</xdr:colOff>
      <xdr:row>49</xdr:row>
      <xdr:rowOff>73138</xdr:rowOff>
    </xdr:from>
    <xdr:to>
      <xdr:col>14</xdr:col>
      <xdr:colOff>193839</xdr:colOff>
      <xdr:row>58</xdr:row>
      <xdr:rowOff>101203</xdr:rowOff>
    </xdr:to>
    <xdr:pic>
      <xdr:nvPicPr>
        <xdr:cNvPr id="22" name="Grafik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2777935" y="8300357"/>
          <a:ext cx="969920" cy="1474674"/>
        </a:xfrm>
        <a:prstGeom prst="rect">
          <a:avLst/>
        </a:prstGeom>
      </xdr:spPr>
    </xdr:pic>
    <xdr:clientData/>
  </xdr:twoCellAnchor>
  <xdr:twoCellAnchor editAs="oneCell">
    <xdr:from>
      <xdr:col>3</xdr:col>
      <xdr:colOff>64742</xdr:colOff>
      <xdr:row>49</xdr:row>
      <xdr:rowOff>71439</xdr:rowOff>
    </xdr:from>
    <xdr:to>
      <xdr:col>8</xdr:col>
      <xdr:colOff>72393</xdr:colOff>
      <xdr:row>58</xdr:row>
      <xdr:rowOff>95251</xdr:rowOff>
    </xdr:to>
    <xdr:pic>
      <xdr:nvPicPr>
        <xdr:cNvPr id="19" name="Grafik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1332758" y="8298658"/>
          <a:ext cx="972057" cy="1470421"/>
        </a:xfrm>
        <a:prstGeom prst="rect">
          <a:avLst/>
        </a:prstGeom>
      </xdr:spPr>
    </xdr:pic>
    <xdr:clientData/>
  </xdr:twoCellAnchor>
  <xdr:twoCellAnchor editAs="oneCell">
    <xdr:from>
      <xdr:col>12</xdr:col>
      <xdr:colOff>161337</xdr:colOff>
      <xdr:row>40</xdr:row>
      <xdr:rowOff>76061</xdr:rowOff>
    </xdr:from>
    <xdr:to>
      <xdr:col>14</xdr:col>
      <xdr:colOff>191781</xdr:colOff>
      <xdr:row>47</xdr:row>
      <xdr:rowOff>27385</xdr:rowOff>
    </xdr:to>
    <xdr:pic>
      <xdr:nvPicPr>
        <xdr:cNvPr id="125" name="Grafik 124">
          <a:extLst>
            <a:ext uri="{FF2B5EF4-FFF2-40B4-BE49-F238E27FC236}">
              <a16:creationId xmlns:a16="http://schemas.microsoft.com/office/drawing/2014/main" id="{00000000-0008-0000-0300-00007D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rot="10800000">
          <a:off x="3274821" y="6856670"/>
          <a:ext cx="470976" cy="1076465"/>
        </a:xfrm>
        <a:prstGeom prst="rect">
          <a:avLst/>
        </a:prstGeom>
      </xdr:spPr>
    </xdr:pic>
    <xdr:clientData/>
  </xdr:twoCellAnchor>
  <xdr:twoCellAnchor editAs="oneCell">
    <xdr:from>
      <xdr:col>3</xdr:col>
      <xdr:colOff>62517</xdr:colOff>
      <xdr:row>40</xdr:row>
      <xdr:rowOff>84395</xdr:rowOff>
    </xdr:from>
    <xdr:to>
      <xdr:col>6</xdr:col>
      <xdr:colOff>9618</xdr:colOff>
      <xdr:row>47</xdr:row>
      <xdr:rowOff>35719</xdr:rowOff>
    </xdr:to>
    <xdr:pic>
      <xdr:nvPicPr>
        <xdr:cNvPr id="18" name="Grafik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30533" y="6865004"/>
          <a:ext cx="470976" cy="1076465"/>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0" name="Rechteck 9">
          <a:extLst>
            <a:ext uri="{FF2B5EF4-FFF2-40B4-BE49-F238E27FC236}">
              <a16:creationId xmlns:a16="http://schemas.microsoft.com/office/drawing/2014/main" id="{00000000-0008-0000-0300-00000A000000}"/>
            </a:ext>
          </a:extLst>
        </xdr:cNvPr>
        <xdr:cNvSpPr/>
      </xdr:nvSpPr>
      <xdr:spPr>
        <a:xfrm>
          <a:off x="3666783" y="7649559"/>
          <a:ext cx="132011" cy="59060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51" name="Rechteck 50">
          <a:extLst>
            <a:ext uri="{FF2B5EF4-FFF2-40B4-BE49-F238E27FC236}">
              <a16:creationId xmlns:a16="http://schemas.microsoft.com/office/drawing/2014/main" id="{00000000-0008-0000-0300-000033000000}"/>
            </a:ext>
          </a:extLst>
        </xdr:cNvPr>
        <xdr:cNvSpPr/>
      </xdr:nvSpPr>
      <xdr:spPr>
        <a:xfrm>
          <a:off x="116824" y="7498109"/>
          <a:ext cx="189305" cy="57364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67" name="Gerader Verbinder 66">
          <a:extLst>
            <a:ext uri="{FF2B5EF4-FFF2-40B4-BE49-F238E27FC236}">
              <a16:creationId xmlns:a16="http://schemas.microsoft.com/office/drawing/2014/main" id="{00000000-0008-0000-0300-000043000000}"/>
            </a:ext>
          </a:extLst>
        </xdr:cNvPr>
        <xdr:cNvCxnSpPr/>
      </xdr:nvCxnSpPr>
      <xdr:spPr>
        <a:xfrm>
          <a:off x="131319" y="7672814"/>
          <a:ext cx="2498702"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35718</xdr:rowOff>
    </xdr:from>
    <xdr:to>
      <xdr:col>26</xdr:col>
      <xdr:colOff>111141</xdr:colOff>
      <xdr:row>58</xdr:row>
      <xdr:rowOff>78280</xdr:rowOff>
    </xdr:to>
    <xdr:cxnSp macro="">
      <xdr:nvCxnSpPr>
        <xdr:cNvPr id="72" name="Gerader Verbinder 71">
          <a:extLst>
            <a:ext uri="{FF2B5EF4-FFF2-40B4-BE49-F238E27FC236}">
              <a16:creationId xmlns:a16="http://schemas.microsoft.com/office/drawing/2014/main" id="{00000000-0008-0000-0300-000048000000}"/>
            </a:ext>
          </a:extLst>
        </xdr:cNvPr>
        <xdr:cNvCxnSpPr/>
      </xdr:nvCxnSpPr>
      <xdr:spPr>
        <a:xfrm>
          <a:off x="6308344" y="9066609"/>
          <a:ext cx="0" cy="68549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73" name="Gerader Verbinder 72">
          <a:extLst>
            <a:ext uri="{FF2B5EF4-FFF2-40B4-BE49-F238E27FC236}">
              <a16:creationId xmlns:a16="http://schemas.microsoft.com/office/drawing/2014/main" id="{00000000-0008-0000-0300-000049000000}"/>
            </a:ext>
          </a:extLst>
        </xdr:cNvPr>
        <xdr:cNvCxnSpPr/>
      </xdr:nvCxnSpPr>
      <xdr:spPr>
        <a:xfrm>
          <a:off x="4204918" y="9340736"/>
          <a:ext cx="96290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89297</xdr:rowOff>
    </xdr:to>
    <xdr:cxnSp macro="">
      <xdr:nvCxnSpPr>
        <xdr:cNvPr id="74" name="Gerader Verbinder 73">
          <a:extLst>
            <a:ext uri="{FF2B5EF4-FFF2-40B4-BE49-F238E27FC236}">
              <a16:creationId xmlns:a16="http://schemas.microsoft.com/office/drawing/2014/main" id="{00000000-0008-0000-0300-00004A000000}"/>
            </a:ext>
          </a:extLst>
        </xdr:cNvPr>
        <xdr:cNvCxnSpPr/>
      </xdr:nvCxnSpPr>
      <xdr:spPr>
        <a:xfrm>
          <a:off x="6307936" y="6049262"/>
          <a:ext cx="0" cy="291019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52</xdr:row>
      <xdr:rowOff>158658</xdr:rowOff>
    </xdr:from>
    <xdr:to>
      <xdr:col>26</xdr:col>
      <xdr:colOff>197625</xdr:colOff>
      <xdr:row>52</xdr:row>
      <xdr:rowOff>158658</xdr:rowOff>
    </xdr:to>
    <xdr:cxnSp macro="">
      <xdr:nvCxnSpPr>
        <xdr:cNvPr id="75" name="Gerader Verbinder 74">
          <a:extLst>
            <a:ext uri="{FF2B5EF4-FFF2-40B4-BE49-F238E27FC236}">
              <a16:creationId xmlns:a16="http://schemas.microsoft.com/office/drawing/2014/main" id="{00000000-0008-0000-0300-00004B000000}"/>
            </a:ext>
          </a:extLst>
        </xdr:cNvPr>
        <xdr:cNvCxnSpPr/>
      </xdr:nvCxnSpPr>
      <xdr:spPr>
        <a:xfrm>
          <a:off x="5424376" y="8868080"/>
          <a:ext cx="9704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76" name="Gerader Verbinder 75">
          <a:extLst>
            <a:ext uri="{FF2B5EF4-FFF2-40B4-BE49-F238E27FC236}">
              <a16:creationId xmlns:a16="http://schemas.microsoft.com/office/drawing/2014/main" id="{00000000-0008-0000-0300-00004C000000}"/>
            </a:ext>
          </a:extLst>
        </xdr:cNvPr>
        <xdr:cNvCxnSpPr/>
      </xdr:nvCxnSpPr>
      <xdr:spPr>
        <a:xfrm>
          <a:off x="4162579" y="5524173"/>
          <a:ext cx="95649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77" name="Gerader Verbinder 76">
          <a:extLst>
            <a:ext uri="{FF2B5EF4-FFF2-40B4-BE49-F238E27FC236}">
              <a16:creationId xmlns:a16="http://schemas.microsoft.com/office/drawing/2014/main" id="{00000000-0008-0000-0300-00004D000000}"/>
            </a:ext>
          </a:extLst>
        </xdr:cNvPr>
        <xdr:cNvCxnSpPr/>
      </xdr:nvCxnSpPr>
      <xdr:spPr>
        <a:xfrm flipV="1">
          <a:off x="5031501" y="9273571"/>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106527</xdr:rowOff>
    </xdr:from>
    <xdr:to>
      <xdr:col>26</xdr:col>
      <xdr:colOff>172696</xdr:colOff>
      <xdr:row>53</xdr:row>
      <xdr:rowOff>57006</xdr:rowOff>
    </xdr:to>
    <xdr:cxnSp macro="">
      <xdr:nvCxnSpPr>
        <xdr:cNvPr id="78" name="Gerader Verbinder 77">
          <a:extLst>
            <a:ext uri="{FF2B5EF4-FFF2-40B4-BE49-F238E27FC236}">
              <a16:creationId xmlns:a16="http://schemas.microsoft.com/office/drawing/2014/main" id="{00000000-0008-0000-0300-00004E000000}"/>
            </a:ext>
          </a:extLst>
        </xdr:cNvPr>
        <xdr:cNvCxnSpPr/>
      </xdr:nvCxnSpPr>
      <xdr:spPr>
        <a:xfrm flipV="1">
          <a:off x="6255195" y="8815949"/>
          <a:ext cx="114704" cy="11121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79" name="Gerader Verbinder 78">
          <a:extLst>
            <a:ext uri="{FF2B5EF4-FFF2-40B4-BE49-F238E27FC236}">
              <a16:creationId xmlns:a16="http://schemas.microsoft.com/office/drawing/2014/main" id="{00000000-0008-0000-0300-00004F000000}"/>
            </a:ext>
          </a:extLst>
        </xdr:cNvPr>
        <xdr:cNvCxnSpPr/>
      </xdr:nvCxnSpPr>
      <xdr:spPr>
        <a:xfrm flipV="1">
          <a:off x="4993223" y="5469220"/>
          <a:ext cx="114704" cy="1147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95250</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066" name="Grafik 2065">
          <a:extLst>
            <a:ext uri="{FF2B5EF4-FFF2-40B4-BE49-F238E27FC236}">
              <a16:creationId xmlns:a16="http://schemas.microsoft.com/office/drawing/2014/main" id="{00000000-0008-0000-0300-000012080000}"/>
            </a:ext>
          </a:extLst>
        </xdr:cNvPr>
        <xdr:cNvPicPr>
          <a:picLocks noChangeAspect="1"/>
        </xdr:cNvPicPr>
      </xdr:nvPicPr>
      <xdr:blipFill rotWithShape="1">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rcRect t="3845" b="7693"/>
        <a:stretch/>
      </xdr:blipFill>
      <xdr:spPr>
        <a:xfrm>
          <a:off x="1580027" y="5188324"/>
          <a:ext cx="1040239" cy="51547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067" name="Grafik 2066">
          <a:extLst>
            <a:ext uri="{FF2B5EF4-FFF2-40B4-BE49-F238E27FC236}">
              <a16:creationId xmlns:a16="http://schemas.microsoft.com/office/drawing/2014/main" id="{00000000-0008-0000-0300-000013080000}"/>
            </a:ext>
          </a:extLst>
        </xdr:cNvPr>
        <xdr:cNvPicPr>
          <a:picLocks noChangeAspect="1"/>
        </xdr:cNvPicPr>
      </xdr:nvPicPr>
      <xdr:blipFill>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56884" y="5177120"/>
          <a:ext cx="1030940" cy="55413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3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3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3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3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2" name="Check Box 18" hidden="1">
              <a:extLst>
                <a:ext uri="{63B3BB69-23CF-44E3-9099-C40C66FF867C}">
                  <a14:compatExt spid="_x0000_s2066"/>
                </a:ext>
                <a:ext uri="{FF2B5EF4-FFF2-40B4-BE49-F238E27FC236}">
                  <a16:creationId xmlns:a16="http://schemas.microsoft.com/office/drawing/2014/main" id="{00000000-0008-0000-03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3" name="Check Box 19" hidden="1">
              <a:extLst>
                <a:ext uri="{63B3BB69-23CF-44E3-9099-C40C66FF867C}">
                  <a14:compatExt spid="_x0000_s2067"/>
                </a:ext>
                <a:ext uri="{FF2B5EF4-FFF2-40B4-BE49-F238E27FC236}">
                  <a16:creationId xmlns:a16="http://schemas.microsoft.com/office/drawing/2014/main" id="{00000000-0008-0000-0300-000003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3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36</xdr:row>
          <xdr:rowOff>0</xdr:rowOff>
        </xdr:from>
        <xdr:to>
          <xdr:col>31</xdr:col>
          <xdr:colOff>0</xdr:colOff>
          <xdr:row>37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3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3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9525</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3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3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3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9525</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3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3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96" name="Gerader Verbinder 95">
          <a:extLst>
            <a:ext uri="{FF2B5EF4-FFF2-40B4-BE49-F238E27FC236}">
              <a16:creationId xmlns:a16="http://schemas.microsoft.com/office/drawing/2014/main" id="{00000000-0008-0000-0300-000060000000}"/>
            </a:ext>
          </a:extLst>
        </xdr:cNvPr>
        <xdr:cNvCxnSpPr/>
      </xdr:nvCxnSpPr>
      <xdr:spPr>
        <a:xfrm flipV="1">
          <a:off x="132493" y="7841673"/>
          <a:ext cx="115413" cy="11331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68" name="Gerader Verbinder 67">
          <a:extLst>
            <a:ext uri="{FF2B5EF4-FFF2-40B4-BE49-F238E27FC236}">
              <a16:creationId xmlns:a16="http://schemas.microsoft.com/office/drawing/2014/main" id="{00000000-0008-0000-0300-000044000000}"/>
            </a:ext>
          </a:extLst>
        </xdr:cNvPr>
        <xdr:cNvCxnSpPr/>
      </xdr:nvCxnSpPr>
      <xdr:spPr>
        <a:xfrm flipV="1">
          <a:off x="2445538" y="7837588"/>
          <a:ext cx="111672" cy="115609"/>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28575</xdr:colOff>
          <xdr:row>44</xdr:row>
          <xdr:rowOff>57150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3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3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3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52</xdr:row>
          <xdr:rowOff>114300</xdr:rowOff>
        </xdr:from>
        <xdr:to>
          <xdr:col>10</xdr:col>
          <xdr:colOff>114300</xdr:colOff>
          <xdr:row>53</xdr:row>
          <xdr:rowOff>114300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3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66" name="Gerader Verbinder 65">
          <a:extLst>
            <a:ext uri="{FF2B5EF4-FFF2-40B4-BE49-F238E27FC236}">
              <a16:creationId xmlns:a16="http://schemas.microsoft.com/office/drawing/2014/main" id="{00000000-0008-0000-0300-000042000000}"/>
            </a:ext>
          </a:extLst>
        </xdr:cNvPr>
        <xdr:cNvCxnSpPr/>
      </xdr:nvCxnSpPr>
      <xdr:spPr>
        <a:xfrm>
          <a:off x="2503714" y="7172296"/>
          <a:ext cx="0" cy="92123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65" name="Gerader Verbinder 64">
          <a:extLst>
            <a:ext uri="{FF2B5EF4-FFF2-40B4-BE49-F238E27FC236}">
              <a16:creationId xmlns:a16="http://schemas.microsoft.com/office/drawing/2014/main" id="{00000000-0008-0000-0300-000041000000}"/>
            </a:ext>
          </a:extLst>
        </xdr:cNvPr>
        <xdr:cNvCxnSpPr/>
      </xdr:nvCxnSpPr>
      <xdr:spPr>
        <a:xfrm>
          <a:off x="193221" y="7122647"/>
          <a:ext cx="0" cy="959996"/>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3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3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3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3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300-000045000000}"/>
            </a:ext>
          </a:extLst>
        </xdr:cNvPr>
        <xdr:cNvCxnSpPr/>
      </xdr:nvCxnSpPr>
      <xdr:spPr>
        <a:xfrm>
          <a:off x="4266661" y="7546705"/>
          <a:ext cx="23433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300-000046000000}"/>
            </a:ext>
          </a:extLst>
        </xdr:cNvPr>
        <xdr:cNvCxnSpPr/>
      </xdr:nvCxnSpPr>
      <xdr:spPr>
        <a:xfrm>
          <a:off x="4422181" y="6936988"/>
          <a:ext cx="0" cy="6830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300-000047000000}"/>
            </a:ext>
          </a:extLst>
        </xdr:cNvPr>
        <xdr:cNvCxnSpPr/>
      </xdr:nvCxnSpPr>
      <xdr:spPr>
        <a:xfrm>
          <a:off x="3897643" y="6870581"/>
          <a:ext cx="637186"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81" name="Gerader Verbinder 80">
          <a:extLst>
            <a:ext uri="{FF2B5EF4-FFF2-40B4-BE49-F238E27FC236}">
              <a16:creationId xmlns:a16="http://schemas.microsoft.com/office/drawing/2014/main" id="{00000000-0008-0000-0300-000051000000}"/>
            </a:ext>
          </a:extLst>
        </xdr:cNvPr>
        <xdr:cNvCxnSpPr/>
      </xdr:nvCxnSpPr>
      <xdr:spPr>
        <a:xfrm flipV="1">
          <a:off x="4366018" y="681248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82" name="Gerader Verbinder 81">
          <a:extLst>
            <a:ext uri="{FF2B5EF4-FFF2-40B4-BE49-F238E27FC236}">
              <a16:creationId xmlns:a16="http://schemas.microsoft.com/office/drawing/2014/main" id="{00000000-0008-0000-0300-000052000000}"/>
            </a:ext>
          </a:extLst>
        </xdr:cNvPr>
        <xdr:cNvCxnSpPr/>
      </xdr:nvCxnSpPr>
      <xdr:spPr>
        <a:xfrm flipV="1">
          <a:off x="4366018" y="748620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3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3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3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3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3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3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3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3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118" name="Rechteck 117">
          <a:extLst>
            <a:ext uri="{FF2B5EF4-FFF2-40B4-BE49-F238E27FC236}">
              <a16:creationId xmlns:a16="http://schemas.microsoft.com/office/drawing/2014/main" id="{00000000-0008-0000-0300-000076000000}"/>
            </a:ext>
          </a:extLst>
        </xdr:cNvPr>
        <xdr:cNvSpPr/>
      </xdr:nvSpPr>
      <xdr:spPr>
        <a:xfrm>
          <a:off x="4023451" y="11878234"/>
          <a:ext cx="178755" cy="48121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3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3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3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119" name="Rechteck 118">
          <a:extLst>
            <a:ext uri="{FF2B5EF4-FFF2-40B4-BE49-F238E27FC236}">
              <a16:creationId xmlns:a16="http://schemas.microsoft.com/office/drawing/2014/main" id="{00000000-0008-0000-0300-000077000000}"/>
            </a:ext>
          </a:extLst>
        </xdr:cNvPr>
        <xdr:cNvSpPr/>
      </xdr:nvSpPr>
      <xdr:spPr>
        <a:xfrm>
          <a:off x="3133704" y="12302240"/>
          <a:ext cx="191594" cy="57940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57150</xdr:colOff>
          <xdr:row>81</xdr:row>
          <xdr:rowOff>9525</xdr:rowOff>
        </xdr:from>
        <xdr:to>
          <xdr:col>14</xdr:col>
          <xdr:colOff>57150</xdr:colOff>
          <xdr:row>82</xdr:row>
          <xdr:rowOff>9525</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3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120" name="Rechteck 119">
          <a:extLst>
            <a:ext uri="{FF2B5EF4-FFF2-40B4-BE49-F238E27FC236}">
              <a16:creationId xmlns:a16="http://schemas.microsoft.com/office/drawing/2014/main" id="{00000000-0008-0000-0300-000078000000}"/>
            </a:ext>
          </a:extLst>
        </xdr:cNvPr>
        <xdr:cNvSpPr/>
      </xdr:nvSpPr>
      <xdr:spPr>
        <a:xfrm>
          <a:off x="3374631" y="10296805"/>
          <a:ext cx="172031" cy="25646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19050</xdr:colOff>
          <xdr:row>62</xdr:row>
          <xdr:rowOff>9525</xdr:rowOff>
        </xdr:from>
        <xdr:to>
          <xdr:col>14</xdr:col>
          <xdr:colOff>19050</xdr:colOff>
          <xdr:row>63</xdr:row>
          <xdr:rowOff>9525</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3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67</xdr:row>
      <xdr:rowOff>146957</xdr:rowOff>
    </xdr:from>
    <xdr:to>
      <xdr:col>12</xdr:col>
      <xdr:colOff>29135</xdr:colOff>
      <xdr:row>69</xdr:row>
      <xdr:rowOff>147276</xdr:rowOff>
    </xdr:to>
    <xdr:sp macro="" textlink="">
      <xdr:nvSpPr>
        <xdr:cNvPr id="121" name="Rechteck 120">
          <a:extLst>
            <a:ext uri="{FF2B5EF4-FFF2-40B4-BE49-F238E27FC236}">
              <a16:creationId xmlns:a16="http://schemas.microsoft.com/office/drawing/2014/main" id="{00000000-0008-0000-0300-000079000000}"/>
            </a:ext>
          </a:extLst>
        </xdr:cNvPr>
        <xdr:cNvSpPr/>
      </xdr:nvSpPr>
      <xdr:spPr>
        <a:xfrm>
          <a:off x="2960493" y="11397343"/>
          <a:ext cx="165628" cy="32689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66675</xdr:colOff>
          <xdr:row>68</xdr:row>
          <xdr:rowOff>0</xdr:rowOff>
        </xdr:from>
        <xdr:to>
          <xdr:col>12</xdr:col>
          <xdr:colOff>66675</xdr:colOff>
          <xdr:row>69</xdr:row>
          <xdr:rowOff>0</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3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28575</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3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28575</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3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7" name="Gerader Verbinder 96">
          <a:extLst>
            <a:ext uri="{FF2B5EF4-FFF2-40B4-BE49-F238E27FC236}">
              <a16:creationId xmlns:a16="http://schemas.microsoft.com/office/drawing/2014/main" id="{00000000-0008-0000-0300-000061000000}"/>
            </a:ext>
          </a:extLst>
        </xdr:cNvPr>
        <xdr:cNvCxnSpPr/>
      </xdr:nvCxnSpPr>
      <xdr:spPr>
        <a:xfrm flipV="1">
          <a:off x="1059775" y="4487896"/>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160442</xdr:colOff>
      <xdr:row>27</xdr:row>
      <xdr:rowOff>171880</xdr:rowOff>
    </xdr:from>
    <xdr:to>
      <xdr:col>8</xdr:col>
      <xdr:colOff>52827</xdr:colOff>
      <xdr:row>28</xdr:row>
      <xdr:rowOff>57668</xdr:rowOff>
    </xdr:to>
    <xdr:cxnSp macro="">
      <xdr:nvCxnSpPr>
        <xdr:cNvPr id="100" name="Gerader Verbinder 99">
          <a:extLst>
            <a:ext uri="{FF2B5EF4-FFF2-40B4-BE49-F238E27FC236}">
              <a16:creationId xmlns:a16="http://schemas.microsoft.com/office/drawing/2014/main" id="{00000000-0008-0000-0300-000064000000}"/>
            </a:ext>
          </a:extLst>
        </xdr:cNvPr>
        <xdr:cNvCxnSpPr/>
      </xdr:nvCxnSpPr>
      <xdr:spPr>
        <a:xfrm flipV="1">
          <a:off x="1934473" y="449384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101" name="Gerader Verbinder 100">
          <a:extLst>
            <a:ext uri="{FF2B5EF4-FFF2-40B4-BE49-F238E27FC236}">
              <a16:creationId xmlns:a16="http://schemas.microsoft.com/office/drawing/2014/main" id="{00000000-0008-0000-0300-000065000000}"/>
            </a:ext>
          </a:extLst>
        </xdr:cNvPr>
        <xdr:cNvCxnSpPr/>
      </xdr:nvCxnSpPr>
      <xdr:spPr>
        <a:xfrm flipV="1">
          <a:off x="2813154" y="449742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102" name="Gerader Verbinder 101">
          <a:extLst>
            <a:ext uri="{FF2B5EF4-FFF2-40B4-BE49-F238E27FC236}">
              <a16:creationId xmlns:a16="http://schemas.microsoft.com/office/drawing/2014/main" id="{00000000-0008-0000-0300-000066000000}"/>
            </a:ext>
          </a:extLst>
        </xdr:cNvPr>
        <xdr:cNvCxnSpPr/>
      </xdr:nvCxnSpPr>
      <xdr:spPr>
        <a:xfrm flipV="1">
          <a:off x="3697788" y="449504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3" name="Gerader Verbinder 102">
          <a:extLst>
            <a:ext uri="{FF2B5EF4-FFF2-40B4-BE49-F238E27FC236}">
              <a16:creationId xmlns:a16="http://schemas.microsoft.com/office/drawing/2014/main" id="{00000000-0008-0000-0300-000067000000}"/>
            </a:ext>
          </a:extLst>
        </xdr:cNvPr>
        <xdr:cNvCxnSpPr/>
      </xdr:nvCxnSpPr>
      <xdr:spPr>
        <a:xfrm flipV="1">
          <a:off x="4576469" y="449265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4" name="Gerader Verbinder 103">
          <a:extLst>
            <a:ext uri="{FF2B5EF4-FFF2-40B4-BE49-F238E27FC236}">
              <a16:creationId xmlns:a16="http://schemas.microsoft.com/office/drawing/2014/main" id="{00000000-0008-0000-0300-000068000000}"/>
            </a:ext>
          </a:extLst>
        </xdr:cNvPr>
        <xdr:cNvCxnSpPr/>
      </xdr:nvCxnSpPr>
      <xdr:spPr>
        <a:xfrm flipV="1">
          <a:off x="5461103" y="449623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5" name="Gerader Verbinder 104">
          <a:extLst>
            <a:ext uri="{FF2B5EF4-FFF2-40B4-BE49-F238E27FC236}">
              <a16:creationId xmlns:a16="http://schemas.microsoft.com/office/drawing/2014/main" id="{00000000-0008-0000-0300-000069000000}"/>
            </a:ext>
          </a:extLst>
        </xdr:cNvPr>
        <xdr:cNvCxnSpPr/>
      </xdr:nvCxnSpPr>
      <xdr:spPr>
        <a:xfrm flipV="1">
          <a:off x="6339784" y="449385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6" name="Gerader Verbinder 105">
          <a:extLst>
            <a:ext uri="{FF2B5EF4-FFF2-40B4-BE49-F238E27FC236}">
              <a16:creationId xmlns:a16="http://schemas.microsoft.com/office/drawing/2014/main" id="{00000000-0008-0000-0300-00006A000000}"/>
            </a:ext>
          </a:extLst>
        </xdr:cNvPr>
        <xdr:cNvCxnSpPr/>
      </xdr:nvCxnSpPr>
      <xdr:spPr>
        <a:xfrm flipV="1">
          <a:off x="7224418" y="449146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7" name="Gerader Verbinder 106">
          <a:extLst>
            <a:ext uri="{FF2B5EF4-FFF2-40B4-BE49-F238E27FC236}">
              <a16:creationId xmlns:a16="http://schemas.microsoft.com/office/drawing/2014/main" id="{00000000-0008-0000-0300-00006B000000}"/>
            </a:ext>
          </a:extLst>
        </xdr:cNvPr>
        <xdr:cNvCxnSpPr/>
      </xdr:nvCxnSpPr>
      <xdr:spPr>
        <a:xfrm flipV="1">
          <a:off x="8103099" y="449504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8" name="Gerader Verbinder 107">
          <a:extLst>
            <a:ext uri="{FF2B5EF4-FFF2-40B4-BE49-F238E27FC236}">
              <a16:creationId xmlns:a16="http://schemas.microsoft.com/office/drawing/2014/main" id="{00000000-0008-0000-0300-00006C000000}"/>
            </a:ext>
          </a:extLst>
        </xdr:cNvPr>
        <xdr:cNvCxnSpPr/>
      </xdr:nvCxnSpPr>
      <xdr:spPr>
        <a:xfrm flipV="1">
          <a:off x="8981780" y="4486707"/>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9" name="Gerader Verbinder 108">
          <a:extLst>
            <a:ext uri="{FF2B5EF4-FFF2-40B4-BE49-F238E27FC236}">
              <a16:creationId xmlns:a16="http://schemas.microsoft.com/office/drawing/2014/main" id="{00000000-0008-0000-0300-00006D000000}"/>
            </a:ext>
          </a:extLst>
        </xdr:cNvPr>
        <xdr:cNvCxnSpPr/>
      </xdr:nvCxnSpPr>
      <xdr:spPr>
        <a:xfrm flipV="1">
          <a:off x="9866415" y="4496232"/>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1" name="Grafik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25"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6971" y="302558"/>
          <a:ext cx="2723029" cy="3354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3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300-00007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55</xdr:row>
          <xdr:rowOff>142875</xdr:rowOff>
        </xdr:from>
        <xdr:to>
          <xdr:col>31</xdr:col>
          <xdr:colOff>0</xdr:colOff>
          <xdr:row>57</xdr:row>
          <xdr:rowOff>0</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300-00007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300-00008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 name="Grafik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77" t="10351" r="77528" b="74663"/>
        <a:stretch/>
      </xdr:blipFill>
      <xdr:spPr>
        <a:xfrm>
          <a:off x="6492297" y="16802678"/>
          <a:ext cx="1127148"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3" name="Grafik 12">
          <a:extLst>
            <a:ext uri="{FF2B5EF4-FFF2-40B4-BE49-F238E27FC236}">
              <a16:creationId xmlns:a16="http://schemas.microsoft.com/office/drawing/2014/main" id="{00000000-0008-0000-0300-00000D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697" t="10250" r="56015" b="76270"/>
        <a:stretch/>
      </xdr:blipFill>
      <xdr:spPr>
        <a:xfrm>
          <a:off x="7745593" y="16788031"/>
          <a:ext cx="1269480" cy="1281929"/>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6" name="Grafik 15">
          <a:extLst>
            <a:ext uri="{FF2B5EF4-FFF2-40B4-BE49-F238E27FC236}">
              <a16:creationId xmlns:a16="http://schemas.microsoft.com/office/drawing/2014/main" id="{00000000-0008-0000-0300-000010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8824" t="10375" r="34746" b="74144"/>
        <a:stretch/>
      </xdr:blipFill>
      <xdr:spPr>
        <a:xfrm>
          <a:off x="9175097" y="16802025"/>
          <a:ext cx="1128413"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33" name="Grafik 132">
          <a:extLst>
            <a:ext uri="{FF2B5EF4-FFF2-40B4-BE49-F238E27FC236}">
              <a16:creationId xmlns:a16="http://schemas.microsoft.com/office/drawing/2014/main" id="{00000000-0008-0000-0300-000085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2700" r="40451" b="43145"/>
        <a:stretch/>
      </xdr:blipFill>
      <xdr:spPr>
        <a:xfrm>
          <a:off x="6602026" y="18464238"/>
          <a:ext cx="887128" cy="134686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34" name="Grafik 133">
          <a:extLst>
            <a:ext uri="{FF2B5EF4-FFF2-40B4-BE49-F238E27FC236}">
              <a16:creationId xmlns:a16="http://schemas.microsoft.com/office/drawing/2014/main" id="{00000000-0008-0000-0300-000086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0330" r="40451" b="41065"/>
        <a:stretch/>
      </xdr:blipFill>
      <xdr:spPr>
        <a:xfrm>
          <a:off x="9284706" y="18239520"/>
          <a:ext cx="891589" cy="1777784"/>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44" name="Rechteck 43">
          <a:extLst>
            <a:ext uri="{FF2B5EF4-FFF2-40B4-BE49-F238E27FC236}">
              <a16:creationId xmlns:a16="http://schemas.microsoft.com/office/drawing/2014/main" id="{00000000-0008-0000-0300-00002C000000}"/>
            </a:ext>
          </a:extLst>
        </xdr:cNvPr>
        <xdr:cNvSpPr/>
      </xdr:nvSpPr>
      <xdr:spPr>
        <a:xfrm>
          <a:off x="7894926" y="18403565"/>
          <a:ext cx="1101328" cy="152326"/>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4" name="Grafik 13">
          <a:extLst>
            <a:ext uri="{FF2B5EF4-FFF2-40B4-BE49-F238E27FC236}">
              <a16:creationId xmlns:a16="http://schemas.microsoft.com/office/drawing/2014/main" id="{00000000-0008-0000-0300-00000E000000}"/>
            </a:ext>
          </a:extLst>
        </xdr:cNvPr>
        <xdr:cNvPicPr>
          <a:picLocks noChangeAspect="1"/>
        </xdr:cNvPicPr>
      </xdr:nvPicPr>
      <xdr:blipFill rotWithShape="1">
        <a:blip xmlns:r="http://schemas.openxmlformats.org/officeDocument/2006/relationships" r:embed="rId27" cstate="print">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556926" y="19968885"/>
          <a:ext cx="4032632" cy="2117910"/>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5" name="Grafik 14">
          <a:extLst>
            <a:ext uri="{FF2B5EF4-FFF2-40B4-BE49-F238E27FC236}">
              <a16:creationId xmlns:a16="http://schemas.microsoft.com/office/drawing/2014/main" id="{00000000-0008-0000-0300-00000F000000}"/>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63390" t="41256" r="16917" b="41369"/>
        <a:stretch/>
      </xdr:blipFill>
      <xdr:spPr>
        <a:xfrm>
          <a:off x="7709911" y="18462622"/>
          <a:ext cx="1332502" cy="1608775"/>
        </a:xfrm>
        <a:prstGeom prst="rect">
          <a:avLst/>
        </a:prstGeom>
      </xdr:spPr>
    </xdr:pic>
    <xdr:clientData/>
  </xdr:twoCellAnchor>
  <xdr:twoCellAnchor>
    <xdr:from>
      <xdr:col>52</xdr:col>
      <xdr:colOff>81803</xdr:colOff>
      <xdr:row>24</xdr:row>
      <xdr:rowOff>9930</xdr:rowOff>
    </xdr:from>
    <xdr:to>
      <xdr:col>52</xdr:col>
      <xdr:colOff>535195</xdr:colOff>
      <xdr:row>25</xdr:row>
      <xdr:rowOff>111344</xdr:rowOff>
    </xdr:to>
    <xdr:sp macro="" textlink="">
      <xdr:nvSpPr>
        <xdr:cNvPr id="17" name="Pfeil nach rechts 16">
          <a:hlinkClick xmlns:r="http://schemas.openxmlformats.org/officeDocument/2006/relationships" r:id="rId30"/>
          <a:extLst>
            <a:ext uri="{FF2B5EF4-FFF2-40B4-BE49-F238E27FC236}">
              <a16:creationId xmlns:a16="http://schemas.microsoft.com/office/drawing/2014/main" id="{00000000-0008-0000-0300-000011000000}"/>
            </a:ext>
          </a:extLst>
        </xdr:cNvPr>
        <xdr:cNvSpPr/>
      </xdr:nvSpPr>
      <xdr:spPr>
        <a:xfrm>
          <a:off x="14546665" y="4279758"/>
          <a:ext cx="453392" cy="22622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35" name="Grafik 134">
          <a:extLst>
            <a:ext uri="{FF2B5EF4-FFF2-40B4-BE49-F238E27FC236}">
              <a16:creationId xmlns:a16="http://schemas.microsoft.com/office/drawing/2014/main" id="{00000000-0008-0000-0300-000087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r="52107"/>
        <a:stretch/>
      </xdr:blipFill>
      <xdr:spPr>
        <a:xfrm>
          <a:off x="11474823" y="12214411"/>
          <a:ext cx="684144" cy="725678"/>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36" name="Grafik 135">
          <a:extLst>
            <a:ext uri="{FF2B5EF4-FFF2-40B4-BE49-F238E27FC236}">
              <a16:creationId xmlns:a16="http://schemas.microsoft.com/office/drawing/2014/main" id="{00000000-0008-0000-0300-000088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l="51024"/>
        <a:stretch/>
      </xdr:blipFill>
      <xdr:spPr>
        <a:xfrm>
          <a:off x="12259236" y="12214412"/>
          <a:ext cx="699621" cy="725678"/>
        </a:xfrm>
        <a:prstGeom prst="rect">
          <a:avLst/>
        </a:prstGeom>
        <a:ln>
          <a:noFill/>
        </a:ln>
      </xdr:spPr>
    </xdr:pic>
    <xdr:clientData/>
  </xdr:twoCellAnchor>
  <xdr:twoCellAnchor editAs="oneCell">
    <xdr:from>
      <xdr:col>4</xdr:col>
      <xdr:colOff>92531</xdr:colOff>
      <xdr:row>62</xdr:row>
      <xdr:rowOff>118152</xdr:rowOff>
    </xdr:from>
    <xdr:to>
      <xdr:col>8</xdr:col>
      <xdr:colOff>192955</xdr:colOff>
      <xdr:row>68</xdr:row>
      <xdr:rowOff>92530</xdr:rowOff>
    </xdr:to>
    <xdr:pic>
      <xdr:nvPicPr>
        <xdr:cNvPr id="29" name="Grafik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1447802" y="10552109"/>
          <a:ext cx="971282" cy="954092"/>
        </a:xfrm>
        <a:prstGeom prst="rect">
          <a:avLst/>
        </a:prstGeom>
      </xdr:spPr>
    </xdr:pic>
    <xdr:clientData/>
  </xdr:twoCellAnchor>
  <xdr:twoCellAnchor>
    <xdr:from>
      <xdr:col>29</xdr:col>
      <xdr:colOff>110290</xdr:colOff>
      <xdr:row>61</xdr:row>
      <xdr:rowOff>0</xdr:rowOff>
    </xdr:from>
    <xdr:to>
      <xdr:col>31</xdr:col>
      <xdr:colOff>17042</xdr:colOff>
      <xdr:row>63</xdr:row>
      <xdr:rowOff>47122</xdr:rowOff>
    </xdr:to>
    <xdr:sp macro="" textlink="">
      <xdr:nvSpPr>
        <xdr:cNvPr id="160" name="Rechteck 159">
          <a:extLst>
            <a:ext uri="{FF2B5EF4-FFF2-40B4-BE49-F238E27FC236}">
              <a16:creationId xmlns:a16="http://schemas.microsoft.com/office/drawing/2014/main" id="{00000000-0008-0000-0300-0000A0000000}"/>
            </a:ext>
          </a:extLst>
        </xdr:cNvPr>
        <xdr:cNvSpPr/>
      </xdr:nvSpPr>
      <xdr:spPr>
        <a:xfrm>
          <a:off x="6973303" y="10121566"/>
          <a:ext cx="347910" cy="36796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17</xdr:col>
      <xdr:colOff>48987</xdr:colOff>
      <xdr:row>62</xdr:row>
      <xdr:rowOff>10885</xdr:rowOff>
    </xdr:from>
    <xdr:to>
      <xdr:col>20</xdr:col>
      <xdr:colOff>99131</xdr:colOff>
      <xdr:row>69</xdr:row>
      <xdr:rowOff>27690</xdr:rowOff>
    </xdr:to>
    <xdr:pic>
      <xdr:nvPicPr>
        <xdr:cNvPr id="32" name="Grafik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4234544" y="10444842"/>
          <a:ext cx="703287" cy="1159806"/>
        </a:xfrm>
        <a:prstGeom prst="rect">
          <a:avLst/>
        </a:prstGeom>
      </xdr:spPr>
    </xdr:pic>
    <xdr:clientData/>
  </xdr:twoCellAnchor>
  <xdr:twoCellAnchor editAs="oneCell">
    <xdr:from>
      <xdr:col>5</xdr:col>
      <xdr:colOff>14177</xdr:colOff>
      <xdr:row>73</xdr:row>
      <xdr:rowOff>43542</xdr:rowOff>
    </xdr:from>
    <xdr:to>
      <xdr:col>10</xdr:col>
      <xdr:colOff>120072</xdr:colOff>
      <xdr:row>81</xdr:row>
      <xdr:rowOff>76200</xdr:rowOff>
    </xdr:to>
    <xdr:pic>
      <xdr:nvPicPr>
        <xdr:cNvPr id="45" name="Grafik 44">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1587163" y="12273642"/>
          <a:ext cx="1194466" cy="1328058"/>
        </a:xfrm>
        <a:prstGeom prst="rect">
          <a:avLst/>
        </a:prstGeom>
      </xdr:spPr>
    </xdr:pic>
    <xdr:clientData/>
  </xdr:twoCellAnchor>
  <xdr:twoCellAnchor editAs="oneCell">
    <xdr:from>
      <xdr:col>19</xdr:col>
      <xdr:colOff>217712</xdr:colOff>
      <xdr:row>72</xdr:row>
      <xdr:rowOff>65314</xdr:rowOff>
    </xdr:from>
    <xdr:to>
      <xdr:col>24</xdr:col>
      <xdr:colOff>134364</xdr:colOff>
      <xdr:row>83</xdr:row>
      <xdr:rowOff>3198</xdr:rowOff>
    </xdr:to>
    <xdr:pic>
      <xdr:nvPicPr>
        <xdr:cNvPr id="47" name="Grafik 46">
          <a:extLst>
            <a:ext uri="{FF2B5EF4-FFF2-40B4-BE49-F238E27FC236}">
              <a16:creationId xmlns:a16="http://schemas.microsoft.com/office/drawing/2014/main" id="{00000000-0008-0000-0300-00002F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838698" y="12132128"/>
          <a:ext cx="1005223" cy="1716738"/>
        </a:xfrm>
        <a:prstGeom prst="rect">
          <a:avLst/>
        </a:prstGeom>
      </xdr:spPr>
    </xdr:pic>
    <xdr:clientData/>
  </xdr:twoCellAnchor>
  <xdr:twoCellAnchor editAs="oneCell">
    <xdr:from>
      <xdr:col>4</xdr:col>
      <xdr:colOff>215709</xdr:colOff>
      <xdr:row>86</xdr:row>
      <xdr:rowOff>41979</xdr:rowOff>
    </xdr:from>
    <xdr:to>
      <xdr:col>10</xdr:col>
      <xdr:colOff>212835</xdr:colOff>
      <xdr:row>92</xdr:row>
      <xdr:rowOff>35842</xdr:rowOff>
    </xdr:to>
    <xdr:pic>
      <xdr:nvPicPr>
        <xdr:cNvPr id="52" name="Grafik 51">
          <a:extLst>
            <a:ext uri="{FF2B5EF4-FFF2-40B4-BE49-F238E27FC236}">
              <a16:creationId xmlns:a16="http://schemas.microsoft.com/office/drawing/2014/main" id="{00000000-0008-0000-0300-000034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564248" y="14164045"/>
          <a:ext cx="1320600" cy="956389"/>
        </a:xfrm>
        <a:prstGeom prst="rect">
          <a:avLst/>
        </a:prstGeom>
      </xdr:spPr>
    </xdr:pic>
    <xdr:clientData/>
  </xdr:twoCellAnchor>
  <xdr:twoCellAnchor editAs="oneCell">
    <xdr:from>
      <xdr:col>20</xdr:col>
      <xdr:colOff>130342</xdr:colOff>
      <xdr:row>87</xdr:row>
      <xdr:rowOff>56997</xdr:rowOff>
    </xdr:from>
    <xdr:to>
      <xdr:col>24</xdr:col>
      <xdr:colOff>104249</xdr:colOff>
      <xdr:row>92</xdr:row>
      <xdr:rowOff>13522</xdr:rowOff>
    </xdr:to>
    <xdr:pic>
      <xdr:nvPicPr>
        <xdr:cNvPr id="54" name="Grafik 53">
          <a:extLst>
            <a:ext uri="{FF2B5EF4-FFF2-40B4-BE49-F238E27FC236}">
              <a16:creationId xmlns:a16="http://schemas.microsoft.com/office/drawing/2014/main" id="{00000000-0008-0000-0300-000036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5008145" y="14339484"/>
          <a:ext cx="856222" cy="758630"/>
        </a:xfrm>
        <a:prstGeom prst="rect">
          <a:avLst/>
        </a:prstGeom>
      </xdr:spPr>
    </xdr:pic>
    <xdr:clientData/>
  </xdr:twoCellAnchor>
  <xdr:twoCellAnchor>
    <xdr:from>
      <xdr:col>19</xdr:col>
      <xdr:colOff>190794</xdr:colOff>
      <xdr:row>86</xdr:row>
      <xdr:rowOff>85223</xdr:rowOff>
    </xdr:from>
    <xdr:to>
      <xdr:col>23</xdr:col>
      <xdr:colOff>90236</xdr:colOff>
      <xdr:row>90</xdr:row>
      <xdr:rowOff>115302</xdr:rowOff>
    </xdr:to>
    <xdr:sp macro="" textlink="">
      <xdr:nvSpPr>
        <xdr:cNvPr id="12" name="Rechteck 11">
          <a:extLst>
            <a:ext uri="{FF2B5EF4-FFF2-40B4-BE49-F238E27FC236}">
              <a16:creationId xmlns:a16="http://schemas.microsoft.com/office/drawing/2014/main" id="{00000000-0008-0000-0300-00000C000000}"/>
            </a:ext>
          </a:extLst>
        </xdr:cNvPr>
        <xdr:cNvSpPr/>
      </xdr:nvSpPr>
      <xdr:spPr>
        <a:xfrm>
          <a:off x="4848018" y="14207289"/>
          <a:ext cx="781757" cy="67176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3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33</xdr:col>
      <xdr:colOff>112295</xdr:colOff>
      <xdr:row>61</xdr:row>
      <xdr:rowOff>27071</xdr:rowOff>
    </xdr:from>
    <xdr:to>
      <xdr:col>35</xdr:col>
      <xdr:colOff>19047</xdr:colOff>
      <xdr:row>63</xdr:row>
      <xdr:rowOff>74193</xdr:rowOff>
    </xdr:to>
    <xdr:sp macro="" textlink="">
      <xdr:nvSpPr>
        <xdr:cNvPr id="161" name="Rechteck 160">
          <a:extLst>
            <a:ext uri="{FF2B5EF4-FFF2-40B4-BE49-F238E27FC236}">
              <a16:creationId xmlns:a16="http://schemas.microsoft.com/office/drawing/2014/main" id="{00000000-0008-0000-0300-0000A1000000}"/>
            </a:ext>
          </a:extLst>
        </xdr:cNvPr>
        <xdr:cNvSpPr/>
      </xdr:nvSpPr>
      <xdr:spPr>
        <a:xfrm>
          <a:off x="7857624" y="10148637"/>
          <a:ext cx="347910" cy="36796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3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37</xdr:col>
      <xdr:colOff>69182</xdr:colOff>
      <xdr:row>61</xdr:row>
      <xdr:rowOff>34090</xdr:rowOff>
    </xdr:from>
    <xdr:to>
      <xdr:col>38</xdr:col>
      <xdr:colOff>196513</xdr:colOff>
      <xdr:row>63</xdr:row>
      <xdr:rowOff>81212</xdr:rowOff>
    </xdr:to>
    <xdr:sp macro="" textlink="">
      <xdr:nvSpPr>
        <xdr:cNvPr id="162" name="Rechteck 161">
          <a:extLst>
            <a:ext uri="{FF2B5EF4-FFF2-40B4-BE49-F238E27FC236}">
              <a16:creationId xmlns:a16="http://schemas.microsoft.com/office/drawing/2014/main" id="{00000000-0008-0000-0300-0000A2000000}"/>
            </a:ext>
          </a:extLst>
        </xdr:cNvPr>
        <xdr:cNvSpPr/>
      </xdr:nvSpPr>
      <xdr:spPr>
        <a:xfrm>
          <a:off x="8696827" y="10155656"/>
          <a:ext cx="347910" cy="36796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161925</xdr:colOff>
          <xdr:row>63</xdr:row>
          <xdr:rowOff>19050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3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41</xdr:col>
      <xdr:colOff>46123</xdr:colOff>
      <xdr:row>61</xdr:row>
      <xdr:rowOff>41109</xdr:rowOff>
    </xdr:from>
    <xdr:to>
      <xdr:col>42</xdr:col>
      <xdr:colOff>173455</xdr:colOff>
      <xdr:row>63</xdr:row>
      <xdr:rowOff>88231</xdr:rowOff>
    </xdr:to>
    <xdr:sp macro="" textlink="">
      <xdr:nvSpPr>
        <xdr:cNvPr id="163" name="Rechteck 162">
          <a:extLst>
            <a:ext uri="{FF2B5EF4-FFF2-40B4-BE49-F238E27FC236}">
              <a16:creationId xmlns:a16="http://schemas.microsoft.com/office/drawing/2014/main" id="{00000000-0008-0000-0300-0000A3000000}"/>
            </a:ext>
          </a:extLst>
        </xdr:cNvPr>
        <xdr:cNvSpPr/>
      </xdr:nvSpPr>
      <xdr:spPr>
        <a:xfrm>
          <a:off x="9556084" y="10162675"/>
          <a:ext cx="347910" cy="36796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3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29</xdr:col>
      <xdr:colOff>155411</xdr:colOff>
      <xdr:row>61</xdr:row>
      <xdr:rowOff>35094</xdr:rowOff>
    </xdr:from>
    <xdr:to>
      <xdr:col>45</xdr:col>
      <xdr:colOff>139037</xdr:colOff>
      <xdr:row>67</xdr:row>
      <xdr:rowOff>135776</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t="22737"/>
        <a:stretch/>
      </xdr:blipFill>
      <xdr:spPr>
        <a:xfrm>
          <a:off x="6984836" y="10226844"/>
          <a:ext cx="3365001" cy="1072232"/>
        </a:xfrm>
        <a:prstGeom prst="rect">
          <a:avLst/>
        </a:prstGeom>
      </xdr:spPr>
    </xdr:pic>
    <xdr:clientData/>
  </xdr:twoCellAnchor>
  <xdr:twoCellAnchor editAs="oneCell">
    <xdr:from>
      <xdr:col>11</xdr:col>
      <xdr:colOff>156269</xdr:colOff>
      <xdr:row>86</xdr:row>
      <xdr:rowOff>42709</xdr:rowOff>
    </xdr:from>
    <xdr:to>
      <xdr:col>17</xdr:col>
      <xdr:colOff>178041</xdr:colOff>
      <xdr:row>93</xdr:row>
      <xdr:rowOff>16767</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042344" y="14273059"/>
          <a:ext cx="1336222" cy="1107533"/>
        </a:xfrm>
        <a:prstGeom prst="rect">
          <a:avLst/>
        </a:prstGeom>
      </xdr:spPr>
    </xdr:pic>
    <xdr:clientData/>
  </xdr:twoCellAnchor>
  <xdr:twoCellAnchor editAs="oneCell">
    <xdr:from>
      <xdr:col>13</xdr:col>
      <xdr:colOff>35312</xdr:colOff>
      <xdr:row>72</xdr:row>
      <xdr:rowOff>87087</xdr:rowOff>
    </xdr:from>
    <xdr:to>
      <xdr:col>17</xdr:col>
      <xdr:colOff>51437</xdr:colOff>
      <xdr:row>82</xdr:row>
      <xdr:rowOff>105640</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359537" y="12060012"/>
          <a:ext cx="892425" cy="1628278"/>
        </a:xfrm>
        <a:prstGeom prst="rect">
          <a:avLst/>
        </a:prstGeom>
      </xdr:spPr>
    </xdr:pic>
    <xdr:clientData/>
  </xdr:twoCellAnchor>
  <xdr:twoCellAnchor editAs="oneCell">
    <xdr:from>
      <xdr:col>23</xdr:col>
      <xdr:colOff>50316</xdr:colOff>
      <xdr:row>61</xdr:row>
      <xdr:rowOff>76201</xdr:rowOff>
    </xdr:from>
    <xdr:to>
      <xdr:col>26</xdr:col>
      <xdr:colOff>176663</xdr:colOff>
      <xdr:row>69</xdr:row>
      <xdr:rowOff>136073</xdr:rowOff>
    </xdr:to>
    <xdr:pic>
      <xdr:nvPicPr>
        <xdr:cNvPr id="5" name="Grafik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5565291" y="10267951"/>
          <a:ext cx="783572" cy="1355272"/>
        </a:xfrm>
        <a:prstGeom prst="rect">
          <a:avLst/>
        </a:prstGeom>
      </xdr:spPr>
    </xdr:pic>
    <xdr:clientData/>
  </xdr:twoCellAnchor>
  <xdr:twoCellAnchor editAs="oneCell">
    <xdr:from>
      <xdr:col>10</xdr:col>
      <xdr:colOff>195196</xdr:colOff>
      <xdr:row>62</xdr:row>
      <xdr:rowOff>0</xdr:rowOff>
    </xdr:from>
    <xdr:to>
      <xdr:col>14</xdr:col>
      <xdr:colOff>179360</xdr:colOff>
      <xdr:row>69</xdr:row>
      <xdr:rowOff>32654</xdr:rowOff>
    </xdr:to>
    <xdr:pic>
      <xdr:nvPicPr>
        <xdr:cNvPr id="6" name="Grafik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2862196" y="10353675"/>
          <a:ext cx="860464" cy="1166129"/>
        </a:xfrm>
        <a:prstGeom prst="rect">
          <a:avLst/>
        </a:prstGeom>
      </xdr:spPr>
    </xdr:pic>
    <xdr:clientData/>
  </xdr:twoCellAnchor>
  <xdr:twoCellAnchor editAs="oneCell">
    <xdr:from>
      <xdr:col>16</xdr:col>
      <xdr:colOff>0</xdr:colOff>
      <xdr:row>45</xdr:row>
      <xdr:rowOff>48283</xdr:rowOff>
    </xdr:from>
    <xdr:to>
      <xdr:col>22</xdr:col>
      <xdr:colOff>196453</xdr:colOff>
      <xdr:row>58</xdr:row>
      <xdr:rowOff>128124</xdr:rowOff>
    </xdr:to>
    <xdr:pic>
      <xdr:nvPicPr>
        <xdr:cNvPr id="7" name="Grafik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81450" y="7649233"/>
          <a:ext cx="1510903" cy="2184866"/>
        </a:xfrm>
        <a:prstGeom prst="rect">
          <a:avLst/>
        </a:prstGeom>
      </xdr:spPr>
    </xdr:pic>
    <xdr:clientData/>
  </xdr:twoCellAnchor>
  <xdr:twoCellAnchor editAs="oneCell">
    <xdr:from>
      <xdr:col>16</xdr:col>
      <xdr:colOff>23812</xdr:colOff>
      <xdr:row>35</xdr:row>
      <xdr:rowOff>86816</xdr:rowOff>
    </xdr:from>
    <xdr:to>
      <xdr:col>23</xdr:col>
      <xdr:colOff>15026</xdr:colOff>
      <xdr:row>43</xdr:row>
      <xdr:rowOff>80264</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5262" y="6068516"/>
          <a:ext cx="1524739" cy="1288848"/>
        </a:xfrm>
        <a:prstGeom prst="rect">
          <a:avLst/>
        </a:prstGeom>
      </xdr:spPr>
    </xdr:pic>
    <xdr:clientData/>
  </xdr:twoCellAnchor>
  <xdr:twoCellAnchor editAs="oneCell">
    <xdr:from>
      <xdr:col>10</xdr:col>
      <xdr:colOff>104982</xdr:colOff>
      <xdr:row>49</xdr:row>
      <xdr:rowOff>73138</xdr:rowOff>
    </xdr:from>
    <xdr:to>
      <xdr:col>14</xdr:col>
      <xdr:colOff>193839</xdr:colOff>
      <xdr:row>58</xdr:row>
      <xdr:rowOff>101203</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2771982" y="8321788"/>
          <a:ext cx="965157" cy="1485390"/>
        </a:xfrm>
        <a:prstGeom prst="rect">
          <a:avLst/>
        </a:prstGeom>
      </xdr:spPr>
    </xdr:pic>
    <xdr:clientData/>
  </xdr:twoCellAnchor>
  <xdr:twoCellAnchor editAs="oneCell">
    <xdr:from>
      <xdr:col>3</xdr:col>
      <xdr:colOff>64742</xdr:colOff>
      <xdr:row>49</xdr:row>
      <xdr:rowOff>71439</xdr:rowOff>
    </xdr:from>
    <xdr:to>
      <xdr:col>8</xdr:col>
      <xdr:colOff>72393</xdr:colOff>
      <xdr:row>58</xdr:row>
      <xdr:rowOff>95251</xdr:rowOff>
    </xdr:to>
    <xdr:pic>
      <xdr:nvPicPr>
        <xdr:cNvPr id="10" name="Grafik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1331567" y="8320089"/>
          <a:ext cx="969676" cy="1481137"/>
        </a:xfrm>
        <a:prstGeom prst="rect">
          <a:avLst/>
        </a:prstGeom>
      </xdr:spPr>
    </xdr:pic>
    <xdr:clientData/>
  </xdr:twoCellAnchor>
  <xdr:twoCellAnchor editAs="oneCell">
    <xdr:from>
      <xdr:col>12</xdr:col>
      <xdr:colOff>161337</xdr:colOff>
      <xdr:row>40</xdr:row>
      <xdr:rowOff>76061</xdr:rowOff>
    </xdr:from>
    <xdr:to>
      <xdr:col>14</xdr:col>
      <xdr:colOff>191781</xdr:colOff>
      <xdr:row>47</xdr:row>
      <xdr:rowOff>27385</xdr:rowOff>
    </xdr:to>
    <xdr:pic>
      <xdr:nvPicPr>
        <xdr:cNvPr id="11" name="Grafik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rot="10800000">
          <a:off x="3266487" y="6867386"/>
          <a:ext cx="468594" cy="1084799"/>
        </a:xfrm>
        <a:prstGeom prst="rect">
          <a:avLst/>
        </a:prstGeom>
      </xdr:spPr>
    </xdr:pic>
    <xdr:clientData/>
  </xdr:twoCellAnchor>
  <xdr:twoCellAnchor editAs="oneCell">
    <xdr:from>
      <xdr:col>3</xdr:col>
      <xdr:colOff>62517</xdr:colOff>
      <xdr:row>40</xdr:row>
      <xdr:rowOff>84395</xdr:rowOff>
    </xdr:from>
    <xdr:to>
      <xdr:col>6</xdr:col>
      <xdr:colOff>9618</xdr:colOff>
      <xdr:row>47</xdr:row>
      <xdr:rowOff>35719</xdr:rowOff>
    </xdr:to>
    <xdr:pic>
      <xdr:nvPicPr>
        <xdr:cNvPr id="12" name="Grafik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9342" y="6875720"/>
          <a:ext cx="470976" cy="1084799"/>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3" name="Rechteck 12">
          <a:extLst>
            <a:ext uri="{FF2B5EF4-FFF2-40B4-BE49-F238E27FC236}">
              <a16:creationId xmlns:a16="http://schemas.microsoft.com/office/drawing/2014/main" id="{00000000-0008-0000-0500-00000D000000}"/>
            </a:ext>
          </a:extLst>
        </xdr:cNvPr>
        <xdr:cNvSpPr/>
      </xdr:nvSpPr>
      <xdr:spPr>
        <a:xfrm>
          <a:off x="3612995" y="787087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14" name="Rechteck 13">
          <a:extLst>
            <a:ext uri="{FF2B5EF4-FFF2-40B4-BE49-F238E27FC236}">
              <a16:creationId xmlns:a16="http://schemas.microsoft.com/office/drawing/2014/main" id="{00000000-0008-0000-0500-00000E000000}"/>
            </a:ext>
          </a:extLst>
        </xdr:cNvPr>
        <xdr:cNvSpPr/>
      </xdr:nvSpPr>
      <xdr:spPr>
        <a:xfrm>
          <a:off x="1296563" y="786958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15" name="Gerader Verbinder 14">
          <a:extLst>
            <a:ext uri="{FF2B5EF4-FFF2-40B4-BE49-F238E27FC236}">
              <a16:creationId xmlns:a16="http://schemas.microsoft.com/office/drawing/2014/main" id="{00000000-0008-0000-0500-00000F000000}"/>
            </a:ext>
          </a:extLst>
        </xdr:cNvPr>
        <xdr:cNvCxnSpPr/>
      </xdr:nvCxnSpPr>
      <xdr:spPr>
        <a:xfrm>
          <a:off x="1308497" y="829025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35718</xdr:rowOff>
    </xdr:from>
    <xdr:to>
      <xdr:col>26</xdr:col>
      <xdr:colOff>111141</xdr:colOff>
      <xdr:row>58</xdr:row>
      <xdr:rowOff>78280</xdr:rowOff>
    </xdr:to>
    <xdr:cxnSp macro="">
      <xdr:nvCxnSpPr>
        <xdr:cNvPr id="16" name="Gerader Verbinder 15">
          <a:extLst>
            <a:ext uri="{FF2B5EF4-FFF2-40B4-BE49-F238E27FC236}">
              <a16:creationId xmlns:a16="http://schemas.microsoft.com/office/drawing/2014/main" id="{00000000-0008-0000-0500-000010000000}"/>
            </a:ext>
          </a:extLst>
        </xdr:cNvPr>
        <xdr:cNvCxnSpPr/>
      </xdr:nvCxnSpPr>
      <xdr:spPr>
        <a:xfrm>
          <a:off x="6283341" y="9093993"/>
          <a:ext cx="0" cy="690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17" name="Gerader Verbinder 16">
          <a:extLst>
            <a:ext uri="{FF2B5EF4-FFF2-40B4-BE49-F238E27FC236}">
              <a16:creationId xmlns:a16="http://schemas.microsoft.com/office/drawing/2014/main" id="{00000000-0008-0000-0500-000011000000}"/>
            </a:ext>
          </a:extLst>
        </xdr:cNvPr>
        <xdr:cNvCxnSpPr/>
      </xdr:nvCxnSpPr>
      <xdr:spPr>
        <a:xfrm>
          <a:off x="5402745" y="97033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89297</xdr:rowOff>
    </xdr:to>
    <xdr:cxnSp macro="">
      <xdr:nvCxnSpPr>
        <xdr:cNvPr id="18" name="Gerader Verbinder 17">
          <a:extLst>
            <a:ext uri="{FF2B5EF4-FFF2-40B4-BE49-F238E27FC236}">
              <a16:creationId xmlns:a16="http://schemas.microsoft.com/office/drawing/2014/main" id="{00000000-0008-0000-0500-000012000000}"/>
            </a:ext>
          </a:extLst>
        </xdr:cNvPr>
        <xdr:cNvCxnSpPr/>
      </xdr:nvCxnSpPr>
      <xdr:spPr>
        <a:xfrm>
          <a:off x="6282933" y="6054024"/>
          <a:ext cx="0" cy="293162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52</xdr:row>
      <xdr:rowOff>158658</xdr:rowOff>
    </xdr:from>
    <xdr:to>
      <xdr:col>26</xdr:col>
      <xdr:colOff>197625</xdr:colOff>
      <xdr:row>52</xdr:row>
      <xdr:rowOff>158658</xdr:rowOff>
    </xdr:to>
    <xdr:cxnSp macro="">
      <xdr:nvCxnSpPr>
        <xdr:cNvPr id="19" name="Gerader Verbinder 18">
          <a:extLst>
            <a:ext uri="{FF2B5EF4-FFF2-40B4-BE49-F238E27FC236}">
              <a16:creationId xmlns:a16="http://schemas.microsoft.com/office/drawing/2014/main" id="{00000000-0008-0000-0500-000013000000}"/>
            </a:ext>
          </a:extLst>
        </xdr:cNvPr>
        <xdr:cNvCxnSpPr/>
      </xdr:nvCxnSpPr>
      <xdr:spPr>
        <a:xfrm>
          <a:off x="5404135" y="88930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0" name="Gerader Verbinder 19">
          <a:extLst>
            <a:ext uri="{FF2B5EF4-FFF2-40B4-BE49-F238E27FC236}">
              <a16:creationId xmlns:a16="http://schemas.microsoft.com/office/drawing/2014/main" id="{00000000-0008-0000-0500-000014000000}"/>
            </a:ext>
          </a:extLst>
        </xdr:cNvPr>
        <xdr:cNvCxnSpPr/>
      </xdr:nvCxnSpPr>
      <xdr:spPr>
        <a:xfrm>
          <a:off x="5385720" y="613245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1" name="Gerader Verbinder 20">
          <a:extLst>
            <a:ext uri="{FF2B5EF4-FFF2-40B4-BE49-F238E27FC236}">
              <a16:creationId xmlns:a16="http://schemas.microsoft.com/office/drawing/2014/main" id="{00000000-0008-0000-0500-000015000000}"/>
            </a:ext>
          </a:extLst>
        </xdr:cNvPr>
        <xdr:cNvCxnSpPr/>
      </xdr:nvCxnSpPr>
      <xdr:spPr>
        <a:xfrm flipV="1">
          <a:off x="6232116" y="964574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106527</xdr:rowOff>
    </xdr:from>
    <xdr:to>
      <xdr:col>26</xdr:col>
      <xdr:colOff>172696</xdr:colOff>
      <xdr:row>53</xdr:row>
      <xdr:rowOff>57006</xdr:rowOff>
    </xdr:to>
    <xdr:cxnSp macro="">
      <xdr:nvCxnSpPr>
        <xdr:cNvPr id="22" name="Gerader Verbinder 21">
          <a:extLst>
            <a:ext uri="{FF2B5EF4-FFF2-40B4-BE49-F238E27FC236}">
              <a16:creationId xmlns:a16="http://schemas.microsoft.com/office/drawing/2014/main" id="{00000000-0008-0000-0500-000016000000}"/>
            </a:ext>
          </a:extLst>
        </xdr:cNvPr>
        <xdr:cNvCxnSpPr/>
      </xdr:nvCxnSpPr>
      <xdr:spPr>
        <a:xfrm flipV="1">
          <a:off x="6230192" y="884095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3" name="Gerader Verbinder 22">
          <a:extLst>
            <a:ext uri="{FF2B5EF4-FFF2-40B4-BE49-F238E27FC236}">
              <a16:creationId xmlns:a16="http://schemas.microsoft.com/office/drawing/2014/main" id="{00000000-0008-0000-0500-000017000000}"/>
            </a:ext>
          </a:extLst>
        </xdr:cNvPr>
        <xdr:cNvCxnSpPr/>
      </xdr:nvCxnSpPr>
      <xdr:spPr>
        <a:xfrm flipV="1">
          <a:off x="6225561" y="607750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5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5" name="Grafik 24">
          <a:extLst>
            <a:ext uri="{FF2B5EF4-FFF2-40B4-BE49-F238E27FC236}">
              <a16:creationId xmlns:a16="http://schemas.microsoft.com/office/drawing/2014/main" id="{00000000-0008-0000-0500-000019000000}"/>
            </a:ext>
          </a:extLst>
        </xdr:cNvPr>
        <xdr:cNvPicPr>
          <a:picLocks noChangeAspect="1"/>
        </xdr:cNvPicPr>
      </xdr:nvPicPr>
      <xdr:blipFill rotWithShape="1">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rcRect t="3845" b="7693"/>
        <a:stretch/>
      </xdr:blipFill>
      <xdr:spPr>
        <a:xfrm>
          <a:off x="2723027" y="609375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6" name="Grafik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82555"/>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5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5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5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5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5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5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500-00000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36</xdr:row>
          <xdr:rowOff>0</xdr:rowOff>
        </xdr:from>
        <xdr:to>
          <xdr:col>31</xdr:col>
          <xdr:colOff>0</xdr:colOff>
          <xdr:row>37</xdr:row>
          <xdr:rowOff>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5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5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9525</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5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5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5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41" name="Gerader Verbinder 40">
          <a:extLst>
            <a:ext uri="{FF2B5EF4-FFF2-40B4-BE49-F238E27FC236}">
              <a16:creationId xmlns:a16="http://schemas.microsoft.com/office/drawing/2014/main" id="{00000000-0008-0000-0500-000029000000}"/>
            </a:ext>
          </a:extLst>
        </xdr:cNvPr>
        <xdr:cNvCxnSpPr/>
      </xdr:nvCxnSpPr>
      <xdr:spPr>
        <a:xfrm flipV="1">
          <a:off x="1312232" y="822131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42" name="Gerader Verbinder 41">
          <a:extLst>
            <a:ext uri="{FF2B5EF4-FFF2-40B4-BE49-F238E27FC236}">
              <a16:creationId xmlns:a16="http://schemas.microsoft.com/office/drawing/2014/main" id="{00000000-0008-0000-0500-00002A000000}"/>
            </a:ext>
          </a:extLst>
        </xdr:cNvPr>
        <xdr:cNvCxnSpPr/>
      </xdr:nvCxnSpPr>
      <xdr:spPr>
        <a:xfrm flipV="1">
          <a:off x="3637524" y="821722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5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5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5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52</xdr:row>
          <xdr:rowOff>114300</xdr:rowOff>
        </xdr:from>
        <xdr:to>
          <xdr:col>10</xdr:col>
          <xdr:colOff>114300</xdr:colOff>
          <xdr:row>53</xdr:row>
          <xdr:rowOff>114300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5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47" name="Gerader Verbinder 46">
          <a:extLst>
            <a:ext uri="{FF2B5EF4-FFF2-40B4-BE49-F238E27FC236}">
              <a16:creationId xmlns:a16="http://schemas.microsoft.com/office/drawing/2014/main" id="{00000000-0008-0000-0500-00002F000000}"/>
            </a:ext>
          </a:extLst>
        </xdr:cNvPr>
        <xdr:cNvCxnSpPr/>
      </xdr:nvCxnSpPr>
      <xdr:spPr>
        <a:xfrm>
          <a:off x="3695700" y="753560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48" name="Gerader Verbinder 47">
          <a:extLst>
            <a:ext uri="{FF2B5EF4-FFF2-40B4-BE49-F238E27FC236}">
              <a16:creationId xmlns:a16="http://schemas.microsoft.com/office/drawing/2014/main" id="{00000000-0008-0000-0500-000030000000}"/>
            </a:ext>
          </a:extLst>
        </xdr:cNvPr>
        <xdr:cNvCxnSpPr/>
      </xdr:nvCxnSpPr>
      <xdr:spPr>
        <a:xfrm>
          <a:off x="1371600" y="748595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500-00001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500-00001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5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5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53" name="Gerader Verbinder 52">
          <a:extLst>
            <a:ext uri="{FF2B5EF4-FFF2-40B4-BE49-F238E27FC236}">
              <a16:creationId xmlns:a16="http://schemas.microsoft.com/office/drawing/2014/main" id="{00000000-0008-0000-0500-000035000000}"/>
            </a:ext>
          </a:extLst>
        </xdr:cNvPr>
        <xdr:cNvCxnSpPr/>
      </xdr:nvCxnSpPr>
      <xdr:spPr>
        <a:xfrm>
          <a:off x="5464488" y="796301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54" name="Gerader Verbinder 53">
          <a:extLst>
            <a:ext uri="{FF2B5EF4-FFF2-40B4-BE49-F238E27FC236}">
              <a16:creationId xmlns:a16="http://schemas.microsoft.com/office/drawing/2014/main" id="{00000000-0008-0000-0500-000036000000}"/>
            </a:ext>
          </a:extLst>
        </xdr:cNvPr>
        <xdr:cNvCxnSpPr/>
      </xdr:nvCxnSpPr>
      <xdr:spPr>
        <a:xfrm>
          <a:off x="5620705" y="734679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55" name="Gerader Verbinder 54">
          <a:extLst>
            <a:ext uri="{FF2B5EF4-FFF2-40B4-BE49-F238E27FC236}">
              <a16:creationId xmlns:a16="http://schemas.microsoft.com/office/drawing/2014/main" id="{00000000-0008-0000-0500-000037000000}"/>
            </a:ext>
          </a:extLst>
        </xdr:cNvPr>
        <xdr:cNvCxnSpPr/>
      </xdr:nvCxnSpPr>
      <xdr:spPr>
        <a:xfrm>
          <a:off x="5094773" y="744231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56" name="Gerader Verbinder 55">
          <a:extLst>
            <a:ext uri="{FF2B5EF4-FFF2-40B4-BE49-F238E27FC236}">
              <a16:creationId xmlns:a16="http://schemas.microsoft.com/office/drawing/2014/main" id="{00000000-0008-0000-0500-000038000000}"/>
            </a:ext>
          </a:extLst>
        </xdr:cNvPr>
        <xdr:cNvCxnSpPr/>
      </xdr:nvCxnSpPr>
      <xdr:spPr>
        <a:xfrm flipV="1">
          <a:off x="5564542" y="73849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57" name="Gerader Verbinder 56">
          <a:extLst>
            <a:ext uri="{FF2B5EF4-FFF2-40B4-BE49-F238E27FC236}">
              <a16:creationId xmlns:a16="http://schemas.microsoft.com/office/drawing/2014/main" id="{00000000-0008-0000-0500-000039000000}"/>
            </a:ext>
          </a:extLst>
        </xdr:cNvPr>
        <xdr:cNvCxnSpPr/>
      </xdr:nvCxnSpPr>
      <xdr:spPr>
        <a:xfrm flipV="1">
          <a:off x="5564542" y="79032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500-00001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9241" name="Check Box 25" hidden="1">
              <a:extLst>
                <a:ext uri="{63B3BB69-23CF-44E3-9099-C40C66FF867C}">
                  <a14:compatExt spid="_x0000_s9241"/>
                </a:ext>
                <a:ext uri="{FF2B5EF4-FFF2-40B4-BE49-F238E27FC236}">
                  <a16:creationId xmlns:a16="http://schemas.microsoft.com/office/drawing/2014/main" id="{00000000-0008-0000-0500-00001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500-00001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500-00001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500-00001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500-00001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66" name="Rechteck 65">
          <a:extLst>
            <a:ext uri="{FF2B5EF4-FFF2-40B4-BE49-F238E27FC236}">
              <a16:creationId xmlns:a16="http://schemas.microsoft.com/office/drawing/2014/main" id="{00000000-0008-0000-0500-000042000000}"/>
            </a:ext>
          </a:extLst>
        </xdr:cNvPr>
        <xdr:cNvSpPr/>
      </xdr:nvSpPr>
      <xdr:spPr>
        <a:xfrm>
          <a:off x="3964620" y="1209618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500-00002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9249" name="Check Box 33" hidden="1">
              <a:extLst>
                <a:ext uri="{63B3BB69-23CF-44E3-9099-C40C66FF867C}">
                  <a14:compatExt spid="_x0000_s9249"/>
                </a:ext>
                <a:ext uri="{FF2B5EF4-FFF2-40B4-BE49-F238E27FC236}">
                  <a16:creationId xmlns:a16="http://schemas.microsoft.com/office/drawing/2014/main" id="{00000000-0008-0000-0500-00002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9250" name="Check Box 34" hidden="1">
              <a:extLst>
                <a:ext uri="{63B3BB69-23CF-44E3-9099-C40C66FF867C}">
                  <a14:compatExt spid="_x0000_s9250"/>
                </a:ext>
                <a:ext uri="{FF2B5EF4-FFF2-40B4-BE49-F238E27FC236}">
                  <a16:creationId xmlns:a16="http://schemas.microsoft.com/office/drawing/2014/main" id="{00000000-0008-0000-0500-00002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70" name="Rechteck 69">
          <a:extLst>
            <a:ext uri="{FF2B5EF4-FFF2-40B4-BE49-F238E27FC236}">
              <a16:creationId xmlns:a16="http://schemas.microsoft.com/office/drawing/2014/main" id="{00000000-0008-0000-0500-000046000000}"/>
            </a:ext>
          </a:extLst>
        </xdr:cNvPr>
        <xdr:cNvSpPr/>
      </xdr:nvSpPr>
      <xdr:spPr>
        <a:xfrm>
          <a:off x="3432341" y="1306592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57150</xdr:colOff>
          <xdr:row>81</xdr:row>
          <xdr:rowOff>9525</xdr:rowOff>
        </xdr:from>
        <xdr:to>
          <xdr:col>14</xdr:col>
          <xdr:colOff>57150</xdr:colOff>
          <xdr:row>82</xdr:row>
          <xdr:rowOff>9525</xdr:rowOff>
        </xdr:to>
        <xdr:sp macro="" textlink="">
          <xdr:nvSpPr>
            <xdr:cNvPr id="9251" name="Check Box 35" hidden="1">
              <a:extLst>
                <a:ext uri="{63B3BB69-23CF-44E3-9099-C40C66FF867C}">
                  <a14:compatExt spid="_x0000_s9251"/>
                </a:ext>
                <a:ext uri="{FF2B5EF4-FFF2-40B4-BE49-F238E27FC236}">
                  <a16:creationId xmlns:a16="http://schemas.microsoft.com/office/drawing/2014/main" id="{00000000-0008-0000-0500-00002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72" name="Rechteck 71">
          <a:extLst>
            <a:ext uri="{FF2B5EF4-FFF2-40B4-BE49-F238E27FC236}">
              <a16:creationId xmlns:a16="http://schemas.microsoft.com/office/drawing/2014/main" id="{00000000-0008-0000-0500-000048000000}"/>
            </a:ext>
          </a:extLst>
        </xdr:cNvPr>
        <xdr:cNvSpPr/>
      </xdr:nvSpPr>
      <xdr:spPr>
        <a:xfrm>
          <a:off x="3365106" y="1035752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19050</xdr:colOff>
          <xdr:row>62</xdr:row>
          <xdr:rowOff>9525</xdr:rowOff>
        </xdr:from>
        <xdr:to>
          <xdr:col>14</xdr:col>
          <xdr:colOff>19050</xdr:colOff>
          <xdr:row>63</xdr:row>
          <xdr:rowOff>9525</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500-00002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67</xdr:row>
      <xdr:rowOff>146957</xdr:rowOff>
    </xdr:from>
    <xdr:to>
      <xdr:col>12</xdr:col>
      <xdr:colOff>29135</xdr:colOff>
      <xdr:row>69</xdr:row>
      <xdr:rowOff>147276</xdr:rowOff>
    </xdr:to>
    <xdr:sp macro="" textlink="">
      <xdr:nvSpPr>
        <xdr:cNvPr id="74" name="Rechteck 73">
          <a:extLst>
            <a:ext uri="{FF2B5EF4-FFF2-40B4-BE49-F238E27FC236}">
              <a16:creationId xmlns:a16="http://schemas.microsoft.com/office/drawing/2014/main" id="{00000000-0008-0000-0500-00004A000000}"/>
            </a:ext>
          </a:extLst>
        </xdr:cNvPr>
        <xdr:cNvSpPr/>
      </xdr:nvSpPr>
      <xdr:spPr>
        <a:xfrm>
          <a:off x="2967297" y="11310257"/>
          <a:ext cx="166988" cy="3241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66675</xdr:colOff>
          <xdr:row>68</xdr:row>
          <xdr:rowOff>0</xdr:rowOff>
        </xdr:from>
        <xdr:to>
          <xdr:col>12</xdr:col>
          <xdr:colOff>66675</xdr:colOff>
          <xdr:row>69</xdr:row>
          <xdr:rowOff>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500-00002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9254" name="Check Box 38" hidden="1">
              <a:extLst>
                <a:ext uri="{63B3BB69-23CF-44E3-9099-C40C66FF867C}">
                  <a14:compatExt spid="_x0000_s9254"/>
                </a:ext>
                <a:ext uri="{FF2B5EF4-FFF2-40B4-BE49-F238E27FC236}">
                  <a16:creationId xmlns:a16="http://schemas.microsoft.com/office/drawing/2014/main" id="{00000000-0008-0000-0500-00002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9255" name="Check Box 39" hidden="1">
              <a:extLst>
                <a:ext uri="{63B3BB69-23CF-44E3-9099-C40C66FF867C}">
                  <a14:compatExt spid="_x0000_s9255"/>
                </a:ext>
                <a:ext uri="{FF2B5EF4-FFF2-40B4-BE49-F238E27FC236}">
                  <a16:creationId xmlns:a16="http://schemas.microsoft.com/office/drawing/2014/main" id="{00000000-0008-0000-0500-00002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78" name="Gerader Verbinder 77">
          <a:extLst>
            <a:ext uri="{FF2B5EF4-FFF2-40B4-BE49-F238E27FC236}">
              <a16:creationId xmlns:a16="http://schemas.microsoft.com/office/drawing/2014/main" id="{00000000-0008-0000-0500-00004E000000}"/>
            </a:ext>
          </a:extLst>
        </xdr:cNvPr>
        <xdr:cNvCxnSpPr/>
      </xdr:nvCxnSpPr>
      <xdr:spPr>
        <a:xfrm flipV="1">
          <a:off x="1296709" y="489985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160442</xdr:colOff>
      <xdr:row>27</xdr:row>
      <xdr:rowOff>171880</xdr:rowOff>
    </xdr:from>
    <xdr:to>
      <xdr:col>8</xdr:col>
      <xdr:colOff>52827</xdr:colOff>
      <xdr:row>28</xdr:row>
      <xdr:rowOff>57668</xdr:rowOff>
    </xdr:to>
    <xdr:cxnSp macro="">
      <xdr:nvCxnSpPr>
        <xdr:cNvPr id="79" name="Gerader Verbinder 78">
          <a:extLst>
            <a:ext uri="{FF2B5EF4-FFF2-40B4-BE49-F238E27FC236}">
              <a16:creationId xmlns:a16="http://schemas.microsoft.com/office/drawing/2014/main" id="{00000000-0008-0000-0500-00004F000000}"/>
            </a:ext>
          </a:extLst>
        </xdr:cNvPr>
        <xdr:cNvCxnSpPr/>
      </xdr:nvCxnSpPr>
      <xdr:spPr>
        <a:xfrm flipV="1">
          <a:off x="2170217" y="490580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80" name="Gerader Verbinder 79">
          <a:extLst>
            <a:ext uri="{FF2B5EF4-FFF2-40B4-BE49-F238E27FC236}">
              <a16:creationId xmlns:a16="http://schemas.microsoft.com/office/drawing/2014/main" id="{00000000-0008-0000-0500-000050000000}"/>
            </a:ext>
          </a:extLst>
        </xdr:cNvPr>
        <xdr:cNvCxnSpPr/>
      </xdr:nvCxnSpPr>
      <xdr:spPr>
        <a:xfrm flipV="1">
          <a:off x="3044135" y="490937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81" name="Gerader Verbinder 80">
          <a:extLst>
            <a:ext uri="{FF2B5EF4-FFF2-40B4-BE49-F238E27FC236}">
              <a16:creationId xmlns:a16="http://schemas.microsoft.com/office/drawing/2014/main" id="{00000000-0008-0000-0500-000051000000}"/>
            </a:ext>
          </a:extLst>
        </xdr:cNvPr>
        <xdr:cNvCxnSpPr/>
      </xdr:nvCxnSpPr>
      <xdr:spPr>
        <a:xfrm flipV="1">
          <a:off x="3924007" y="490699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82" name="Gerader Verbinder 81">
          <a:extLst>
            <a:ext uri="{FF2B5EF4-FFF2-40B4-BE49-F238E27FC236}">
              <a16:creationId xmlns:a16="http://schemas.microsoft.com/office/drawing/2014/main" id="{00000000-0008-0000-0500-000052000000}"/>
            </a:ext>
          </a:extLst>
        </xdr:cNvPr>
        <xdr:cNvCxnSpPr/>
      </xdr:nvCxnSpPr>
      <xdr:spPr>
        <a:xfrm flipV="1">
          <a:off x="4797925" y="490461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83" name="Gerader Verbinder 82">
          <a:extLst>
            <a:ext uri="{FF2B5EF4-FFF2-40B4-BE49-F238E27FC236}">
              <a16:creationId xmlns:a16="http://schemas.microsoft.com/office/drawing/2014/main" id="{00000000-0008-0000-0500-000053000000}"/>
            </a:ext>
          </a:extLst>
        </xdr:cNvPr>
        <xdr:cNvCxnSpPr/>
      </xdr:nvCxnSpPr>
      <xdr:spPr>
        <a:xfrm flipV="1">
          <a:off x="5677797" y="490818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84" name="Gerader Verbinder 83">
          <a:extLst>
            <a:ext uri="{FF2B5EF4-FFF2-40B4-BE49-F238E27FC236}">
              <a16:creationId xmlns:a16="http://schemas.microsoft.com/office/drawing/2014/main" id="{00000000-0008-0000-0500-000054000000}"/>
            </a:ext>
          </a:extLst>
        </xdr:cNvPr>
        <xdr:cNvCxnSpPr/>
      </xdr:nvCxnSpPr>
      <xdr:spPr>
        <a:xfrm flipV="1">
          <a:off x="6551715" y="490580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85" name="Gerader Verbinder 84">
          <a:extLst>
            <a:ext uri="{FF2B5EF4-FFF2-40B4-BE49-F238E27FC236}">
              <a16:creationId xmlns:a16="http://schemas.microsoft.com/office/drawing/2014/main" id="{00000000-0008-0000-0500-000055000000}"/>
            </a:ext>
          </a:extLst>
        </xdr:cNvPr>
        <xdr:cNvCxnSpPr/>
      </xdr:nvCxnSpPr>
      <xdr:spPr>
        <a:xfrm flipV="1">
          <a:off x="7431587" y="490342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86" name="Gerader Verbinder 85">
          <a:extLst>
            <a:ext uri="{FF2B5EF4-FFF2-40B4-BE49-F238E27FC236}">
              <a16:creationId xmlns:a16="http://schemas.microsoft.com/office/drawing/2014/main" id="{00000000-0008-0000-0500-000056000000}"/>
            </a:ext>
          </a:extLst>
        </xdr:cNvPr>
        <xdr:cNvCxnSpPr/>
      </xdr:nvCxnSpPr>
      <xdr:spPr>
        <a:xfrm flipV="1">
          <a:off x="8305505" y="490699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87" name="Gerader Verbinder 86">
          <a:extLst>
            <a:ext uri="{FF2B5EF4-FFF2-40B4-BE49-F238E27FC236}">
              <a16:creationId xmlns:a16="http://schemas.microsoft.com/office/drawing/2014/main" id="{00000000-0008-0000-0500-000057000000}"/>
            </a:ext>
          </a:extLst>
        </xdr:cNvPr>
        <xdr:cNvCxnSpPr/>
      </xdr:nvCxnSpPr>
      <xdr:spPr>
        <a:xfrm flipV="1">
          <a:off x="9179424" y="489866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88" name="Gerader Verbinder 87">
          <a:extLst>
            <a:ext uri="{FF2B5EF4-FFF2-40B4-BE49-F238E27FC236}">
              <a16:creationId xmlns:a16="http://schemas.microsoft.com/office/drawing/2014/main" id="{00000000-0008-0000-0500-000058000000}"/>
            </a:ext>
          </a:extLst>
        </xdr:cNvPr>
        <xdr:cNvCxnSpPr/>
      </xdr:nvCxnSpPr>
      <xdr:spPr>
        <a:xfrm flipV="1">
          <a:off x="10059296" y="490818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89" name="Grafik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25"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55</xdr:row>
          <xdr:rowOff>142875</xdr:rowOff>
        </xdr:from>
        <xdr:to>
          <xdr:col>31</xdr:col>
          <xdr:colOff>0</xdr:colOff>
          <xdr:row>57</xdr:row>
          <xdr:rowOff>0</xdr:rowOff>
        </xdr:to>
        <xdr:sp macro="" textlink="">
          <xdr:nvSpPr>
            <xdr:cNvPr id="9258" name="Check Box 42" hidden="1">
              <a:extLst>
                <a:ext uri="{63B3BB69-23CF-44E3-9099-C40C66FF867C}">
                  <a14:compatExt spid="_x0000_s9258"/>
                </a:ext>
                <a:ext uri="{FF2B5EF4-FFF2-40B4-BE49-F238E27FC236}">
                  <a16:creationId xmlns:a16="http://schemas.microsoft.com/office/drawing/2014/main" id="{00000000-0008-0000-0500-00002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5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4" name="Grafik 93">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77" t="10351" r="77528" b="74663"/>
        <a:stretch/>
      </xdr:blipFill>
      <xdr:spPr>
        <a:xfrm>
          <a:off x="6472514" y="1690818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95" name="Grafik 94">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697" t="10250" r="56015" b="76270"/>
        <a:stretch/>
      </xdr:blipFill>
      <xdr:spPr>
        <a:xfrm>
          <a:off x="7721414" y="1689353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96" name="Grafik 95">
          <a:extLst>
            <a:ext uri="{FF2B5EF4-FFF2-40B4-BE49-F238E27FC236}">
              <a16:creationId xmlns:a16="http://schemas.microsoft.com/office/drawing/2014/main" id="{00000000-0008-0000-0500-000060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8824" t="10375" r="34746" b="74144"/>
        <a:stretch/>
      </xdr:blipFill>
      <xdr:spPr>
        <a:xfrm>
          <a:off x="9146522" y="1690753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97" name="Grafik 96">
          <a:extLst>
            <a:ext uri="{FF2B5EF4-FFF2-40B4-BE49-F238E27FC236}">
              <a16:creationId xmlns:a16="http://schemas.microsoft.com/office/drawing/2014/main" id="{00000000-0008-0000-0500-000061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2700" r="40451" b="43145"/>
        <a:stretch/>
      </xdr:blipFill>
      <xdr:spPr>
        <a:xfrm>
          <a:off x="6563926" y="1857940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98" name="Grafik 97">
          <a:extLst>
            <a:ext uri="{FF2B5EF4-FFF2-40B4-BE49-F238E27FC236}">
              <a16:creationId xmlns:a16="http://schemas.microsoft.com/office/drawing/2014/main" id="{00000000-0008-0000-0500-000062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0330" r="40451" b="41065"/>
        <a:stretch/>
      </xdr:blipFill>
      <xdr:spPr>
        <a:xfrm>
          <a:off x="9225824" y="18354686"/>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99" name="Rechteck 98">
          <a:extLst>
            <a:ext uri="{FF2B5EF4-FFF2-40B4-BE49-F238E27FC236}">
              <a16:creationId xmlns:a16="http://schemas.microsoft.com/office/drawing/2014/main" id="{00000000-0008-0000-0500-000063000000}"/>
            </a:ext>
          </a:extLst>
        </xdr:cNvPr>
        <xdr:cNvSpPr/>
      </xdr:nvSpPr>
      <xdr:spPr>
        <a:xfrm>
          <a:off x="7861588" y="1847976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00" name="Grafik 99">
          <a:extLst>
            <a:ext uri="{FF2B5EF4-FFF2-40B4-BE49-F238E27FC236}">
              <a16:creationId xmlns:a16="http://schemas.microsoft.com/office/drawing/2014/main" id="{00000000-0008-0000-0500-000064000000}"/>
            </a:ext>
          </a:extLst>
        </xdr:cNvPr>
        <xdr:cNvPicPr>
          <a:picLocks noChangeAspect="1"/>
        </xdr:cNvPicPr>
      </xdr:nvPicPr>
      <xdr:blipFill rotWithShape="1">
        <a:blip xmlns:r="http://schemas.openxmlformats.org/officeDocument/2006/relationships" r:embed="rId27" cstate="print">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17681"/>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01" name="Grafik 100">
          <a:extLst>
            <a:ext uri="{FF2B5EF4-FFF2-40B4-BE49-F238E27FC236}">
              <a16:creationId xmlns:a16="http://schemas.microsoft.com/office/drawing/2014/main" id="{00000000-0008-0000-0500-000065000000}"/>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63390" t="41256" r="16917" b="41369"/>
        <a:stretch/>
      </xdr:blipFill>
      <xdr:spPr>
        <a:xfrm>
          <a:off x="7709911" y="18481672"/>
          <a:ext cx="1332502" cy="1608775"/>
        </a:xfrm>
        <a:prstGeom prst="rect">
          <a:avLst/>
        </a:prstGeom>
      </xdr:spPr>
    </xdr:pic>
    <xdr:clientData/>
  </xdr:twoCellAnchor>
  <xdr:twoCellAnchor>
    <xdr:from>
      <xdr:col>52</xdr:col>
      <xdr:colOff>81803</xdr:colOff>
      <xdr:row>24</xdr:row>
      <xdr:rowOff>9930</xdr:rowOff>
    </xdr:from>
    <xdr:to>
      <xdr:col>52</xdr:col>
      <xdr:colOff>535195</xdr:colOff>
      <xdr:row>25</xdr:row>
      <xdr:rowOff>111344</xdr:rowOff>
    </xdr:to>
    <xdr:sp macro="" textlink="">
      <xdr:nvSpPr>
        <xdr:cNvPr id="102" name="Pfeil nach rechts 16">
          <a:hlinkClick xmlns:r="http://schemas.openxmlformats.org/officeDocument/2006/relationships" r:id="rId30"/>
          <a:extLst>
            <a:ext uri="{FF2B5EF4-FFF2-40B4-BE49-F238E27FC236}">
              <a16:creationId xmlns:a16="http://schemas.microsoft.com/office/drawing/2014/main" id="{00000000-0008-0000-0500-000066000000}"/>
            </a:ext>
          </a:extLst>
        </xdr:cNvPr>
        <xdr:cNvSpPr/>
      </xdr:nvSpPr>
      <xdr:spPr>
        <a:xfrm>
          <a:off x="14883653" y="429618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03" name="Grafik 102">
          <a:extLst>
            <a:ext uri="{FF2B5EF4-FFF2-40B4-BE49-F238E27FC236}">
              <a16:creationId xmlns:a16="http://schemas.microsoft.com/office/drawing/2014/main" id="{00000000-0008-0000-0500-000067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r="52107"/>
        <a:stretch/>
      </xdr:blipFill>
      <xdr:spPr>
        <a:xfrm>
          <a:off x="11271436" y="1249231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04" name="Grafik 103">
          <a:extLst>
            <a:ext uri="{FF2B5EF4-FFF2-40B4-BE49-F238E27FC236}">
              <a16:creationId xmlns:a16="http://schemas.microsoft.com/office/drawing/2014/main" id="{00000000-0008-0000-0500-000068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l="51024"/>
        <a:stretch/>
      </xdr:blipFill>
      <xdr:spPr>
        <a:xfrm>
          <a:off x="12055849" y="12492318"/>
          <a:ext cx="699621" cy="745849"/>
        </a:xfrm>
        <a:prstGeom prst="rect">
          <a:avLst/>
        </a:prstGeom>
        <a:ln>
          <a:noFill/>
        </a:ln>
      </xdr:spPr>
    </xdr:pic>
    <xdr:clientData/>
  </xdr:twoCellAnchor>
  <xdr:twoCellAnchor editAs="oneCell">
    <xdr:from>
      <xdr:col>4</xdr:col>
      <xdr:colOff>92531</xdr:colOff>
      <xdr:row>62</xdr:row>
      <xdr:rowOff>118152</xdr:rowOff>
    </xdr:from>
    <xdr:to>
      <xdr:col>8</xdr:col>
      <xdr:colOff>192955</xdr:colOff>
      <xdr:row>68</xdr:row>
      <xdr:rowOff>92530</xdr:rowOff>
    </xdr:to>
    <xdr:pic>
      <xdr:nvPicPr>
        <xdr:cNvPr id="105" name="Grafik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1445081" y="10471827"/>
          <a:ext cx="976724" cy="945928"/>
        </a:xfrm>
        <a:prstGeom prst="rect">
          <a:avLst/>
        </a:prstGeom>
      </xdr:spPr>
    </xdr:pic>
    <xdr:clientData/>
  </xdr:twoCellAnchor>
  <xdr:twoCellAnchor>
    <xdr:from>
      <xdr:col>29</xdr:col>
      <xdr:colOff>110290</xdr:colOff>
      <xdr:row>61</xdr:row>
      <xdr:rowOff>0</xdr:rowOff>
    </xdr:from>
    <xdr:to>
      <xdr:col>31</xdr:col>
      <xdr:colOff>17042</xdr:colOff>
      <xdr:row>63</xdr:row>
      <xdr:rowOff>47122</xdr:rowOff>
    </xdr:to>
    <xdr:sp macro="" textlink="">
      <xdr:nvSpPr>
        <xdr:cNvPr id="106" name="Rechteck 105">
          <a:extLst>
            <a:ext uri="{FF2B5EF4-FFF2-40B4-BE49-F238E27FC236}">
              <a16:creationId xmlns:a16="http://schemas.microsoft.com/office/drawing/2014/main" id="{00000000-0008-0000-0500-00006A000000}"/>
            </a:ext>
          </a:extLst>
        </xdr:cNvPr>
        <xdr:cNvSpPr/>
      </xdr:nvSpPr>
      <xdr:spPr>
        <a:xfrm>
          <a:off x="6939715" y="10191750"/>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17</xdr:col>
      <xdr:colOff>48987</xdr:colOff>
      <xdr:row>62</xdr:row>
      <xdr:rowOff>10885</xdr:rowOff>
    </xdr:from>
    <xdr:to>
      <xdr:col>20</xdr:col>
      <xdr:colOff>99131</xdr:colOff>
      <xdr:row>69</xdr:row>
      <xdr:rowOff>27690</xdr:rowOff>
    </xdr:to>
    <xdr:pic>
      <xdr:nvPicPr>
        <xdr:cNvPr id="107" name="Grafik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4249512" y="10364560"/>
          <a:ext cx="707369" cy="1150280"/>
        </a:xfrm>
        <a:prstGeom prst="rect">
          <a:avLst/>
        </a:prstGeom>
      </xdr:spPr>
    </xdr:pic>
    <xdr:clientData/>
  </xdr:twoCellAnchor>
  <xdr:twoCellAnchor editAs="oneCell">
    <xdr:from>
      <xdr:col>5</xdr:col>
      <xdr:colOff>14177</xdr:colOff>
      <xdr:row>73</xdr:row>
      <xdr:rowOff>43542</xdr:rowOff>
    </xdr:from>
    <xdr:to>
      <xdr:col>10</xdr:col>
      <xdr:colOff>120072</xdr:colOff>
      <xdr:row>81</xdr:row>
      <xdr:rowOff>76200</xdr:rowOff>
    </xdr:to>
    <xdr:pic>
      <xdr:nvPicPr>
        <xdr:cNvPr id="108" name="Grafik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1585802" y="12178392"/>
          <a:ext cx="1201270" cy="1318533"/>
        </a:xfrm>
        <a:prstGeom prst="rect">
          <a:avLst/>
        </a:prstGeom>
      </xdr:spPr>
    </xdr:pic>
    <xdr:clientData/>
  </xdr:twoCellAnchor>
  <xdr:twoCellAnchor editAs="oneCell">
    <xdr:from>
      <xdr:col>19</xdr:col>
      <xdr:colOff>217712</xdr:colOff>
      <xdr:row>72</xdr:row>
      <xdr:rowOff>65314</xdr:rowOff>
    </xdr:from>
    <xdr:to>
      <xdr:col>24</xdr:col>
      <xdr:colOff>134364</xdr:colOff>
      <xdr:row>83</xdr:row>
      <xdr:rowOff>3198</xdr:rowOff>
    </xdr:to>
    <xdr:pic>
      <xdr:nvPicPr>
        <xdr:cNvPr id="109" name="Grafik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856387" y="12038239"/>
          <a:ext cx="1012027" cy="1709534"/>
        </a:xfrm>
        <a:prstGeom prst="rect">
          <a:avLst/>
        </a:prstGeom>
      </xdr:spPr>
    </xdr:pic>
    <xdr:clientData/>
  </xdr:twoCellAnchor>
  <xdr:twoCellAnchor editAs="oneCell">
    <xdr:from>
      <xdr:col>4</xdr:col>
      <xdr:colOff>215709</xdr:colOff>
      <xdr:row>86</xdr:row>
      <xdr:rowOff>41979</xdr:rowOff>
    </xdr:from>
    <xdr:to>
      <xdr:col>10</xdr:col>
      <xdr:colOff>212835</xdr:colOff>
      <xdr:row>92</xdr:row>
      <xdr:rowOff>35842</xdr:rowOff>
    </xdr:to>
    <xdr:pic>
      <xdr:nvPicPr>
        <xdr:cNvPr id="110" name="Grafik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568259" y="14272329"/>
          <a:ext cx="1311576" cy="965413"/>
        </a:xfrm>
        <a:prstGeom prst="rect">
          <a:avLst/>
        </a:prstGeom>
      </xdr:spPr>
    </xdr:pic>
    <xdr:clientData/>
  </xdr:twoCellAnchor>
  <xdr:twoCellAnchor editAs="oneCell">
    <xdr:from>
      <xdr:col>20</xdr:col>
      <xdr:colOff>130342</xdr:colOff>
      <xdr:row>87</xdr:row>
      <xdr:rowOff>56997</xdr:rowOff>
    </xdr:from>
    <xdr:to>
      <xdr:col>24</xdr:col>
      <xdr:colOff>104249</xdr:colOff>
      <xdr:row>92</xdr:row>
      <xdr:rowOff>13522</xdr:rowOff>
    </xdr:to>
    <xdr:pic>
      <xdr:nvPicPr>
        <xdr:cNvPr id="111" name="Grafik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4988092" y="14449272"/>
          <a:ext cx="850207" cy="766150"/>
        </a:xfrm>
        <a:prstGeom prst="rect">
          <a:avLst/>
        </a:prstGeom>
      </xdr:spPr>
    </xdr:pic>
    <xdr:clientData/>
  </xdr:twoCellAnchor>
  <xdr:twoCellAnchor>
    <xdr:from>
      <xdr:col>19</xdr:col>
      <xdr:colOff>190794</xdr:colOff>
      <xdr:row>86</xdr:row>
      <xdr:rowOff>85223</xdr:rowOff>
    </xdr:from>
    <xdr:to>
      <xdr:col>23</xdr:col>
      <xdr:colOff>90236</xdr:colOff>
      <xdr:row>90</xdr:row>
      <xdr:rowOff>115302</xdr:rowOff>
    </xdr:to>
    <xdr:sp macro="" textlink="">
      <xdr:nvSpPr>
        <xdr:cNvPr id="112" name="Rechteck 111">
          <a:extLst>
            <a:ext uri="{FF2B5EF4-FFF2-40B4-BE49-F238E27FC236}">
              <a16:creationId xmlns:a16="http://schemas.microsoft.com/office/drawing/2014/main" id="{00000000-0008-0000-0500-000070000000}"/>
            </a:ext>
          </a:extLst>
        </xdr:cNvPr>
        <xdr:cNvSpPr/>
      </xdr:nvSpPr>
      <xdr:spPr>
        <a:xfrm>
          <a:off x="4829469" y="14315573"/>
          <a:ext cx="775742" cy="6777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5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33</xdr:col>
      <xdr:colOff>112295</xdr:colOff>
      <xdr:row>61</xdr:row>
      <xdr:rowOff>27071</xdr:rowOff>
    </xdr:from>
    <xdr:to>
      <xdr:col>35</xdr:col>
      <xdr:colOff>19047</xdr:colOff>
      <xdr:row>63</xdr:row>
      <xdr:rowOff>74193</xdr:rowOff>
    </xdr:to>
    <xdr:sp macro="" textlink="">
      <xdr:nvSpPr>
        <xdr:cNvPr id="114" name="Rechteck 113">
          <a:extLst>
            <a:ext uri="{FF2B5EF4-FFF2-40B4-BE49-F238E27FC236}">
              <a16:creationId xmlns:a16="http://schemas.microsoft.com/office/drawing/2014/main" id="{00000000-0008-0000-0500-000072000000}"/>
            </a:ext>
          </a:extLst>
        </xdr:cNvPr>
        <xdr:cNvSpPr/>
      </xdr:nvSpPr>
      <xdr:spPr>
        <a:xfrm>
          <a:off x="7818020" y="10218821"/>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9261" name="Check Box 45" hidden="1">
              <a:extLst>
                <a:ext uri="{63B3BB69-23CF-44E3-9099-C40C66FF867C}">
                  <a14:compatExt spid="_x0000_s9261"/>
                </a:ext>
                <a:ext uri="{FF2B5EF4-FFF2-40B4-BE49-F238E27FC236}">
                  <a16:creationId xmlns:a16="http://schemas.microsoft.com/office/drawing/2014/main" id="{00000000-0008-0000-05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37</xdr:col>
      <xdr:colOff>69182</xdr:colOff>
      <xdr:row>61</xdr:row>
      <xdr:rowOff>34090</xdr:rowOff>
    </xdr:from>
    <xdr:to>
      <xdr:col>38</xdr:col>
      <xdr:colOff>196513</xdr:colOff>
      <xdr:row>63</xdr:row>
      <xdr:rowOff>81212</xdr:rowOff>
    </xdr:to>
    <xdr:sp macro="" textlink="">
      <xdr:nvSpPr>
        <xdr:cNvPr id="116" name="Rechteck 115">
          <a:extLst>
            <a:ext uri="{FF2B5EF4-FFF2-40B4-BE49-F238E27FC236}">
              <a16:creationId xmlns:a16="http://schemas.microsoft.com/office/drawing/2014/main" id="{00000000-0008-0000-0500-000074000000}"/>
            </a:ext>
          </a:extLst>
        </xdr:cNvPr>
        <xdr:cNvSpPr/>
      </xdr:nvSpPr>
      <xdr:spPr>
        <a:xfrm>
          <a:off x="8651207" y="10225840"/>
          <a:ext cx="346406"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5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41</xdr:col>
      <xdr:colOff>46123</xdr:colOff>
      <xdr:row>61</xdr:row>
      <xdr:rowOff>41109</xdr:rowOff>
    </xdr:from>
    <xdr:to>
      <xdr:col>42</xdr:col>
      <xdr:colOff>173455</xdr:colOff>
      <xdr:row>63</xdr:row>
      <xdr:rowOff>88231</xdr:rowOff>
    </xdr:to>
    <xdr:sp macro="" textlink="">
      <xdr:nvSpPr>
        <xdr:cNvPr id="118" name="Rechteck 117">
          <a:extLst>
            <a:ext uri="{FF2B5EF4-FFF2-40B4-BE49-F238E27FC236}">
              <a16:creationId xmlns:a16="http://schemas.microsoft.com/office/drawing/2014/main" id="{00000000-0008-0000-0500-000076000000}"/>
            </a:ext>
          </a:extLst>
        </xdr:cNvPr>
        <xdr:cNvSpPr/>
      </xdr:nvSpPr>
      <xdr:spPr>
        <a:xfrm>
          <a:off x="9504448" y="10232859"/>
          <a:ext cx="346407"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5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29</xdr:col>
      <xdr:colOff>155411</xdr:colOff>
      <xdr:row>61</xdr:row>
      <xdr:rowOff>35094</xdr:rowOff>
    </xdr:from>
    <xdr:to>
      <xdr:col>45</xdr:col>
      <xdr:colOff>139037</xdr:colOff>
      <xdr:row>67</xdr:row>
      <xdr:rowOff>135776</xdr:rowOff>
    </xdr:to>
    <xdr:pic>
      <xdr:nvPicPr>
        <xdr:cNvPr id="2" name="Grafik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t="22737"/>
        <a:stretch/>
      </xdr:blipFill>
      <xdr:spPr>
        <a:xfrm>
          <a:off x="6984836" y="10226844"/>
          <a:ext cx="3365001" cy="1072232"/>
        </a:xfrm>
        <a:prstGeom prst="rect">
          <a:avLst/>
        </a:prstGeom>
      </xdr:spPr>
    </xdr:pic>
    <xdr:clientData/>
  </xdr:twoCellAnchor>
  <xdr:twoCellAnchor editAs="oneCell">
    <xdr:from>
      <xdr:col>11</xdr:col>
      <xdr:colOff>156269</xdr:colOff>
      <xdr:row>86</xdr:row>
      <xdr:rowOff>42709</xdr:rowOff>
    </xdr:from>
    <xdr:to>
      <xdr:col>17</xdr:col>
      <xdr:colOff>178041</xdr:colOff>
      <xdr:row>93</xdr:row>
      <xdr:rowOff>16767</xdr:rowOff>
    </xdr:to>
    <xdr:pic>
      <xdr:nvPicPr>
        <xdr:cNvPr id="3" name="Grafik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042344" y="14273059"/>
          <a:ext cx="1336222" cy="1107533"/>
        </a:xfrm>
        <a:prstGeom prst="rect">
          <a:avLst/>
        </a:prstGeom>
      </xdr:spPr>
    </xdr:pic>
    <xdr:clientData/>
  </xdr:twoCellAnchor>
  <xdr:twoCellAnchor editAs="oneCell">
    <xdr:from>
      <xdr:col>13</xdr:col>
      <xdr:colOff>35312</xdr:colOff>
      <xdr:row>72</xdr:row>
      <xdr:rowOff>87087</xdr:rowOff>
    </xdr:from>
    <xdr:to>
      <xdr:col>17</xdr:col>
      <xdr:colOff>51437</xdr:colOff>
      <xdr:row>82</xdr:row>
      <xdr:rowOff>105640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359537" y="12060012"/>
          <a:ext cx="892425" cy="1628278"/>
        </a:xfrm>
        <a:prstGeom prst="rect">
          <a:avLst/>
        </a:prstGeom>
      </xdr:spPr>
    </xdr:pic>
    <xdr:clientData/>
  </xdr:twoCellAnchor>
  <xdr:twoCellAnchor editAs="oneCell">
    <xdr:from>
      <xdr:col>23</xdr:col>
      <xdr:colOff>50316</xdr:colOff>
      <xdr:row>61</xdr:row>
      <xdr:rowOff>76201</xdr:rowOff>
    </xdr:from>
    <xdr:to>
      <xdr:col>26</xdr:col>
      <xdr:colOff>176663</xdr:colOff>
      <xdr:row>69</xdr:row>
      <xdr:rowOff>136073</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5565291" y="10267951"/>
          <a:ext cx="783572" cy="1355272"/>
        </a:xfrm>
        <a:prstGeom prst="rect">
          <a:avLst/>
        </a:prstGeom>
      </xdr:spPr>
    </xdr:pic>
    <xdr:clientData/>
  </xdr:twoCellAnchor>
  <xdr:twoCellAnchor editAs="oneCell">
    <xdr:from>
      <xdr:col>10</xdr:col>
      <xdr:colOff>195196</xdr:colOff>
      <xdr:row>62</xdr:row>
      <xdr:rowOff>0</xdr:rowOff>
    </xdr:from>
    <xdr:to>
      <xdr:col>14</xdr:col>
      <xdr:colOff>179360</xdr:colOff>
      <xdr:row>69</xdr:row>
      <xdr:rowOff>32654</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2862196" y="10353675"/>
          <a:ext cx="860464" cy="1166129"/>
        </a:xfrm>
        <a:prstGeom prst="rect">
          <a:avLst/>
        </a:prstGeom>
      </xdr:spPr>
    </xdr:pic>
    <xdr:clientData/>
  </xdr:twoCellAnchor>
  <xdr:twoCellAnchor editAs="oneCell">
    <xdr:from>
      <xdr:col>16</xdr:col>
      <xdr:colOff>0</xdr:colOff>
      <xdr:row>45</xdr:row>
      <xdr:rowOff>48283</xdr:rowOff>
    </xdr:from>
    <xdr:to>
      <xdr:col>22</xdr:col>
      <xdr:colOff>196453</xdr:colOff>
      <xdr:row>58</xdr:row>
      <xdr:rowOff>128124</xdr:rowOff>
    </xdr:to>
    <xdr:pic>
      <xdr:nvPicPr>
        <xdr:cNvPr id="7" name="Grafik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81450" y="7649233"/>
          <a:ext cx="1510903" cy="2184866"/>
        </a:xfrm>
        <a:prstGeom prst="rect">
          <a:avLst/>
        </a:prstGeom>
      </xdr:spPr>
    </xdr:pic>
    <xdr:clientData/>
  </xdr:twoCellAnchor>
  <xdr:twoCellAnchor editAs="oneCell">
    <xdr:from>
      <xdr:col>16</xdr:col>
      <xdr:colOff>23812</xdr:colOff>
      <xdr:row>35</xdr:row>
      <xdr:rowOff>86816</xdr:rowOff>
    </xdr:from>
    <xdr:to>
      <xdr:col>23</xdr:col>
      <xdr:colOff>15026</xdr:colOff>
      <xdr:row>43</xdr:row>
      <xdr:rowOff>80264</xdr:rowOff>
    </xdr:to>
    <xdr:pic>
      <xdr:nvPicPr>
        <xdr:cNvPr id="8" name="Grafik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5262" y="6068516"/>
          <a:ext cx="1524739" cy="1288848"/>
        </a:xfrm>
        <a:prstGeom prst="rect">
          <a:avLst/>
        </a:prstGeom>
      </xdr:spPr>
    </xdr:pic>
    <xdr:clientData/>
  </xdr:twoCellAnchor>
  <xdr:twoCellAnchor editAs="oneCell">
    <xdr:from>
      <xdr:col>10</xdr:col>
      <xdr:colOff>104982</xdr:colOff>
      <xdr:row>49</xdr:row>
      <xdr:rowOff>73138</xdr:rowOff>
    </xdr:from>
    <xdr:to>
      <xdr:col>14</xdr:col>
      <xdr:colOff>193839</xdr:colOff>
      <xdr:row>58</xdr:row>
      <xdr:rowOff>101203</xdr:rowOff>
    </xdr:to>
    <xdr:pic>
      <xdr:nvPicPr>
        <xdr:cNvPr id="9" name="Grafik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2771982" y="8321788"/>
          <a:ext cx="965157" cy="1485390"/>
        </a:xfrm>
        <a:prstGeom prst="rect">
          <a:avLst/>
        </a:prstGeom>
      </xdr:spPr>
    </xdr:pic>
    <xdr:clientData/>
  </xdr:twoCellAnchor>
  <xdr:twoCellAnchor editAs="oneCell">
    <xdr:from>
      <xdr:col>3</xdr:col>
      <xdr:colOff>64742</xdr:colOff>
      <xdr:row>49</xdr:row>
      <xdr:rowOff>71439</xdr:rowOff>
    </xdr:from>
    <xdr:to>
      <xdr:col>8</xdr:col>
      <xdr:colOff>72393</xdr:colOff>
      <xdr:row>58</xdr:row>
      <xdr:rowOff>95251</xdr:rowOff>
    </xdr:to>
    <xdr:pic>
      <xdr:nvPicPr>
        <xdr:cNvPr id="10" name="Grafik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1331567" y="8320089"/>
          <a:ext cx="969676" cy="1481137"/>
        </a:xfrm>
        <a:prstGeom prst="rect">
          <a:avLst/>
        </a:prstGeom>
      </xdr:spPr>
    </xdr:pic>
    <xdr:clientData/>
  </xdr:twoCellAnchor>
  <xdr:twoCellAnchor editAs="oneCell">
    <xdr:from>
      <xdr:col>12</xdr:col>
      <xdr:colOff>161337</xdr:colOff>
      <xdr:row>40</xdr:row>
      <xdr:rowOff>76061</xdr:rowOff>
    </xdr:from>
    <xdr:to>
      <xdr:col>14</xdr:col>
      <xdr:colOff>191781</xdr:colOff>
      <xdr:row>47</xdr:row>
      <xdr:rowOff>27385</xdr:rowOff>
    </xdr:to>
    <xdr:pic>
      <xdr:nvPicPr>
        <xdr:cNvPr id="11" name="Grafik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rot="10800000">
          <a:off x="3266487" y="6867386"/>
          <a:ext cx="468594" cy="1084799"/>
        </a:xfrm>
        <a:prstGeom prst="rect">
          <a:avLst/>
        </a:prstGeom>
      </xdr:spPr>
    </xdr:pic>
    <xdr:clientData/>
  </xdr:twoCellAnchor>
  <xdr:twoCellAnchor editAs="oneCell">
    <xdr:from>
      <xdr:col>3</xdr:col>
      <xdr:colOff>62517</xdr:colOff>
      <xdr:row>40</xdr:row>
      <xdr:rowOff>84395</xdr:rowOff>
    </xdr:from>
    <xdr:to>
      <xdr:col>6</xdr:col>
      <xdr:colOff>9618</xdr:colOff>
      <xdr:row>47</xdr:row>
      <xdr:rowOff>35719</xdr:rowOff>
    </xdr:to>
    <xdr:pic>
      <xdr:nvPicPr>
        <xdr:cNvPr id="12" name="Grafik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9342" y="6875720"/>
          <a:ext cx="470976" cy="1084799"/>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3" name="Rechteck 12">
          <a:extLst>
            <a:ext uri="{FF2B5EF4-FFF2-40B4-BE49-F238E27FC236}">
              <a16:creationId xmlns:a16="http://schemas.microsoft.com/office/drawing/2014/main" id="{00000000-0008-0000-0700-00000D000000}"/>
            </a:ext>
          </a:extLst>
        </xdr:cNvPr>
        <xdr:cNvSpPr/>
      </xdr:nvSpPr>
      <xdr:spPr>
        <a:xfrm>
          <a:off x="3612995" y="787087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14" name="Rechteck 13">
          <a:extLst>
            <a:ext uri="{FF2B5EF4-FFF2-40B4-BE49-F238E27FC236}">
              <a16:creationId xmlns:a16="http://schemas.microsoft.com/office/drawing/2014/main" id="{00000000-0008-0000-0700-00000E000000}"/>
            </a:ext>
          </a:extLst>
        </xdr:cNvPr>
        <xdr:cNvSpPr/>
      </xdr:nvSpPr>
      <xdr:spPr>
        <a:xfrm>
          <a:off x="1296563" y="786958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15" name="Gerader Verbinder 14">
          <a:extLst>
            <a:ext uri="{FF2B5EF4-FFF2-40B4-BE49-F238E27FC236}">
              <a16:creationId xmlns:a16="http://schemas.microsoft.com/office/drawing/2014/main" id="{00000000-0008-0000-0700-00000F000000}"/>
            </a:ext>
          </a:extLst>
        </xdr:cNvPr>
        <xdr:cNvCxnSpPr/>
      </xdr:nvCxnSpPr>
      <xdr:spPr>
        <a:xfrm>
          <a:off x="1308497" y="829025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35718</xdr:rowOff>
    </xdr:from>
    <xdr:to>
      <xdr:col>26</xdr:col>
      <xdr:colOff>111141</xdr:colOff>
      <xdr:row>58</xdr:row>
      <xdr:rowOff>78280</xdr:rowOff>
    </xdr:to>
    <xdr:cxnSp macro="">
      <xdr:nvCxnSpPr>
        <xdr:cNvPr id="16" name="Gerader Verbinder 15">
          <a:extLst>
            <a:ext uri="{FF2B5EF4-FFF2-40B4-BE49-F238E27FC236}">
              <a16:creationId xmlns:a16="http://schemas.microsoft.com/office/drawing/2014/main" id="{00000000-0008-0000-0700-000010000000}"/>
            </a:ext>
          </a:extLst>
        </xdr:cNvPr>
        <xdr:cNvCxnSpPr/>
      </xdr:nvCxnSpPr>
      <xdr:spPr>
        <a:xfrm>
          <a:off x="6283341" y="9093993"/>
          <a:ext cx="0" cy="690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17" name="Gerader Verbinder 16">
          <a:extLst>
            <a:ext uri="{FF2B5EF4-FFF2-40B4-BE49-F238E27FC236}">
              <a16:creationId xmlns:a16="http://schemas.microsoft.com/office/drawing/2014/main" id="{00000000-0008-0000-0700-000011000000}"/>
            </a:ext>
          </a:extLst>
        </xdr:cNvPr>
        <xdr:cNvCxnSpPr/>
      </xdr:nvCxnSpPr>
      <xdr:spPr>
        <a:xfrm>
          <a:off x="5402745" y="97033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89297</xdr:rowOff>
    </xdr:to>
    <xdr:cxnSp macro="">
      <xdr:nvCxnSpPr>
        <xdr:cNvPr id="18" name="Gerader Verbinder 17">
          <a:extLst>
            <a:ext uri="{FF2B5EF4-FFF2-40B4-BE49-F238E27FC236}">
              <a16:creationId xmlns:a16="http://schemas.microsoft.com/office/drawing/2014/main" id="{00000000-0008-0000-0700-000012000000}"/>
            </a:ext>
          </a:extLst>
        </xdr:cNvPr>
        <xdr:cNvCxnSpPr/>
      </xdr:nvCxnSpPr>
      <xdr:spPr>
        <a:xfrm>
          <a:off x="6282933" y="6054024"/>
          <a:ext cx="0" cy="293162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52</xdr:row>
      <xdr:rowOff>158658</xdr:rowOff>
    </xdr:from>
    <xdr:to>
      <xdr:col>26</xdr:col>
      <xdr:colOff>197625</xdr:colOff>
      <xdr:row>52</xdr:row>
      <xdr:rowOff>158658</xdr:rowOff>
    </xdr:to>
    <xdr:cxnSp macro="">
      <xdr:nvCxnSpPr>
        <xdr:cNvPr id="19" name="Gerader Verbinder 18">
          <a:extLst>
            <a:ext uri="{FF2B5EF4-FFF2-40B4-BE49-F238E27FC236}">
              <a16:creationId xmlns:a16="http://schemas.microsoft.com/office/drawing/2014/main" id="{00000000-0008-0000-0700-000013000000}"/>
            </a:ext>
          </a:extLst>
        </xdr:cNvPr>
        <xdr:cNvCxnSpPr/>
      </xdr:nvCxnSpPr>
      <xdr:spPr>
        <a:xfrm>
          <a:off x="5404135" y="88930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0" name="Gerader Verbinder 19">
          <a:extLst>
            <a:ext uri="{FF2B5EF4-FFF2-40B4-BE49-F238E27FC236}">
              <a16:creationId xmlns:a16="http://schemas.microsoft.com/office/drawing/2014/main" id="{00000000-0008-0000-0700-000014000000}"/>
            </a:ext>
          </a:extLst>
        </xdr:cNvPr>
        <xdr:cNvCxnSpPr/>
      </xdr:nvCxnSpPr>
      <xdr:spPr>
        <a:xfrm>
          <a:off x="5385720" y="613245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1" name="Gerader Verbinder 20">
          <a:extLst>
            <a:ext uri="{FF2B5EF4-FFF2-40B4-BE49-F238E27FC236}">
              <a16:creationId xmlns:a16="http://schemas.microsoft.com/office/drawing/2014/main" id="{00000000-0008-0000-0700-000015000000}"/>
            </a:ext>
          </a:extLst>
        </xdr:cNvPr>
        <xdr:cNvCxnSpPr/>
      </xdr:nvCxnSpPr>
      <xdr:spPr>
        <a:xfrm flipV="1">
          <a:off x="6232116" y="964574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106527</xdr:rowOff>
    </xdr:from>
    <xdr:to>
      <xdr:col>26</xdr:col>
      <xdr:colOff>172696</xdr:colOff>
      <xdr:row>53</xdr:row>
      <xdr:rowOff>57006</xdr:rowOff>
    </xdr:to>
    <xdr:cxnSp macro="">
      <xdr:nvCxnSpPr>
        <xdr:cNvPr id="22" name="Gerader Verbinder 21">
          <a:extLst>
            <a:ext uri="{FF2B5EF4-FFF2-40B4-BE49-F238E27FC236}">
              <a16:creationId xmlns:a16="http://schemas.microsoft.com/office/drawing/2014/main" id="{00000000-0008-0000-0700-000016000000}"/>
            </a:ext>
          </a:extLst>
        </xdr:cNvPr>
        <xdr:cNvCxnSpPr/>
      </xdr:nvCxnSpPr>
      <xdr:spPr>
        <a:xfrm flipV="1">
          <a:off x="6230192" y="884095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3" name="Gerader Verbinder 22">
          <a:extLst>
            <a:ext uri="{FF2B5EF4-FFF2-40B4-BE49-F238E27FC236}">
              <a16:creationId xmlns:a16="http://schemas.microsoft.com/office/drawing/2014/main" id="{00000000-0008-0000-0700-000017000000}"/>
            </a:ext>
          </a:extLst>
        </xdr:cNvPr>
        <xdr:cNvCxnSpPr/>
      </xdr:nvCxnSpPr>
      <xdr:spPr>
        <a:xfrm flipV="1">
          <a:off x="6225561" y="607750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5" name="Grafik 24">
          <a:extLst>
            <a:ext uri="{FF2B5EF4-FFF2-40B4-BE49-F238E27FC236}">
              <a16:creationId xmlns:a16="http://schemas.microsoft.com/office/drawing/2014/main" id="{00000000-0008-0000-0700-000019000000}"/>
            </a:ext>
          </a:extLst>
        </xdr:cNvPr>
        <xdr:cNvPicPr>
          <a:picLocks noChangeAspect="1"/>
        </xdr:cNvPicPr>
      </xdr:nvPicPr>
      <xdr:blipFill rotWithShape="1">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rcRect t="3845" b="7693"/>
        <a:stretch/>
      </xdr:blipFill>
      <xdr:spPr>
        <a:xfrm>
          <a:off x="2723027" y="609375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6" name="Grafik 25">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82555"/>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7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7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7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7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36</xdr:row>
          <xdr:rowOff>0</xdr:rowOff>
        </xdr:from>
        <xdr:to>
          <xdr:col>31</xdr:col>
          <xdr:colOff>0</xdr:colOff>
          <xdr:row>37</xdr:row>
          <xdr:rowOff>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7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7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9525</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7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7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7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9525</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7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7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41" name="Gerader Verbinder 40">
          <a:extLst>
            <a:ext uri="{FF2B5EF4-FFF2-40B4-BE49-F238E27FC236}">
              <a16:creationId xmlns:a16="http://schemas.microsoft.com/office/drawing/2014/main" id="{00000000-0008-0000-0700-000029000000}"/>
            </a:ext>
          </a:extLst>
        </xdr:cNvPr>
        <xdr:cNvCxnSpPr/>
      </xdr:nvCxnSpPr>
      <xdr:spPr>
        <a:xfrm flipV="1">
          <a:off x="1312232" y="822131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42" name="Gerader Verbinder 41">
          <a:extLst>
            <a:ext uri="{FF2B5EF4-FFF2-40B4-BE49-F238E27FC236}">
              <a16:creationId xmlns:a16="http://schemas.microsoft.com/office/drawing/2014/main" id="{00000000-0008-0000-0700-00002A000000}"/>
            </a:ext>
          </a:extLst>
        </xdr:cNvPr>
        <xdr:cNvCxnSpPr/>
      </xdr:nvCxnSpPr>
      <xdr:spPr>
        <a:xfrm flipV="1">
          <a:off x="3637524" y="821722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1280" name="Check Box 16" hidden="1">
              <a:extLst>
                <a:ext uri="{63B3BB69-23CF-44E3-9099-C40C66FF867C}">
                  <a14:compatExt spid="_x0000_s11280"/>
                </a:ext>
                <a:ext uri="{FF2B5EF4-FFF2-40B4-BE49-F238E27FC236}">
                  <a16:creationId xmlns:a16="http://schemas.microsoft.com/office/drawing/2014/main" id="{00000000-0008-0000-0700-00001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1281" name="Check Box 17" hidden="1">
              <a:extLst>
                <a:ext uri="{63B3BB69-23CF-44E3-9099-C40C66FF867C}">
                  <a14:compatExt spid="_x0000_s11281"/>
                </a:ext>
                <a:ext uri="{FF2B5EF4-FFF2-40B4-BE49-F238E27FC236}">
                  <a16:creationId xmlns:a16="http://schemas.microsoft.com/office/drawing/2014/main" id="{00000000-0008-0000-0700-00001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7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52</xdr:row>
          <xdr:rowOff>114300</xdr:rowOff>
        </xdr:from>
        <xdr:to>
          <xdr:col>10</xdr:col>
          <xdr:colOff>114300</xdr:colOff>
          <xdr:row>53</xdr:row>
          <xdr:rowOff>114300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7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47" name="Gerader Verbinder 46">
          <a:extLst>
            <a:ext uri="{FF2B5EF4-FFF2-40B4-BE49-F238E27FC236}">
              <a16:creationId xmlns:a16="http://schemas.microsoft.com/office/drawing/2014/main" id="{00000000-0008-0000-0700-00002F000000}"/>
            </a:ext>
          </a:extLst>
        </xdr:cNvPr>
        <xdr:cNvCxnSpPr/>
      </xdr:nvCxnSpPr>
      <xdr:spPr>
        <a:xfrm>
          <a:off x="3695700" y="753560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48" name="Gerader Verbinder 47">
          <a:extLst>
            <a:ext uri="{FF2B5EF4-FFF2-40B4-BE49-F238E27FC236}">
              <a16:creationId xmlns:a16="http://schemas.microsoft.com/office/drawing/2014/main" id="{00000000-0008-0000-0700-000030000000}"/>
            </a:ext>
          </a:extLst>
        </xdr:cNvPr>
        <xdr:cNvCxnSpPr/>
      </xdr:nvCxnSpPr>
      <xdr:spPr>
        <a:xfrm>
          <a:off x="1371600" y="748595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7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7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7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7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53" name="Gerader Verbinder 52">
          <a:extLst>
            <a:ext uri="{FF2B5EF4-FFF2-40B4-BE49-F238E27FC236}">
              <a16:creationId xmlns:a16="http://schemas.microsoft.com/office/drawing/2014/main" id="{00000000-0008-0000-0700-000035000000}"/>
            </a:ext>
          </a:extLst>
        </xdr:cNvPr>
        <xdr:cNvCxnSpPr/>
      </xdr:nvCxnSpPr>
      <xdr:spPr>
        <a:xfrm>
          <a:off x="5464488" y="796301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54" name="Gerader Verbinder 53">
          <a:extLst>
            <a:ext uri="{FF2B5EF4-FFF2-40B4-BE49-F238E27FC236}">
              <a16:creationId xmlns:a16="http://schemas.microsoft.com/office/drawing/2014/main" id="{00000000-0008-0000-0700-000036000000}"/>
            </a:ext>
          </a:extLst>
        </xdr:cNvPr>
        <xdr:cNvCxnSpPr/>
      </xdr:nvCxnSpPr>
      <xdr:spPr>
        <a:xfrm>
          <a:off x="5620705" y="734679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55" name="Gerader Verbinder 54">
          <a:extLst>
            <a:ext uri="{FF2B5EF4-FFF2-40B4-BE49-F238E27FC236}">
              <a16:creationId xmlns:a16="http://schemas.microsoft.com/office/drawing/2014/main" id="{00000000-0008-0000-0700-000037000000}"/>
            </a:ext>
          </a:extLst>
        </xdr:cNvPr>
        <xdr:cNvCxnSpPr/>
      </xdr:nvCxnSpPr>
      <xdr:spPr>
        <a:xfrm>
          <a:off x="5094773" y="744231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56" name="Gerader Verbinder 55">
          <a:extLst>
            <a:ext uri="{FF2B5EF4-FFF2-40B4-BE49-F238E27FC236}">
              <a16:creationId xmlns:a16="http://schemas.microsoft.com/office/drawing/2014/main" id="{00000000-0008-0000-0700-000038000000}"/>
            </a:ext>
          </a:extLst>
        </xdr:cNvPr>
        <xdr:cNvCxnSpPr/>
      </xdr:nvCxnSpPr>
      <xdr:spPr>
        <a:xfrm flipV="1">
          <a:off x="5564542" y="73849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57" name="Gerader Verbinder 56">
          <a:extLst>
            <a:ext uri="{FF2B5EF4-FFF2-40B4-BE49-F238E27FC236}">
              <a16:creationId xmlns:a16="http://schemas.microsoft.com/office/drawing/2014/main" id="{00000000-0008-0000-0700-000039000000}"/>
            </a:ext>
          </a:extLst>
        </xdr:cNvPr>
        <xdr:cNvCxnSpPr/>
      </xdr:nvCxnSpPr>
      <xdr:spPr>
        <a:xfrm flipV="1">
          <a:off x="5564542" y="79032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7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7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7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7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7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700-00001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7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7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66" name="Rechteck 65">
          <a:extLst>
            <a:ext uri="{FF2B5EF4-FFF2-40B4-BE49-F238E27FC236}">
              <a16:creationId xmlns:a16="http://schemas.microsoft.com/office/drawing/2014/main" id="{00000000-0008-0000-0700-000042000000}"/>
            </a:ext>
          </a:extLst>
        </xdr:cNvPr>
        <xdr:cNvSpPr/>
      </xdr:nvSpPr>
      <xdr:spPr>
        <a:xfrm>
          <a:off x="3964620" y="1209618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700-00002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1297" name="Check Box 33" hidden="1">
              <a:extLst>
                <a:ext uri="{63B3BB69-23CF-44E3-9099-C40C66FF867C}">
                  <a14:compatExt spid="_x0000_s11297"/>
                </a:ext>
                <a:ext uri="{FF2B5EF4-FFF2-40B4-BE49-F238E27FC236}">
                  <a16:creationId xmlns:a16="http://schemas.microsoft.com/office/drawing/2014/main" id="{00000000-0008-0000-0700-00002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1298" name="Check Box 34" hidden="1">
              <a:extLst>
                <a:ext uri="{63B3BB69-23CF-44E3-9099-C40C66FF867C}">
                  <a14:compatExt spid="_x0000_s11298"/>
                </a:ext>
                <a:ext uri="{FF2B5EF4-FFF2-40B4-BE49-F238E27FC236}">
                  <a16:creationId xmlns:a16="http://schemas.microsoft.com/office/drawing/2014/main" id="{00000000-0008-0000-0700-00002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70" name="Rechteck 69">
          <a:extLst>
            <a:ext uri="{FF2B5EF4-FFF2-40B4-BE49-F238E27FC236}">
              <a16:creationId xmlns:a16="http://schemas.microsoft.com/office/drawing/2014/main" id="{00000000-0008-0000-0700-000046000000}"/>
            </a:ext>
          </a:extLst>
        </xdr:cNvPr>
        <xdr:cNvSpPr/>
      </xdr:nvSpPr>
      <xdr:spPr>
        <a:xfrm>
          <a:off x="3432341" y="1306592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57150</xdr:colOff>
          <xdr:row>81</xdr:row>
          <xdr:rowOff>9525</xdr:rowOff>
        </xdr:from>
        <xdr:to>
          <xdr:col>14</xdr:col>
          <xdr:colOff>57150</xdr:colOff>
          <xdr:row>82</xdr:row>
          <xdr:rowOff>9525</xdr:rowOff>
        </xdr:to>
        <xdr:sp macro="" textlink="">
          <xdr:nvSpPr>
            <xdr:cNvPr id="11299" name="Check Box 35" hidden="1">
              <a:extLst>
                <a:ext uri="{63B3BB69-23CF-44E3-9099-C40C66FF867C}">
                  <a14:compatExt spid="_x0000_s11299"/>
                </a:ext>
                <a:ext uri="{FF2B5EF4-FFF2-40B4-BE49-F238E27FC236}">
                  <a16:creationId xmlns:a16="http://schemas.microsoft.com/office/drawing/2014/main" id="{00000000-0008-0000-0700-00002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72" name="Rechteck 71">
          <a:extLst>
            <a:ext uri="{FF2B5EF4-FFF2-40B4-BE49-F238E27FC236}">
              <a16:creationId xmlns:a16="http://schemas.microsoft.com/office/drawing/2014/main" id="{00000000-0008-0000-0700-000048000000}"/>
            </a:ext>
          </a:extLst>
        </xdr:cNvPr>
        <xdr:cNvSpPr/>
      </xdr:nvSpPr>
      <xdr:spPr>
        <a:xfrm>
          <a:off x="3365106" y="1035752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19050</xdr:colOff>
          <xdr:row>62</xdr:row>
          <xdr:rowOff>9525</xdr:rowOff>
        </xdr:from>
        <xdr:to>
          <xdr:col>14</xdr:col>
          <xdr:colOff>19050</xdr:colOff>
          <xdr:row>63</xdr:row>
          <xdr:rowOff>9525</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7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67</xdr:row>
      <xdr:rowOff>146957</xdr:rowOff>
    </xdr:from>
    <xdr:to>
      <xdr:col>12</xdr:col>
      <xdr:colOff>29135</xdr:colOff>
      <xdr:row>69</xdr:row>
      <xdr:rowOff>147276</xdr:rowOff>
    </xdr:to>
    <xdr:sp macro="" textlink="">
      <xdr:nvSpPr>
        <xdr:cNvPr id="74" name="Rechteck 73">
          <a:extLst>
            <a:ext uri="{FF2B5EF4-FFF2-40B4-BE49-F238E27FC236}">
              <a16:creationId xmlns:a16="http://schemas.microsoft.com/office/drawing/2014/main" id="{00000000-0008-0000-0700-00004A000000}"/>
            </a:ext>
          </a:extLst>
        </xdr:cNvPr>
        <xdr:cNvSpPr/>
      </xdr:nvSpPr>
      <xdr:spPr>
        <a:xfrm>
          <a:off x="2967297" y="11310257"/>
          <a:ext cx="166988" cy="3241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66675</xdr:colOff>
          <xdr:row>68</xdr:row>
          <xdr:rowOff>0</xdr:rowOff>
        </xdr:from>
        <xdr:to>
          <xdr:col>12</xdr:col>
          <xdr:colOff>66675</xdr:colOff>
          <xdr:row>69</xdr:row>
          <xdr:rowOff>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7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7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7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78" name="Gerader Verbinder 77">
          <a:extLst>
            <a:ext uri="{FF2B5EF4-FFF2-40B4-BE49-F238E27FC236}">
              <a16:creationId xmlns:a16="http://schemas.microsoft.com/office/drawing/2014/main" id="{00000000-0008-0000-0700-00004E000000}"/>
            </a:ext>
          </a:extLst>
        </xdr:cNvPr>
        <xdr:cNvCxnSpPr/>
      </xdr:nvCxnSpPr>
      <xdr:spPr>
        <a:xfrm flipV="1">
          <a:off x="1296709" y="489985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160442</xdr:colOff>
      <xdr:row>27</xdr:row>
      <xdr:rowOff>171880</xdr:rowOff>
    </xdr:from>
    <xdr:to>
      <xdr:col>8</xdr:col>
      <xdr:colOff>52827</xdr:colOff>
      <xdr:row>28</xdr:row>
      <xdr:rowOff>57668</xdr:rowOff>
    </xdr:to>
    <xdr:cxnSp macro="">
      <xdr:nvCxnSpPr>
        <xdr:cNvPr id="79" name="Gerader Verbinder 78">
          <a:extLst>
            <a:ext uri="{FF2B5EF4-FFF2-40B4-BE49-F238E27FC236}">
              <a16:creationId xmlns:a16="http://schemas.microsoft.com/office/drawing/2014/main" id="{00000000-0008-0000-0700-00004F000000}"/>
            </a:ext>
          </a:extLst>
        </xdr:cNvPr>
        <xdr:cNvCxnSpPr/>
      </xdr:nvCxnSpPr>
      <xdr:spPr>
        <a:xfrm flipV="1">
          <a:off x="2170217" y="490580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80" name="Gerader Verbinder 79">
          <a:extLst>
            <a:ext uri="{FF2B5EF4-FFF2-40B4-BE49-F238E27FC236}">
              <a16:creationId xmlns:a16="http://schemas.microsoft.com/office/drawing/2014/main" id="{00000000-0008-0000-0700-000050000000}"/>
            </a:ext>
          </a:extLst>
        </xdr:cNvPr>
        <xdr:cNvCxnSpPr/>
      </xdr:nvCxnSpPr>
      <xdr:spPr>
        <a:xfrm flipV="1">
          <a:off x="3044135" y="490937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81" name="Gerader Verbinder 80">
          <a:extLst>
            <a:ext uri="{FF2B5EF4-FFF2-40B4-BE49-F238E27FC236}">
              <a16:creationId xmlns:a16="http://schemas.microsoft.com/office/drawing/2014/main" id="{00000000-0008-0000-0700-000051000000}"/>
            </a:ext>
          </a:extLst>
        </xdr:cNvPr>
        <xdr:cNvCxnSpPr/>
      </xdr:nvCxnSpPr>
      <xdr:spPr>
        <a:xfrm flipV="1">
          <a:off x="3924007" y="490699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82" name="Gerader Verbinder 81">
          <a:extLst>
            <a:ext uri="{FF2B5EF4-FFF2-40B4-BE49-F238E27FC236}">
              <a16:creationId xmlns:a16="http://schemas.microsoft.com/office/drawing/2014/main" id="{00000000-0008-0000-0700-000052000000}"/>
            </a:ext>
          </a:extLst>
        </xdr:cNvPr>
        <xdr:cNvCxnSpPr/>
      </xdr:nvCxnSpPr>
      <xdr:spPr>
        <a:xfrm flipV="1">
          <a:off x="4797925" y="490461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83" name="Gerader Verbinder 82">
          <a:extLst>
            <a:ext uri="{FF2B5EF4-FFF2-40B4-BE49-F238E27FC236}">
              <a16:creationId xmlns:a16="http://schemas.microsoft.com/office/drawing/2014/main" id="{00000000-0008-0000-0700-000053000000}"/>
            </a:ext>
          </a:extLst>
        </xdr:cNvPr>
        <xdr:cNvCxnSpPr/>
      </xdr:nvCxnSpPr>
      <xdr:spPr>
        <a:xfrm flipV="1">
          <a:off x="5677797" y="490818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84" name="Gerader Verbinder 83">
          <a:extLst>
            <a:ext uri="{FF2B5EF4-FFF2-40B4-BE49-F238E27FC236}">
              <a16:creationId xmlns:a16="http://schemas.microsoft.com/office/drawing/2014/main" id="{00000000-0008-0000-0700-000054000000}"/>
            </a:ext>
          </a:extLst>
        </xdr:cNvPr>
        <xdr:cNvCxnSpPr/>
      </xdr:nvCxnSpPr>
      <xdr:spPr>
        <a:xfrm flipV="1">
          <a:off x="6551715" y="490580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85" name="Gerader Verbinder 84">
          <a:extLst>
            <a:ext uri="{FF2B5EF4-FFF2-40B4-BE49-F238E27FC236}">
              <a16:creationId xmlns:a16="http://schemas.microsoft.com/office/drawing/2014/main" id="{00000000-0008-0000-0700-000055000000}"/>
            </a:ext>
          </a:extLst>
        </xdr:cNvPr>
        <xdr:cNvCxnSpPr/>
      </xdr:nvCxnSpPr>
      <xdr:spPr>
        <a:xfrm flipV="1">
          <a:off x="7431587" y="490342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86" name="Gerader Verbinder 85">
          <a:extLst>
            <a:ext uri="{FF2B5EF4-FFF2-40B4-BE49-F238E27FC236}">
              <a16:creationId xmlns:a16="http://schemas.microsoft.com/office/drawing/2014/main" id="{00000000-0008-0000-0700-000056000000}"/>
            </a:ext>
          </a:extLst>
        </xdr:cNvPr>
        <xdr:cNvCxnSpPr/>
      </xdr:nvCxnSpPr>
      <xdr:spPr>
        <a:xfrm flipV="1">
          <a:off x="8305505" y="490699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87" name="Gerader Verbinder 86">
          <a:extLst>
            <a:ext uri="{FF2B5EF4-FFF2-40B4-BE49-F238E27FC236}">
              <a16:creationId xmlns:a16="http://schemas.microsoft.com/office/drawing/2014/main" id="{00000000-0008-0000-0700-000057000000}"/>
            </a:ext>
          </a:extLst>
        </xdr:cNvPr>
        <xdr:cNvCxnSpPr/>
      </xdr:nvCxnSpPr>
      <xdr:spPr>
        <a:xfrm flipV="1">
          <a:off x="9179424" y="489866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88" name="Gerader Verbinder 87">
          <a:extLst>
            <a:ext uri="{FF2B5EF4-FFF2-40B4-BE49-F238E27FC236}">
              <a16:creationId xmlns:a16="http://schemas.microsoft.com/office/drawing/2014/main" id="{00000000-0008-0000-0700-000058000000}"/>
            </a:ext>
          </a:extLst>
        </xdr:cNvPr>
        <xdr:cNvCxnSpPr/>
      </xdr:nvCxnSpPr>
      <xdr:spPr>
        <a:xfrm flipV="1">
          <a:off x="10059296" y="490818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89" name="Grafik 88">
          <a:extLst>
            <a:ext uri="{FF2B5EF4-FFF2-40B4-BE49-F238E27FC236}">
              <a16:creationId xmlns:a16="http://schemas.microsoft.com/office/drawing/2014/main" id="{00000000-0008-0000-0700-000059000000}"/>
            </a:ext>
          </a:extLst>
        </xdr:cNvPr>
        <xdr:cNvPicPr>
          <a:picLocks noChangeAspect="1"/>
        </xdr:cNvPicPr>
      </xdr:nvPicPr>
      <xdr:blipFill>
        <a:blip xmlns:r="http://schemas.openxmlformats.org/officeDocument/2006/relationships" r:embed="rId25"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7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7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55</xdr:row>
          <xdr:rowOff>142875</xdr:rowOff>
        </xdr:from>
        <xdr:to>
          <xdr:col>31</xdr:col>
          <xdr:colOff>0</xdr:colOff>
          <xdr:row>57</xdr:row>
          <xdr:rowOff>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7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7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4" name="Grafik 93">
          <a:extLst>
            <a:ext uri="{FF2B5EF4-FFF2-40B4-BE49-F238E27FC236}">
              <a16:creationId xmlns:a16="http://schemas.microsoft.com/office/drawing/2014/main" id="{00000000-0008-0000-0700-00005E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77" t="10351" r="77528" b="74663"/>
        <a:stretch/>
      </xdr:blipFill>
      <xdr:spPr>
        <a:xfrm>
          <a:off x="6472514" y="1690818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95" name="Grafik 94">
          <a:extLst>
            <a:ext uri="{FF2B5EF4-FFF2-40B4-BE49-F238E27FC236}">
              <a16:creationId xmlns:a16="http://schemas.microsoft.com/office/drawing/2014/main" id="{00000000-0008-0000-0700-00005F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697" t="10250" r="56015" b="76270"/>
        <a:stretch/>
      </xdr:blipFill>
      <xdr:spPr>
        <a:xfrm>
          <a:off x="7721414" y="1689353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96" name="Grafik 95">
          <a:extLst>
            <a:ext uri="{FF2B5EF4-FFF2-40B4-BE49-F238E27FC236}">
              <a16:creationId xmlns:a16="http://schemas.microsoft.com/office/drawing/2014/main" id="{00000000-0008-0000-0700-000060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8824" t="10375" r="34746" b="74144"/>
        <a:stretch/>
      </xdr:blipFill>
      <xdr:spPr>
        <a:xfrm>
          <a:off x="9146522" y="1690753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97" name="Grafik 96">
          <a:extLst>
            <a:ext uri="{FF2B5EF4-FFF2-40B4-BE49-F238E27FC236}">
              <a16:creationId xmlns:a16="http://schemas.microsoft.com/office/drawing/2014/main" id="{00000000-0008-0000-0700-000061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2700" r="40451" b="43145"/>
        <a:stretch/>
      </xdr:blipFill>
      <xdr:spPr>
        <a:xfrm>
          <a:off x="6563926" y="1857940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98" name="Grafik 97">
          <a:extLst>
            <a:ext uri="{FF2B5EF4-FFF2-40B4-BE49-F238E27FC236}">
              <a16:creationId xmlns:a16="http://schemas.microsoft.com/office/drawing/2014/main" id="{00000000-0008-0000-0700-000062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0330" r="40451" b="41065"/>
        <a:stretch/>
      </xdr:blipFill>
      <xdr:spPr>
        <a:xfrm>
          <a:off x="9225824" y="18354686"/>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99" name="Rechteck 98">
          <a:extLst>
            <a:ext uri="{FF2B5EF4-FFF2-40B4-BE49-F238E27FC236}">
              <a16:creationId xmlns:a16="http://schemas.microsoft.com/office/drawing/2014/main" id="{00000000-0008-0000-0700-000063000000}"/>
            </a:ext>
          </a:extLst>
        </xdr:cNvPr>
        <xdr:cNvSpPr/>
      </xdr:nvSpPr>
      <xdr:spPr>
        <a:xfrm>
          <a:off x="7861588" y="1847976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00" name="Grafik 99">
          <a:extLst>
            <a:ext uri="{FF2B5EF4-FFF2-40B4-BE49-F238E27FC236}">
              <a16:creationId xmlns:a16="http://schemas.microsoft.com/office/drawing/2014/main" id="{00000000-0008-0000-0700-000064000000}"/>
            </a:ext>
          </a:extLst>
        </xdr:cNvPr>
        <xdr:cNvPicPr>
          <a:picLocks noChangeAspect="1"/>
        </xdr:cNvPicPr>
      </xdr:nvPicPr>
      <xdr:blipFill rotWithShape="1">
        <a:blip xmlns:r="http://schemas.openxmlformats.org/officeDocument/2006/relationships" r:embed="rId27" cstate="print">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17681"/>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01" name="Grafik 100">
          <a:extLst>
            <a:ext uri="{FF2B5EF4-FFF2-40B4-BE49-F238E27FC236}">
              <a16:creationId xmlns:a16="http://schemas.microsoft.com/office/drawing/2014/main" id="{00000000-0008-0000-0700-000065000000}"/>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63390" t="41256" r="16917" b="41369"/>
        <a:stretch/>
      </xdr:blipFill>
      <xdr:spPr>
        <a:xfrm>
          <a:off x="7709911" y="18481672"/>
          <a:ext cx="1332502" cy="1608775"/>
        </a:xfrm>
        <a:prstGeom prst="rect">
          <a:avLst/>
        </a:prstGeom>
      </xdr:spPr>
    </xdr:pic>
    <xdr:clientData/>
  </xdr:twoCellAnchor>
  <xdr:twoCellAnchor>
    <xdr:from>
      <xdr:col>52</xdr:col>
      <xdr:colOff>81803</xdr:colOff>
      <xdr:row>24</xdr:row>
      <xdr:rowOff>9930</xdr:rowOff>
    </xdr:from>
    <xdr:to>
      <xdr:col>52</xdr:col>
      <xdr:colOff>535195</xdr:colOff>
      <xdr:row>25</xdr:row>
      <xdr:rowOff>111344</xdr:rowOff>
    </xdr:to>
    <xdr:sp macro="" textlink="">
      <xdr:nvSpPr>
        <xdr:cNvPr id="102" name="Pfeil nach rechts 16">
          <a:hlinkClick xmlns:r="http://schemas.openxmlformats.org/officeDocument/2006/relationships" r:id="rId30"/>
          <a:extLst>
            <a:ext uri="{FF2B5EF4-FFF2-40B4-BE49-F238E27FC236}">
              <a16:creationId xmlns:a16="http://schemas.microsoft.com/office/drawing/2014/main" id="{00000000-0008-0000-0700-000066000000}"/>
            </a:ext>
          </a:extLst>
        </xdr:cNvPr>
        <xdr:cNvSpPr/>
      </xdr:nvSpPr>
      <xdr:spPr>
        <a:xfrm>
          <a:off x="14883653" y="429618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03" name="Grafik 102">
          <a:extLst>
            <a:ext uri="{FF2B5EF4-FFF2-40B4-BE49-F238E27FC236}">
              <a16:creationId xmlns:a16="http://schemas.microsoft.com/office/drawing/2014/main" id="{00000000-0008-0000-0700-000067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r="52107"/>
        <a:stretch/>
      </xdr:blipFill>
      <xdr:spPr>
        <a:xfrm>
          <a:off x="11271436" y="1249231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04" name="Grafik 103">
          <a:extLst>
            <a:ext uri="{FF2B5EF4-FFF2-40B4-BE49-F238E27FC236}">
              <a16:creationId xmlns:a16="http://schemas.microsoft.com/office/drawing/2014/main" id="{00000000-0008-0000-0700-000068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l="51024"/>
        <a:stretch/>
      </xdr:blipFill>
      <xdr:spPr>
        <a:xfrm>
          <a:off x="12055849" y="12492318"/>
          <a:ext cx="699621" cy="745849"/>
        </a:xfrm>
        <a:prstGeom prst="rect">
          <a:avLst/>
        </a:prstGeom>
        <a:ln>
          <a:noFill/>
        </a:ln>
      </xdr:spPr>
    </xdr:pic>
    <xdr:clientData/>
  </xdr:twoCellAnchor>
  <xdr:twoCellAnchor editAs="oneCell">
    <xdr:from>
      <xdr:col>4</xdr:col>
      <xdr:colOff>92531</xdr:colOff>
      <xdr:row>62</xdr:row>
      <xdr:rowOff>118152</xdr:rowOff>
    </xdr:from>
    <xdr:to>
      <xdr:col>8</xdr:col>
      <xdr:colOff>192955</xdr:colOff>
      <xdr:row>68</xdr:row>
      <xdr:rowOff>92530</xdr:rowOff>
    </xdr:to>
    <xdr:pic>
      <xdr:nvPicPr>
        <xdr:cNvPr id="105" name="Grafik 104">
          <a:extLst>
            <a:ext uri="{FF2B5EF4-FFF2-40B4-BE49-F238E27FC236}">
              <a16:creationId xmlns:a16="http://schemas.microsoft.com/office/drawing/2014/main" id="{00000000-0008-0000-0700-000069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1445081" y="10471827"/>
          <a:ext cx="976724" cy="945928"/>
        </a:xfrm>
        <a:prstGeom prst="rect">
          <a:avLst/>
        </a:prstGeom>
      </xdr:spPr>
    </xdr:pic>
    <xdr:clientData/>
  </xdr:twoCellAnchor>
  <xdr:twoCellAnchor>
    <xdr:from>
      <xdr:col>29</xdr:col>
      <xdr:colOff>110290</xdr:colOff>
      <xdr:row>61</xdr:row>
      <xdr:rowOff>0</xdr:rowOff>
    </xdr:from>
    <xdr:to>
      <xdr:col>31</xdr:col>
      <xdr:colOff>17042</xdr:colOff>
      <xdr:row>63</xdr:row>
      <xdr:rowOff>47122</xdr:rowOff>
    </xdr:to>
    <xdr:sp macro="" textlink="">
      <xdr:nvSpPr>
        <xdr:cNvPr id="106" name="Rechteck 105">
          <a:extLst>
            <a:ext uri="{FF2B5EF4-FFF2-40B4-BE49-F238E27FC236}">
              <a16:creationId xmlns:a16="http://schemas.microsoft.com/office/drawing/2014/main" id="{00000000-0008-0000-0700-00006A000000}"/>
            </a:ext>
          </a:extLst>
        </xdr:cNvPr>
        <xdr:cNvSpPr/>
      </xdr:nvSpPr>
      <xdr:spPr>
        <a:xfrm>
          <a:off x="6939715" y="10191750"/>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17</xdr:col>
      <xdr:colOff>48987</xdr:colOff>
      <xdr:row>62</xdr:row>
      <xdr:rowOff>10885</xdr:rowOff>
    </xdr:from>
    <xdr:to>
      <xdr:col>20</xdr:col>
      <xdr:colOff>99131</xdr:colOff>
      <xdr:row>69</xdr:row>
      <xdr:rowOff>27690</xdr:rowOff>
    </xdr:to>
    <xdr:pic>
      <xdr:nvPicPr>
        <xdr:cNvPr id="107" name="Grafik 106">
          <a:extLst>
            <a:ext uri="{FF2B5EF4-FFF2-40B4-BE49-F238E27FC236}">
              <a16:creationId xmlns:a16="http://schemas.microsoft.com/office/drawing/2014/main" id="{00000000-0008-0000-0700-00006B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4249512" y="10364560"/>
          <a:ext cx="707369" cy="1150280"/>
        </a:xfrm>
        <a:prstGeom prst="rect">
          <a:avLst/>
        </a:prstGeom>
      </xdr:spPr>
    </xdr:pic>
    <xdr:clientData/>
  </xdr:twoCellAnchor>
  <xdr:twoCellAnchor editAs="oneCell">
    <xdr:from>
      <xdr:col>5</xdr:col>
      <xdr:colOff>14177</xdr:colOff>
      <xdr:row>73</xdr:row>
      <xdr:rowOff>43542</xdr:rowOff>
    </xdr:from>
    <xdr:to>
      <xdr:col>10</xdr:col>
      <xdr:colOff>120072</xdr:colOff>
      <xdr:row>81</xdr:row>
      <xdr:rowOff>76200</xdr:rowOff>
    </xdr:to>
    <xdr:pic>
      <xdr:nvPicPr>
        <xdr:cNvPr id="108" name="Grafik 107">
          <a:extLst>
            <a:ext uri="{FF2B5EF4-FFF2-40B4-BE49-F238E27FC236}">
              <a16:creationId xmlns:a16="http://schemas.microsoft.com/office/drawing/2014/main" id="{00000000-0008-0000-0700-00006C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1585802" y="12178392"/>
          <a:ext cx="1201270" cy="1318533"/>
        </a:xfrm>
        <a:prstGeom prst="rect">
          <a:avLst/>
        </a:prstGeom>
      </xdr:spPr>
    </xdr:pic>
    <xdr:clientData/>
  </xdr:twoCellAnchor>
  <xdr:twoCellAnchor editAs="oneCell">
    <xdr:from>
      <xdr:col>19</xdr:col>
      <xdr:colOff>217712</xdr:colOff>
      <xdr:row>72</xdr:row>
      <xdr:rowOff>65314</xdr:rowOff>
    </xdr:from>
    <xdr:to>
      <xdr:col>24</xdr:col>
      <xdr:colOff>134364</xdr:colOff>
      <xdr:row>83</xdr:row>
      <xdr:rowOff>3198</xdr:rowOff>
    </xdr:to>
    <xdr:pic>
      <xdr:nvPicPr>
        <xdr:cNvPr id="109" name="Grafik 108">
          <a:extLst>
            <a:ext uri="{FF2B5EF4-FFF2-40B4-BE49-F238E27FC236}">
              <a16:creationId xmlns:a16="http://schemas.microsoft.com/office/drawing/2014/main" id="{00000000-0008-0000-0700-00006D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856387" y="12038239"/>
          <a:ext cx="1012027" cy="1709534"/>
        </a:xfrm>
        <a:prstGeom prst="rect">
          <a:avLst/>
        </a:prstGeom>
      </xdr:spPr>
    </xdr:pic>
    <xdr:clientData/>
  </xdr:twoCellAnchor>
  <xdr:twoCellAnchor editAs="oneCell">
    <xdr:from>
      <xdr:col>4</xdr:col>
      <xdr:colOff>215709</xdr:colOff>
      <xdr:row>86</xdr:row>
      <xdr:rowOff>41979</xdr:rowOff>
    </xdr:from>
    <xdr:to>
      <xdr:col>10</xdr:col>
      <xdr:colOff>212835</xdr:colOff>
      <xdr:row>92</xdr:row>
      <xdr:rowOff>35842</xdr:rowOff>
    </xdr:to>
    <xdr:pic>
      <xdr:nvPicPr>
        <xdr:cNvPr id="110" name="Grafik 109">
          <a:extLst>
            <a:ext uri="{FF2B5EF4-FFF2-40B4-BE49-F238E27FC236}">
              <a16:creationId xmlns:a16="http://schemas.microsoft.com/office/drawing/2014/main" id="{00000000-0008-0000-0700-00006E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568259" y="14272329"/>
          <a:ext cx="1311576" cy="965413"/>
        </a:xfrm>
        <a:prstGeom prst="rect">
          <a:avLst/>
        </a:prstGeom>
      </xdr:spPr>
    </xdr:pic>
    <xdr:clientData/>
  </xdr:twoCellAnchor>
  <xdr:twoCellAnchor editAs="oneCell">
    <xdr:from>
      <xdr:col>20</xdr:col>
      <xdr:colOff>130342</xdr:colOff>
      <xdr:row>87</xdr:row>
      <xdr:rowOff>56997</xdr:rowOff>
    </xdr:from>
    <xdr:to>
      <xdr:col>24</xdr:col>
      <xdr:colOff>104249</xdr:colOff>
      <xdr:row>92</xdr:row>
      <xdr:rowOff>13522</xdr:rowOff>
    </xdr:to>
    <xdr:pic>
      <xdr:nvPicPr>
        <xdr:cNvPr id="111" name="Grafik 110">
          <a:extLst>
            <a:ext uri="{FF2B5EF4-FFF2-40B4-BE49-F238E27FC236}">
              <a16:creationId xmlns:a16="http://schemas.microsoft.com/office/drawing/2014/main" id="{00000000-0008-0000-0700-00006F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4988092" y="14449272"/>
          <a:ext cx="850207" cy="766150"/>
        </a:xfrm>
        <a:prstGeom prst="rect">
          <a:avLst/>
        </a:prstGeom>
      </xdr:spPr>
    </xdr:pic>
    <xdr:clientData/>
  </xdr:twoCellAnchor>
  <xdr:twoCellAnchor>
    <xdr:from>
      <xdr:col>19</xdr:col>
      <xdr:colOff>190794</xdr:colOff>
      <xdr:row>86</xdr:row>
      <xdr:rowOff>85223</xdr:rowOff>
    </xdr:from>
    <xdr:to>
      <xdr:col>23</xdr:col>
      <xdr:colOff>90236</xdr:colOff>
      <xdr:row>90</xdr:row>
      <xdr:rowOff>115302</xdr:rowOff>
    </xdr:to>
    <xdr:sp macro="" textlink="">
      <xdr:nvSpPr>
        <xdr:cNvPr id="112" name="Rechteck 111">
          <a:extLst>
            <a:ext uri="{FF2B5EF4-FFF2-40B4-BE49-F238E27FC236}">
              <a16:creationId xmlns:a16="http://schemas.microsoft.com/office/drawing/2014/main" id="{00000000-0008-0000-0700-000070000000}"/>
            </a:ext>
          </a:extLst>
        </xdr:cNvPr>
        <xdr:cNvSpPr/>
      </xdr:nvSpPr>
      <xdr:spPr>
        <a:xfrm>
          <a:off x="4829469" y="14315573"/>
          <a:ext cx="775742" cy="6777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7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33</xdr:col>
      <xdr:colOff>112295</xdr:colOff>
      <xdr:row>61</xdr:row>
      <xdr:rowOff>27071</xdr:rowOff>
    </xdr:from>
    <xdr:to>
      <xdr:col>35</xdr:col>
      <xdr:colOff>19047</xdr:colOff>
      <xdr:row>63</xdr:row>
      <xdr:rowOff>74193</xdr:rowOff>
    </xdr:to>
    <xdr:sp macro="" textlink="">
      <xdr:nvSpPr>
        <xdr:cNvPr id="114" name="Rechteck 113">
          <a:extLst>
            <a:ext uri="{FF2B5EF4-FFF2-40B4-BE49-F238E27FC236}">
              <a16:creationId xmlns:a16="http://schemas.microsoft.com/office/drawing/2014/main" id="{00000000-0008-0000-0700-000072000000}"/>
            </a:ext>
          </a:extLst>
        </xdr:cNvPr>
        <xdr:cNvSpPr/>
      </xdr:nvSpPr>
      <xdr:spPr>
        <a:xfrm>
          <a:off x="7818020" y="10218821"/>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7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37</xdr:col>
      <xdr:colOff>69182</xdr:colOff>
      <xdr:row>61</xdr:row>
      <xdr:rowOff>34090</xdr:rowOff>
    </xdr:from>
    <xdr:to>
      <xdr:col>38</xdr:col>
      <xdr:colOff>196513</xdr:colOff>
      <xdr:row>63</xdr:row>
      <xdr:rowOff>81212</xdr:rowOff>
    </xdr:to>
    <xdr:sp macro="" textlink="">
      <xdr:nvSpPr>
        <xdr:cNvPr id="116" name="Rechteck 115">
          <a:extLst>
            <a:ext uri="{FF2B5EF4-FFF2-40B4-BE49-F238E27FC236}">
              <a16:creationId xmlns:a16="http://schemas.microsoft.com/office/drawing/2014/main" id="{00000000-0008-0000-0700-000074000000}"/>
            </a:ext>
          </a:extLst>
        </xdr:cNvPr>
        <xdr:cNvSpPr/>
      </xdr:nvSpPr>
      <xdr:spPr>
        <a:xfrm>
          <a:off x="8651207" y="10225840"/>
          <a:ext cx="346406"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7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41</xdr:col>
      <xdr:colOff>46123</xdr:colOff>
      <xdr:row>61</xdr:row>
      <xdr:rowOff>41109</xdr:rowOff>
    </xdr:from>
    <xdr:to>
      <xdr:col>42</xdr:col>
      <xdr:colOff>173455</xdr:colOff>
      <xdr:row>63</xdr:row>
      <xdr:rowOff>88231</xdr:rowOff>
    </xdr:to>
    <xdr:sp macro="" textlink="">
      <xdr:nvSpPr>
        <xdr:cNvPr id="118" name="Rechteck 117">
          <a:extLst>
            <a:ext uri="{FF2B5EF4-FFF2-40B4-BE49-F238E27FC236}">
              <a16:creationId xmlns:a16="http://schemas.microsoft.com/office/drawing/2014/main" id="{00000000-0008-0000-0700-000076000000}"/>
            </a:ext>
          </a:extLst>
        </xdr:cNvPr>
        <xdr:cNvSpPr/>
      </xdr:nvSpPr>
      <xdr:spPr>
        <a:xfrm>
          <a:off x="9504448" y="10232859"/>
          <a:ext cx="346407"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7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29</xdr:col>
      <xdr:colOff>155411</xdr:colOff>
      <xdr:row>61</xdr:row>
      <xdr:rowOff>35094</xdr:rowOff>
    </xdr:from>
    <xdr:to>
      <xdr:col>45</xdr:col>
      <xdr:colOff>139037</xdr:colOff>
      <xdr:row>67</xdr:row>
      <xdr:rowOff>135776</xdr:rowOff>
    </xdr:to>
    <xdr:pic>
      <xdr:nvPicPr>
        <xdr:cNvPr id="2" name="Grafik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t="22737"/>
        <a:stretch/>
      </xdr:blipFill>
      <xdr:spPr>
        <a:xfrm>
          <a:off x="6984836" y="10226844"/>
          <a:ext cx="3365001" cy="1072232"/>
        </a:xfrm>
        <a:prstGeom prst="rect">
          <a:avLst/>
        </a:prstGeom>
      </xdr:spPr>
    </xdr:pic>
    <xdr:clientData/>
  </xdr:twoCellAnchor>
  <xdr:twoCellAnchor editAs="oneCell">
    <xdr:from>
      <xdr:col>11</xdr:col>
      <xdr:colOff>156269</xdr:colOff>
      <xdr:row>86</xdr:row>
      <xdr:rowOff>42709</xdr:rowOff>
    </xdr:from>
    <xdr:to>
      <xdr:col>17</xdr:col>
      <xdr:colOff>178041</xdr:colOff>
      <xdr:row>93</xdr:row>
      <xdr:rowOff>16767</xdr:rowOff>
    </xdr:to>
    <xdr:pic>
      <xdr:nvPicPr>
        <xdr:cNvPr id="3" name="Grafik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042344" y="14273059"/>
          <a:ext cx="1336222" cy="1107533"/>
        </a:xfrm>
        <a:prstGeom prst="rect">
          <a:avLst/>
        </a:prstGeom>
      </xdr:spPr>
    </xdr:pic>
    <xdr:clientData/>
  </xdr:twoCellAnchor>
  <xdr:twoCellAnchor editAs="oneCell">
    <xdr:from>
      <xdr:col>13</xdr:col>
      <xdr:colOff>35312</xdr:colOff>
      <xdr:row>72</xdr:row>
      <xdr:rowOff>87087</xdr:rowOff>
    </xdr:from>
    <xdr:to>
      <xdr:col>17</xdr:col>
      <xdr:colOff>51437</xdr:colOff>
      <xdr:row>82</xdr:row>
      <xdr:rowOff>105640</xdr:rowOff>
    </xdr:to>
    <xdr:pic>
      <xdr:nvPicPr>
        <xdr:cNvPr id="4" name="Grafik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359537" y="12060012"/>
          <a:ext cx="892425" cy="1628278"/>
        </a:xfrm>
        <a:prstGeom prst="rect">
          <a:avLst/>
        </a:prstGeom>
      </xdr:spPr>
    </xdr:pic>
    <xdr:clientData/>
  </xdr:twoCellAnchor>
  <xdr:twoCellAnchor editAs="oneCell">
    <xdr:from>
      <xdr:col>23</xdr:col>
      <xdr:colOff>50316</xdr:colOff>
      <xdr:row>61</xdr:row>
      <xdr:rowOff>76201</xdr:rowOff>
    </xdr:from>
    <xdr:to>
      <xdr:col>26</xdr:col>
      <xdr:colOff>176663</xdr:colOff>
      <xdr:row>69</xdr:row>
      <xdr:rowOff>136073</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5565291" y="10267951"/>
          <a:ext cx="783572" cy="1355272"/>
        </a:xfrm>
        <a:prstGeom prst="rect">
          <a:avLst/>
        </a:prstGeom>
      </xdr:spPr>
    </xdr:pic>
    <xdr:clientData/>
  </xdr:twoCellAnchor>
  <xdr:twoCellAnchor editAs="oneCell">
    <xdr:from>
      <xdr:col>10</xdr:col>
      <xdr:colOff>195196</xdr:colOff>
      <xdr:row>62</xdr:row>
      <xdr:rowOff>0</xdr:rowOff>
    </xdr:from>
    <xdr:to>
      <xdr:col>14</xdr:col>
      <xdr:colOff>179360</xdr:colOff>
      <xdr:row>69</xdr:row>
      <xdr:rowOff>32654</xdr:rowOff>
    </xdr:to>
    <xdr:pic>
      <xdr:nvPicPr>
        <xdr:cNvPr id="6" name="Grafik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2862196" y="10353675"/>
          <a:ext cx="860464" cy="1166129"/>
        </a:xfrm>
        <a:prstGeom prst="rect">
          <a:avLst/>
        </a:prstGeom>
      </xdr:spPr>
    </xdr:pic>
    <xdr:clientData/>
  </xdr:twoCellAnchor>
  <xdr:twoCellAnchor editAs="oneCell">
    <xdr:from>
      <xdr:col>16</xdr:col>
      <xdr:colOff>0</xdr:colOff>
      <xdr:row>45</xdr:row>
      <xdr:rowOff>48283</xdr:rowOff>
    </xdr:from>
    <xdr:to>
      <xdr:col>22</xdr:col>
      <xdr:colOff>196453</xdr:colOff>
      <xdr:row>58</xdr:row>
      <xdr:rowOff>128124</xdr:rowOff>
    </xdr:to>
    <xdr:pic>
      <xdr:nvPicPr>
        <xdr:cNvPr id="7" name="Grafik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81450" y="7649233"/>
          <a:ext cx="1510903" cy="2184866"/>
        </a:xfrm>
        <a:prstGeom prst="rect">
          <a:avLst/>
        </a:prstGeom>
      </xdr:spPr>
    </xdr:pic>
    <xdr:clientData/>
  </xdr:twoCellAnchor>
  <xdr:twoCellAnchor editAs="oneCell">
    <xdr:from>
      <xdr:col>16</xdr:col>
      <xdr:colOff>23812</xdr:colOff>
      <xdr:row>35</xdr:row>
      <xdr:rowOff>86816</xdr:rowOff>
    </xdr:from>
    <xdr:to>
      <xdr:col>23</xdr:col>
      <xdr:colOff>15026</xdr:colOff>
      <xdr:row>43</xdr:row>
      <xdr:rowOff>80264</xdr:rowOff>
    </xdr:to>
    <xdr:pic>
      <xdr:nvPicPr>
        <xdr:cNvPr id="8" name="Grafik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5262" y="6068516"/>
          <a:ext cx="1524739" cy="1288848"/>
        </a:xfrm>
        <a:prstGeom prst="rect">
          <a:avLst/>
        </a:prstGeom>
      </xdr:spPr>
    </xdr:pic>
    <xdr:clientData/>
  </xdr:twoCellAnchor>
  <xdr:twoCellAnchor editAs="oneCell">
    <xdr:from>
      <xdr:col>10</xdr:col>
      <xdr:colOff>104982</xdr:colOff>
      <xdr:row>49</xdr:row>
      <xdr:rowOff>73138</xdr:rowOff>
    </xdr:from>
    <xdr:to>
      <xdr:col>14</xdr:col>
      <xdr:colOff>193839</xdr:colOff>
      <xdr:row>58</xdr:row>
      <xdr:rowOff>101203</xdr:rowOff>
    </xdr:to>
    <xdr:pic>
      <xdr:nvPicPr>
        <xdr:cNvPr id="9" name="Grafik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2771982" y="8321788"/>
          <a:ext cx="965157" cy="1485390"/>
        </a:xfrm>
        <a:prstGeom prst="rect">
          <a:avLst/>
        </a:prstGeom>
      </xdr:spPr>
    </xdr:pic>
    <xdr:clientData/>
  </xdr:twoCellAnchor>
  <xdr:twoCellAnchor editAs="oneCell">
    <xdr:from>
      <xdr:col>3</xdr:col>
      <xdr:colOff>64742</xdr:colOff>
      <xdr:row>49</xdr:row>
      <xdr:rowOff>71439</xdr:rowOff>
    </xdr:from>
    <xdr:to>
      <xdr:col>8</xdr:col>
      <xdr:colOff>72393</xdr:colOff>
      <xdr:row>58</xdr:row>
      <xdr:rowOff>95251</xdr:rowOff>
    </xdr:to>
    <xdr:pic>
      <xdr:nvPicPr>
        <xdr:cNvPr id="10" name="Grafik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1331567" y="8320089"/>
          <a:ext cx="969676" cy="1481137"/>
        </a:xfrm>
        <a:prstGeom prst="rect">
          <a:avLst/>
        </a:prstGeom>
      </xdr:spPr>
    </xdr:pic>
    <xdr:clientData/>
  </xdr:twoCellAnchor>
  <xdr:twoCellAnchor editAs="oneCell">
    <xdr:from>
      <xdr:col>12</xdr:col>
      <xdr:colOff>161337</xdr:colOff>
      <xdr:row>40</xdr:row>
      <xdr:rowOff>76061</xdr:rowOff>
    </xdr:from>
    <xdr:to>
      <xdr:col>14</xdr:col>
      <xdr:colOff>191781</xdr:colOff>
      <xdr:row>47</xdr:row>
      <xdr:rowOff>27385</xdr:rowOff>
    </xdr:to>
    <xdr:pic>
      <xdr:nvPicPr>
        <xdr:cNvPr id="11" name="Grafik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rot="10800000">
          <a:off x="3266487" y="6867386"/>
          <a:ext cx="468594" cy="1084799"/>
        </a:xfrm>
        <a:prstGeom prst="rect">
          <a:avLst/>
        </a:prstGeom>
      </xdr:spPr>
    </xdr:pic>
    <xdr:clientData/>
  </xdr:twoCellAnchor>
  <xdr:twoCellAnchor editAs="oneCell">
    <xdr:from>
      <xdr:col>3</xdr:col>
      <xdr:colOff>62517</xdr:colOff>
      <xdr:row>40</xdr:row>
      <xdr:rowOff>84395</xdr:rowOff>
    </xdr:from>
    <xdr:to>
      <xdr:col>6</xdr:col>
      <xdr:colOff>9618</xdr:colOff>
      <xdr:row>47</xdr:row>
      <xdr:rowOff>35719</xdr:rowOff>
    </xdr:to>
    <xdr:pic>
      <xdr:nvPicPr>
        <xdr:cNvPr id="12" name="Grafik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9342" y="6875720"/>
          <a:ext cx="470976" cy="1084799"/>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3" name="Rechteck 12">
          <a:extLst>
            <a:ext uri="{FF2B5EF4-FFF2-40B4-BE49-F238E27FC236}">
              <a16:creationId xmlns:a16="http://schemas.microsoft.com/office/drawing/2014/main" id="{00000000-0008-0000-0900-00000D000000}"/>
            </a:ext>
          </a:extLst>
        </xdr:cNvPr>
        <xdr:cNvSpPr/>
      </xdr:nvSpPr>
      <xdr:spPr>
        <a:xfrm>
          <a:off x="3612995" y="787087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14" name="Rechteck 13">
          <a:extLst>
            <a:ext uri="{FF2B5EF4-FFF2-40B4-BE49-F238E27FC236}">
              <a16:creationId xmlns:a16="http://schemas.microsoft.com/office/drawing/2014/main" id="{00000000-0008-0000-0900-00000E000000}"/>
            </a:ext>
          </a:extLst>
        </xdr:cNvPr>
        <xdr:cNvSpPr/>
      </xdr:nvSpPr>
      <xdr:spPr>
        <a:xfrm>
          <a:off x="1296563" y="786958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15" name="Gerader Verbinder 14">
          <a:extLst>
            <a:ext uri="{FF2B5EF4-FFF2-40B4-BE49-F238E27FC236}">
              <a16:creationId xmlns:a16="http://schemas.microsoft.com/office/drawing/2014/main" id="{00000000-0008-0000-0900-00000F000000}"/>
            </a:ext>
          </a:extLst>
        </xdr:cNvPr>
        <xdr:cNvCxnSpPr/>
      </xdr:nvCxnSpPr>
      <xdr:spPr>
        <a:xfrm>
          <a:off x="1308497" y="829025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35718</xdr:rowOff>
    </xdr:from>
    <xdr:to>
      <xdr:col>26</xdr:col>
      <xdr:colOff>111141</xdr:colOff>
      <xdr:row>58</xdr:row>
      <xdr:rowOff>78280</xdr:rowOff>
    </xdr:to>
    <xdr:cxnSp macro="">
      <xdr:nvCxnSpPr>
        <xdr:cNvPr id="16" name="Gerader Verbinder 15">
          <a:extLst>
            <a:ext uri="{FF2B5EF4-FFF2-40B4-BE49-F238E27FC236}">
              <a16:creationId xmlns:a16="http://schemas.microsoft.com/office/drawing/2014/main" id="{00000000-0008-0000-0900-000010000000}"/>
            </a:ext>
          </a:extLst>
        </xdr:cNvPr>
        <xdr:cNvCxnSpPr/>
      </xdr:nvCxnSpPr>
      <xdr:spPr>
        <a:xfrm>
          <a:off x="6283341" y="9093993"/>
          <a:ext cx="0" cy="690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17" name="Gerader Verbinder 16">
          <a:extLst>
            <a:ext uri="{FF2B5EF4-FFF2-40B4-BE49-F238E27FC236}">
              <a16:creationId xmlns:a16="http://schemas.microsoft.com/office/drawing/2014/main" id="{00000000-0008-0000-0900-000011000000}"/>
            </a:ext>
          </a:extLst>
        </xdr:cNvPr>
        <xdr:cNvCxnSpPr/>
      </xdr:nvCxnSpPr>
      <xdr:spPr>
        <a:xfrm>
          <a:off x="5402745" y="97033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89297</xdr:rowOff>
    </xdr:to>
    <xdr:cxnSp macro="">
      <xdr:nvCxnSpPr>
        <xdr:cNvPr id="18" name="Gerader Verbinder 17">
          <a:extLst>
            <a:ext uri="{FF2B5EF4-FFF2-40B4-BE49-F238E27FC236}">
              <a16:creationId xmlns:a16="http://schemas.microsoft.com/office/drawing/2014/main" id="{00000000-0008-0000-0900-000012000000}"/>
            </a:ext>
          </a:extLst>
        </xdr:cNvPr>
        <xdr:cNvCxnSpPr/>
      </xdr:nvCxnSpPr>
      <xdr:spPr>
        <a:xfrm>
          <a:off x="6282933" y="6054024"/>
          <a:ext cx="0" cy="293162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52</xdr:row>
      <xdr:rowOff>158658</xdr:rowOff>
    </xdr:from>
    <xdr:to>
      <xdr:col>26</xdr:col>
      <xdr:colOff>197625</xdr:colOff>
      <xdr:row>52</xdr:row>
      <xdr:rowOff>158658</xdr:rowOff>
    </xdr:to>
    <xdr:cxnSp macro="">
      <xdr:nvCxnSpPr>
        <xdr:cNvPr id="19" name="Gerader Verbinder 18">
          <a:extLst>
            <a:ext uri="{FF2B5EF4-FFF2-40B4-BE49-F238E27FC236}">
              <a16:creationId xmlns:a16="http://schemas.microsoft.com/office/drawing/2014/main" id="{00000000-0008-0000-0900-000013000000}"/>
            </a:ext>
          </a:extLst>
        </xdr:cNvPr>
        <xdr:cNvCxnSpPr/>
      </xdr:nvCxnSpPr>
      <xdr:spPr>
        <a:xfrm>
          <a:off x="5404135" y="88930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0" name="Gerader Verbinder 19">
          <a:extLst>
            <a:ext uri="{FF2B5EF4-FFF2-40B4-BE49-F238E27FC236}">
              <a16:creationId xmlns:a16="http://schemas.microsoft.com/office/drawing/2014/main" id="{00000000-0008-0000-0900-000014000000}"/>
            </a:ext>
          </a:extLst>
        </xdr:cNvPr>
        <xdr:cNvCxnSpPr/>
      </xdr:nvCxnSpPr>
      <xdr:spPr>
        <a:xfrm>
          <a:off x="5385720" y="613245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1" name="Gerader Verbinder 20">
          <a:extLst>
            <a:ext uri="{FF2B5EF4-FFF2-40B4-BE49-F238E27FC236}">
              <a16:creationId xmlns:a16="http://schemas.microsoft.com/office/drawing/2014/main" id="{00000000-0008-0000-0900-000015000000}"/>
            </a:ext>
          </a:extLst>
        </xdr:cNvPr>
        <xdr:cNvCxnSpPr/>
      </xdr:nvCxnSpPr>
      <xdr:spPr>
        <a:xfrm flipV="1">
          <a:off x="6232116" y="964574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106527</xdr:rowOff>
    </xdr:from>
    <xdr:to>
      <xdr:col>26</xdr:col>
      <xdr:colOff>172696</xdr:colOff>
      <xdr:row>53</xdr:row>
      <xdr:rowOff>57006</xdr:rowOff>
    </xdr:to>
    <xdr:cxnSp macro="">
      <xdr:nvCxnSpPr>
        <xdr:cNvPr id="22" name="Gerader Verbinder 21">
          <a:extLst>
            <a:ext uri="{FF2B5EF4-FFF2-40B4-BE49-F238E27FC236}">
              <a16:creationId xmlns:a16="http://schemas.microsoft.com/office/drawing/2014/main" id="{00000000-0008-0000-0900-000016000000}"/>
            </a:ext>
          </a:extLst>
        </xdr:cNvPr>
        <xdr:cNvCxnSpPr/>
      </xdr:nvCxnSpPr>
      <xdr:spPr>
        <a:xfrm flipV="1">
          <a:off x="6230192" y="884095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3" name="Gerader Verbinder 22">
          <a:extLst>
            <a:ext uri="{FF2B5EF4-FFF2-40B4-BE49-F238E27FC236}">
              <a16:creationId xmlns:a16="http://schemas.microsoft.com/office/drawing/2014/main" id="{00000000-0008-0000-0900-000017000000}"/>
            </a:ext>
          </a:extLst>
        </xdr:cNvPr>
        <xdr:cNvCxnSpPr/>
      </xdr:nvCxnSpPr>
      <xdr:spPr>
        <a:xfrm flipV="1">
          <a:off x="6225561" y="607750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09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5" name="Grafik 24">
          <a:extLst>
            <a:ext uri="{FF2B5EF4-FFF2-40B4-BE49-F238E27FC236}">
              <a16:creationId xmlns:a16="http://schemas.microsoft.com/office/drawing/2014/main" id="{00000000-0008-0000-0900-000019000000}"/>
            </a:ext>
          </a:extLst>
        </xdr:cNvPr>
        <xdr:cNvPicPr>
          <a:picLocks noChangeAspect="1"/>
        </xdr:cNvPicPr>
      </xdr:nvPicPr>
      <xdr:blipFill rotWithShape="1">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rcRect t="3845" b="7693"/>
        <a:stretch/>
      </xdr:blipFill>
      <xdr:spPr>
        <a:xfrm>
          <a:off x="2723027" y="609375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6" name="Grafik 25">
          <a:extLst>
            <a:ext uri="{FF2B5EF4-FFF2-40B4-BE49-F238E27FC236}">
              <a16:creationId xmlns:a16="http://schemas.microsoft.com/office/drawing/2014/main" id="{00000000-0008-0000-0900-00001A000000}"/>
            </a:ext>
          </a:extLst>
        </xdr:cNvPr>
        <xdr:cNvPicPr>
          <a:picLocks noChangeAspect="1"/>
        </xdr:cNvPicPr>
      </xdr:nvPicPr>
      <xdr:blipFill>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82555"/>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9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9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9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9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9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9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9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36</xdr:row>
          <xdr:rowOff>0</xdr:rowOff>
        </xdr:from>
        <xdr:to>
          <xdr:col>31</xdr:col>
          <xdr:colOff>0</xdr:colOff>
          <xdr:row>37</xdr:row>
          <xdr:rowOff>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9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9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9525</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9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9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9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9525</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9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9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41" name="Gerader Verbinder 40">
          <a:extLst>
            <a:ext uri="{FF2B5EF4-FFF2-40B4-BE49-F238E27FC236}">
              <a16:creationId xmlns:a16="http://schemas.microsoft.com/office/drawing/2014/main" id="{00000000-0008-0000-0900-000029000000}"/>
            </a:ext>
          </a:extLst>
        </xdr:cNvPr>
        <xdr:cNvCxnSpPr/>
      </xdr:nvCxnSpPr>
      <xdr:spPr>
        <a:xfrm flipV="1">
          <a:off x="1312232" y="822131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42" name="Gerader Verbinder 41">
          <a:extLst>
            <a:ext uri="{FF2B5EF4-FFF2-40B4-BE49-F238E27FC236}">
              <a16:creationId xmlns:a16="http://schemas.microsoft.com/office/drawing/2014/main" id="{00000000-0008-0000-0900-00002A000000}"/>
            </a:ext>
          </a:extLst>
        </xdr:cNvPr>
        <xdr:cNvCxnSpPr/>
      </xdr:nvCxnSpPr>
      <xdr:spPr>
        <a:xfrm flipV="1">
          <a:off x="3637524" y="821722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9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9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9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52</xdr:row>
          <xdr:rowOff>114300</xdr:rowOff>
        </xdr:from>
        <xdr:to>
          <xdr:col>10</xdr:col>
          <xdr:colOff>114300</xdr:colOff>
          <xdr:row>53</xdr:row>
          <xdr:rowOff>114300</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9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47" name="Gerader Verbinder 46">
          <a:extLst>
            <a:ext uri="{FF2B5EF4-FFF2-40B4-BE49-F238E27FC236}">
              <a16:creationId xmlns:a16="http://schemas.microsoft.com/office/drawing/2014/main" id="{00000000-0008-0000-0900-00002F000000}"/>
            </a:ext>
          </a:extLst>
        </xdr:cNvPr>
        <xdr:cNvCxnSpPr/>
      </xdr:nvCxnSpPr>
      <xdr:spPr>
        <a:xfrm>
          <a:off x="3695700" y="753560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48" name="Gerader Verbinder 47">
          <a:extLst>
            <a:ext uri="{FF2B5EF4-FFF2-40B4-BE49-F238E27FC236}">
              <a16:creationId xmlns:a16="http://schemas.microsoft.com/office/drawing/2014/main" id="{00000000-0008-0000-0900-000030000000}"/>
            </a:ext>
          </a:extLst>
        </xdr:cNvPr>
        <xdr:cNvCxnSpPr/>
      </xdr:nvCxnSpPr>
      <xdr:spPr>
        <a:xfrm>
          <a:off x="1371600" y="748595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900-00001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900-00001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9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9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53" name="Gerader Verbinder 52">
          <a:extLst>
            <a:ext uri="{FF2B5EF4-FFF2-40B4-BE49-F238E27FC236}">
              <a16:creationId xmlns:a16="http://schemas.microsoft.com/office/drawing/2014/main" id="{00000000-0008-0000-0900-000035000000}"/>
            </a:ext>
          </a:extLst>
        </xdr:cNvPr>
        <xdr:cNvCxnSpPr/>
      </xdr:nvCxnSpPr>
      <xdr:spPr>
        <a:xfrm>
          <a:off x="5464488" y="796301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54" name="Gerader Verbinder 53">
          <a:extLst>
            <a:ext uri="{FF2B5EF4-FFF2-40B4-BE49-F238E27FC236}">
              <a16:creationId xmlns:a16="http://schemas.microsoft.com/office/drawing/2014/main" id="{00000000-0008-0000-0900-000036000000}"/>
            </a:ext>
          </a:extLst>
        </xdr:cNvPr>
        <xdr:cNvCxnSpPr/>
      </xdr:nvCxnSpPr>
      <xdr:spPr>
        <a:xfrm>
          <a:off x="5620705" y="734679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55" name="Gerader Verbinder 54">
          <a:extLst>
            <a:ext uri="{FF2B5EF4-FFF2-40B4-BE49-F238E27FC236}">
              <a16:creationId xmlns:a16="http://schemas.microsoft.com/office/drawing/2014/main" id="{00000000-0008-0000-0900-000037000000}"/>
            </a:ext>
          </a:extLst>
        </xdr:cNvPr>
        <xdr:cNvCxnSpPr/>
      </xdr:nvCxnSpPr>
      <xdr:spPr>
        <a:xfrm>
          <a:off x="5094773" y="744231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56" name="Gerader Verbinder 55">
          <a:extLst>
            <a:ext uri="{FF2B5EF4-FFF2-40B4-BE49-F238E27FC236}">
              <a16:creationId xmlns:a16="http://schemas.microsoft.com/office/drawing/2014/main" id="{00000000-0008-0000-0900-000038000000}"/>
            </a:ext>
          </a:extLst>
        </xdr:cNvPr>
        <xdr:cNvCxnSpPr/>
      </xdr:nvCxnSpPr>
      <xdr:spPr>
        <a:xfrm flipV="1">
          <a:off x="5564542" y="73849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57" name="Gerader Verbinder 56">
          <a:extLst>
            <a:ext uri="{FF2B5EF4-FFF2-40B4-BE49-F238E27FC236}">
              <a16:creationId xmlns:a16="http://schemas.microsoft.com/office/drawing/2014/main" id="{00000000-0008-0000-0900-000039000000}"/>
            </a:ext>
          </a:extLst>
        </xdr:cNvPr>
        <xdr:cNvCxnSpPr/>
      </xdr:nvCxnSpPr>
      <xdr:spPr>
        <a:xfrm flipV="1">
          <a:off x="5564542" y="79032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900-00001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900-00001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900-00001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900-00001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900-00001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900-00001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9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9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66" name="Rechteck 65">
          <a:extLst>
            <a:ext uri="{FF2B5EF4-FFF2-40B4-BE49-F238E27FC236}">
              <a16:creationId xmlns:a16="http://schemas.microsoft.com/office/drawing/2014/main" id="{00000000-0008-0000-0900-000042000000}"/>
            </a:ext>
          </a:extLst>
        </xdr:cNvPr>
        <xdr:cNvSpPr/>
      </xdr:nvSpPr>
      <xdr:spPr>
        <a:xfrm>
          <a:off x="3964620" y="1209618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900-00002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900-00002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900-00002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70" name="Rechteck 69">
          <a:extLst>
            <a:ext uri="{FF2B5EF4-FFF2-40B4-BE49-F238E27FC236}">
              <a16:creationId xmlns:a16="http://schemas.microsoft.com/office/drawing/2014/main" id="{00000000-0008-0000-0900-000046000000}"/>
            </a:ext>
          </a:extLst>
        </xdr:cNvPr>
        <xdr:cNvSpPr/>
      </xdr:nvSpPr>
      <xdr:spPr>
        <a:xfrm>
          <a:off x="3432341" y="1306592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57150</xdr:colOff>
          <xdr:row>81</xdr:row>
          <xdr:rowOff>9525</xdr:rowOff>
        </xdr:from>
        <xdr:to>
          <xdr:col>14</xdr:col>
          <xdr:colOff>57150</xdr:colOff>
          <xdr:row>82</xdr:row>
          <xdr:rowOff>9525</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900-00002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72" name="Rechteck 71">
          <a:extLst>
            <a:ext uri="{FF2B5EF4-FFF2-40B4-BE49-F238E27FC236}">
              <a16:creationId xmlns:a16="http://schemas.microsoft.com/office/drawing/2014/main" id="{00000000-0008-0000-0900-000048000000}"/>
            </a:ext>
          </a:extLst>
        </xdr:cNvPr>
        <xdr:cNvSpPr/>
      </xdr:nvSpPr>
      <xdr:spPr>
        <a:xfrm>
          <a:off x="3365106" y="1035752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19050</xdr:colOff>
          <xdr:row>62</xdr:row>
          <xdr:rowOff>9525</xdr:rowOff>
        </xdr:from>
        <xdr:to>
          <xdr:col>14</xdr:col>
          <xdr:colOff>19050</xdr:colOff>
          <xdr:row>63</xdr:row>
          <xdr:rowOff>9525</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900-00002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67</xdr:row>
      <xdr:rowOff>146957</xdr:rowOff>
    </xdr:from>
    <xdr:to>
      <xdr:col>12</xdr:col>
      <xdr:colOff>29135</xdr:colOff>
      <xdr:row>69</xdr:row>
      <xdr:rowOff>147276</xdr:rowOff>
    </xdr:to>
    <xdr:sp macro="" textlink="">
      <xdr:nvSpPr>
        <xdr:cNvPr id="74" name="Rechteck 73">
          <a:extLst>
            <a:ext uri="{FF2B5EF4-FFF2-40B4-BE49-F238E27FC236}">
              <a16:creationId xmlns:a16="http://schemas.microsoft.com/office/drawing/2014/main" id="{00000000-0008-0000-0900-00004A000000}"/>
            </a:ext>
          </a:extLst>
        </xdr:cNvPr>
        <xdr:cNvSpPr/>
      </xdr:nvSpPr>
      <xdr:spPr>
        <a:xfrm>
          <a:off x="2967297" y="11310257"/>
          <a:ext cx="166988" cy="3241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66675</xdr:colOff>
          <xdr:row>68</xdr:row>
          <xdr:rowOff>0</xdr:rowOff>
        </xdr:from>
        <xdr:to>
          <xdr:col>12</xdr:col>
          <xdr:colOff>66675</xdr:colOff>
          <xdr:row>69</xdr:row>
          <xdr:rowOff>0</xdr:rowOff>
        </xdr:to>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900-00002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900-00002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900-00002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78" name="Gerader Verbinder 77">
          <a:extLst>
            <a:ext uri="{FF2B5EF4-FFF2-40B4-BE49-F238E27FC236}">
              <a16:creationId xmlns:a16="http://schemas.microsoft.com/office/drawing/2014/main" id="{00000000-0008-0000-0900-00004E000000}"/>
            </a:ext>
          </a:extLst>
        </xdr:cNvPr>
        <xdr:cNvCxnSpPr/>
      </xdr:nvCxnSpPr>
      <xdr:spPr>
        <a:xfrm flipV="1">
          <a:off x="1296709" y="489985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160442</xdr:colOff>
      <xdr:row>27</xdr:row>
      <xdr:rowOff>171880</xdr:rowOff>
    </xdr:from>
    <xdr:to>
      <xdr:col>8</xdr:col>
      <xdr:colOff>52827</xdr:colOff>
      <xdr:row>28</xdr:row>
      <xdr:rowOff>57668</xdr:rowOff>
    </xdr:to>
    <xdr:cxnSp macro="">
      <xdr:nvCxnSpPr>
        <xdr:cNvPr id="79" name="Gerader Verbinder 78">
          <a:extLst>
            <a:ext uri="{FF2B5EF4-FFF2-40B4-BE49-F238E27FC236}">
              <a16:creationId xmlns:a16="http://schemas.microsoft.com/office/drawing/2014/main" id="{00000000-0008-0000-0900-00004F000000}"/>
            </a:ext>
          </a:extLst>
        </xdr:cNvPr>
        <xdr:cNvCxnSpPr/>
      </xdr:nvCxnSpPr>
      <xdr:spPr>
        <a:xfrm flipV="1">
          <a:off x="2170217" y="490580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80" name="Gerader Verbinder 79">
          <a:extLst>
            <a:ext uri="{FF2B5EF4-FFF2-40B4-BE49-F238E27FC236}">
              <a16:creationId xmlns:a16="http://schemas.microsoft.com/office/drawing/2014/main" id="{00000000-0008-0000-0900-000050000000}"/>
            </a:ext>
          </a:extLst>
        </xdr:cNvPr>
        <xdr:cNvCxnSpPr/>
      </xdr:nvCxnSpPr>
      <xdr:spPr>
        <a:xfrm flipV="1">
          <a:off x="3044135" y="490937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81" name="Gerader Verbinder 80">
          <a:extLst>
            <a:ext uri="{FF2B5EF4-FFF2-40B4-BE49-F238E27FC236}">
              <a16:creationId xmlns:a16="http://schemas.microsoft.com/office/drawing/2014/main" id="{00000000-0008-0000-0900-000051000000}"/>
            </a:ext>
          </a:extLst>
        </xdr:cNvPr>
        <xdr:cNvCxnSpPr/>
      </xdr:nvCxnSpPr>
      <xdr:spPr>
        <a:xfrm flipV="1">
          <a:off x="3924007" y="490699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82" name="Gerader Verbinder 81">
          <a:extLst>
            <a:ext uri="{FF2B5EF4-FFF2-40B4-BE49-F238E27FC236}">
              <a16:creationId xmlns:a16="http://schemas.microsoft.com/office/drawing/2014/main" id="{00000000-0008-0000-0900-000052000000}"/>
            </a:ext>
          </a:extLst>
        </xdr:cNvPr>
        <xdr:cNvCxnSpPr/>
      </xdr:nvCxnSpPr>
      <xdr:spPr>
        <a:xfrm flipV="1">
          <a:off x="4797925" y="490461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83" name="Gerader Verbinder 82">
          <a:extLst>
            <a:ext uri="{FF2B5EF4-FFF2-40B4-BE49-F238E27FC236}">
              <a16:creationId xmlns:a16="http://schemas.microsoft.com/office/drawing/2014/main" id="{00000000-0008-0000-0900-000053000000}"/>
            </a:ext>
          </a:extLst>
        </xdr:cNvPr>
        <xdr:cNvCxnSpPr/>
      </xdr:nvCxnSpPr>
      <xdr:spPr>
        <a:xfrm flipV="1">
          <a:off x="5677797" y="490818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84" name="Gerader Verbinder 83">
          <a:extLst>
            <a:ext uri="{FF2B5EF4-FFF2-40B4-BE49-F238E27FC236}">
              <a16:creationId xmlns:a16="http://schemas.microsoft.com/office/drawing/2014/main" id="{00000000-0008-0000-0900-000054000000}"/>
            </a:ext>
          </a:extLst>
        </xdr:cNvPr>
        <xdr:cNvCxnSpPr/>
      </xdr:nvCxnSpPr>
      <xdr:spPr>
        <a:xfrm flipV="1">
          <a:off x="6551715" y="490580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85" name="Gerader Verbinder 84">
          <a:extLst>
            <a:ext uri="{FF2B5EF4-FFF2-40B4-BE49-F238E27FC236}">
              <a16:creationId xmlns:a16="http://schemas.microsoft.com/office/drawing/2014/main" id="{00000000-0008-0000-0900-000055000000}"/>
            </a:ext>
          </a:extLst>
        </xdr:cNvPr>
        <xdr:cNvCxnSpPr/>
      </xdr:nvCxnSpPr>
      <xdr:spPr>
        <a:xfrm flipV="1">
          <a:off x="7431587" y="490342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86" name="Gerader Verbinder 85">
          <a:extLst>
            <a:ext uri="{FF2B5EF4-FFF2-40B4-BE49-F238E27FC236}">
              <a16:creationId xmlns:a16="http://schemas.microsoft.com/office/drawing/2014/main" id="{00000000-0008-0000-0900-000056000000}"/>
            </a:ext>
          </a:extLst>
        </xdr:cNvPr>
        <xdr:cNvCxnSpPr/>
      </xdr:nvCxnSpPr>
      <xdr:spPr>
        <a:xfrm flipV="1">
          <a:off x="8305505" y="490699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87" name="Gerader Verbinder 86">
          <a:extLst>
            <a:ext uri="{FF2B5EF4-FFF2-40B4-BE49-F238E27FC236}">
              <a16:creationId xmlns:a16="http://schemas.microsoft.com/office/drawing/2014/main" id="{00000000-0008-0000-0900-000057000000}"/>
            </a:ext>
          </a:extLst>
        </xdr:cNvPr>
        <xdr:cNvCxnSpPr/>
      </xdr:nvCxnSpPr>
      <xdr:spPr>
        <a:xfrm flipV="1">
          <a:off x="9179424" y="489866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88" name="Gerader Verbinder 87">
          <a:extLst>
            <a:ext uri="{FF2B5EF4-FFF2-40B4-BE49-F238E27FC236}">
              <a16:creationId xmlns:a16="http://schemas.microsoft.com/office/drawing/2014/main" id="{00000000-0008-0000-0900-000058000000}"/>
            </a:ext>
          </a:extLst>
        </xdr:cNvPr>
        <xdr:cNvCxnSpPr/>
      </xdr:nvCxnSpPr>
      <xdr:spPr>
        <a:xfrm flipV="1">
          <a:off x="10059296" y="490818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89" name="Grafik 88">
          <a:extLst>
            <a:ext uri="{FF2B5EF4-FFF2-40B4-BE49-F238E27FC236}">
              <a16:creationId xmlns:a16="http://schemas.microsoft.com/office/drawing/2014/main" id="{00000000-0008-0000-0900-000059000000}"/>
            </a:ext>
          </a:extLst>
        </xdr:cNvPr>
        <xdr:cNvPicPr>
          <a:picLocks noChangeAspect="1"/>
        </xdr:cNvPicPr>
      </xdr:nvPicPr>
      <xdr:blipFill>
        <a:blip xmlns:r="http://schemas.openxmlformats.org/officeDocument/2006/relationships" r:embed="rId25"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900-00002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900-00002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55</xdr:row>
          <xdr:rowOff>142875</xdr:rowOff>
        </xdr:from>
        <xdr:to>
          <xdr:col>31</xdr:col>
          <xdr:colOff>0</xdr:colOff>
          <xdr:row>57</xdr:row>
          <xdr:rowOff>0</xdr:rowOff>
        </xdr:to>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900-00002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900-00002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4" name="Grafik 93">
          <a:extLst>
            <a:ext uri="{FF2B5EF4-FFF2-40B4-BE49-F238E27FC236}">
              <a16:creationId xmlns:a16="http://schemas.microsoft.com/office/drawing/2014/main" id="{00000000-0008-0000-0900-00005E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77" t="10351" r="77528" b="74663"/>
        <a:stretch/>
      </xdr:blipFill>
      <xdr:spPr>
        <a:xfrm>
          <a:off x="6472514" y="1690818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95" name="Grafik 94">
          <a:extLst>
            <a:ext uri="{FF2B5EF4-FFF2-40B4-BE49-F238E27FC236}">
              <a16:creationId xmlns:a16="http://schemas.microsoft.com/office/drawing/2014/main" id="{00000000-0008-0000-0900-00005F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697" t="10250" r="56015" b="76270"/>
        <a:stretch/>
      </xdr:blipFill>
      <xdr:spPr>
        <a:xfrm>
          <a:off x="7721414" y="1689353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96" name="Grafik 95">
          <a:extLst>
            <a:ext uri="{FF2B5EF4-FFF2-40B4-BE49-F238E27FC236}">
              <a16:creationId xmlns:a16="http://schemas.microsoft.com/office/drawing/2014/main" id="{00000000-0008-0000-0900-000060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8824" t="10375" r="34746" b="74144"/>
        <a:stretch/>
      </xdr:blipFill>
      <xdr:spPr>
        <a:xfrm>
          <a:off x="9146522" y="1690753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97" name="Grafik 96">
          <a:extLst>
            <a:ext uri="{FF2B5EF4-FFF2-40B4-BE49-F238E27FC236}">
              <a16:creationId xmlns:a16="http://schemas.microsoft.com/office/drawing/2014/main" id="{00000000-0008-0000-0900-000061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2700" r="40451" b="43145"/>
        <a:stretch/>
      </xdr:blipFill>
      <xdr:spPr>
        <a:xfrm>
          <a:off x="6563926" y="1857940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98" name="Grafik 97">
          <a:extLst>
            <a:ext uri="{FF2B5EF4-FFF2-40B4-BE49-F238E27FC236}">
              <a16:creationId xmlns:a16="http://schemas.microsoft.com/office/drawing/2014/main" id="{00000000-0008-0000-0900-000062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0330" r="40451" b="41065"/>
        <a:stretch/>
      </xdr:blipFill>
      <xdr:spPr>
        <a:xfrm>
          <a:off x="9225824" y="18354686"/>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99" name="Rechteck 98">
          <a:extLst>
            <a:ext uri="{FF2B5EF4-FFF2-40B4-BE49-F238E27FC236}">
              <a16:creationId xmlns:a16="http://schemas.microsoft.com/office/drawing/2014/main" id="{00000000-0008-0000-0900-000063000000}"/>
            </a:ext>
          </a:extLst>
        </xdr:cNvPr>
        <xdr:cNvSpPr/>
      </xdr:nvSpPr>
      <xdr:spPr>
        <a:xfrm>
          <a:off x="7861588" y="1847976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00" name="Grafik 99">
          <a:extLst>
            <a:ext uri="{FF2B5EF4-FFF2-40B4-BE49-F238E27FC236}">
              <a16:creationId xmlns:a16="http://schemas.microsoft.com/office/drawing/2014/main" id="{00000000-0008-0000-0900-000064000000}"/>
            </a:ext>
          </a:extLst>
        </xdr:cNvPr>
        <xdr:cNvPicPr>
          <a:picLocks noChangeAspect="1"/>
        </xdr:cNvPicPr>
      </xdr:nvPicPr>
      <xdr:blipFill rotWithShape="1">
        <a:blip xmlns:r="http://schemas.openxmlformats.org/officeDocument/2006/relationships" r:embed="rId27" cstate="print">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17681"/>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01" name="Grafik 100">
          <a:extLst>
            <a:ext uri="{FF2B5EF4-FFF2-40B4-BE49-F238E27FC236}">
              <a16:creationId xmlns:a16="http://schemas.microsoft.com/office/drawing/2014/main" id="{00000000-0008-0000-0900-000065000000}"/>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63390" t="41256" r="16917" b="41369"/>
        <a:stretch/>
      </xdr:blipFill>
      <xdr:spPr>
        <a:xfrm>
          <a:off x="7709911" y="18481672"/>
          <a:ext cx="1332502" cy="1608775"/>
        </a:xfrm>
        <a:prstGeom prst="rect">
          <a:avLst/>
        </a:prstGeom>
      </xdr:spPr>
    </xdr:pic>
    <xdr:clientData/>
  </xdr:twoCellAnchor>
  <xdr:twoCellAnchor>
    <xdr:from>
      <xdr:col>52</xdr:col>
      <xdr:colOff>81803</xdr:colOff>
      <xdr:row>24</xdr:row>
      <xdr:rowOff>9930</xdr:rowOff>
    </xdr:from>
    <xdr:to>
      <xdr:col>52</xdr:col>
      <xdr:colOff>535195</xdr:colOff>
      <xdr:row>25</xdr:row>
      <xdr:rowOff>111344</xdr:rowOff>
    </xdr:to>
    <xdr:sp macro="" textlink="">
      <xdr:nvSpPr>
        <xdr:cNvPr id="102" name="Pfeil nach rechts 16">
          <a:hlinkClick xmlns:r="http://schemas.openxmlformats.org/officeDocument/2006/relationships" r:id="rId30"/>
          <a:extLst>
            <a:ext uri="{FF2B5EF4-FFF2-40B4-BE49-F238E27FC236}">
              <a16:creationId xmlns:a16="http://schemas.microsoft.com/office/drawing/2014/main" id="{00000000-0008-0000-0900-000066000000}"/>
            </a:ext>
          </a:extLst>
        </xdr:cNvPr>
        <xdr:cNvSpPr/>
      </xdr:nvSpPr>
      <xdr:spPr>
        <a:xfrm>
          <a:off x="14883653" y="429618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03" name="Grafik 102">
          <a:extLst>
            <a:ext uri="{FF2B5EF4-FFF2-40B4-BE49-F238E27FC236}">
              <a16:creationId xmlns:a16="http://schemas.microsoft.com/office/drawing/2014/main" id="{00000000-0008-0000-0900-000067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r="52107"/>
        <a:stretch/>
      </xdr:blipFill>
      <xdr:spPr>
        <a:xfrm>
          <a:off x="11271436" y="1249231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04" name="Grafik 103">
          <a:extLst>
            <a:ext uri="{FF2B5EF4-FFF2-40B4-BE49-F238E27FC236}">
              <a16:creationId xmlns:a16="http://schemas.microsoft.com/office/drawing/2014/main" id="{00000000-0008-0000-0900-000068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l="51024"/>
        <a:stretch/>
      </xdr:blipFill>
      <xdr:spPr>
        <a:xfrm>
          <a:off x="12055849" y="12492318"/>
          <a:ext cx="699621" cy="745849"/>
        </a:xfrm>
        <a:prstGeom prst="rect">
          <a:avLst/>
        </a:prstGeom>
        <a:ln>
          <a:noFill/>
        </a:ln>
      </xdr:spPr>
    </xdr:pic>
    <xdr:clientData/>
  </xdr:twoCellAnchor>
  <xdr:twoCellAnchor editAs="oneCell">
    <xdr:from>
      <xdr:col>4</xdr:col>
      <xdr:colOff>92531</xdr:colOff>
      <xdr:row>62</xdr:row>
      <xdr:rowOff>118152</xdr:rowOff>
    </xdr:from>
    <xdr:to>
      <xdr:col>8</xdr:col>
      <xdr:colOff>192955</xdr:colOff>
      <xdr:row>68</xdr:row>
      <xdr:rowOff>92530</xdr:rowOff>
    </xdr:to>
    <xdr:pic>
      <xdr:nvPicPr>
        <xdr:cNvPr id="105" name="Grafik 104">
          <a:extLst>
            <a:ext uri="{FF2B5EF4-FFF2-40B4-BE49-F238E27FC236}">
              <a16:creationId xmlns:a16="http://schemas.microsoft.com/office/drawing/2014/main" id="{00000000-0008-0000-0900-000069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1445081" y="10471827"/>
          <a:ext cx="976724" cy="945928"/>
        </a:xfrm>
        <a:prstGeom prst="rect">
          <a:avLst/>
        </a:prstGeom>
      </xdr:spPr>
    </xdr:pic>
    <xdr:clientData/>
  </xdr:twoCellAnchor>
  <xdr:twoCellAnchor>
    <xdr:from>
      <xdr:col>29</xdr:col>
      <xdr:colOff>110290</xdr:colOff>
      <xdr:row>61</xdr:row>
      <xdr:rowOff>0</xdr:rowOff>
    </xdr:from>
    <xdr:to>
      <xdr:col>31</xdr:col>
      <xdr:colOff>17042</xdr:colOff>
      <xdr:row>63</xdr:row>
      <xdr:rowOff>47122</xdr:rowOff>
    </xdr:to>
    <xdr:sp macro="" textlink="">
      <xdr:nvSpPr>
        <xdr:cNvPr id="106" name="Rechteck 105">
          <a:extLst>
            <a:ext uri="{FF2B5EF4-FFF2-40B4-BE49-F238E27FC236}">
              <a16:creationId xmlns:a16="http://schemas.microsoft.com/office/drawing/2014/main" id="{00000000-0008-0000-0900-00006A000000}"/>
            </a:ext>
          </a:extLst>
        </xdr:cNvPr>
        <xdr:cNvSpPr/>
      </xdr:nvSpPr>
      <xdr:spPr>
        <a:xfrm>
          <a:off x="6939715" y="10191750"/>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17</xdr:col>
      <xdr:colOff>48987</xdr:colOff>
      <xdr:row>62</xdr:row>
      <xdr:rowOff>10885</xdr:rowOff>
    </xdr:from>
    <xdr:to>
      <xdr:col>20</xdr:col>
      <xdr:colOff>99131</xdr:colOff>
      <xdr:row>69</xdr:row>
      <xdr:rowOff>27690</xdr:rowOff>
    </xdr:to>
    <xdr:pic>
      <xdr:nvPicPr>
        <xdr:cNvPr id="107" name="Grafik 106">
          <a:extLst>
            <a:ext uri="{FF2B5EF4-FFF2-40B4-BE49-F238E27FC236}">
              <a16:creationId xmlns:a16="http://schemas.microsoft.com/office/drawing/2014/main" id="{00000000-0008-0000-0900-00006B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4249512" y="10364560"/>
          <a:ext cx="707369" cy="1150280"/>
        </a:xfrm>
        <a:prstGeom prst="rect">
          <a:avLst/>
        </a:prstGeom>
      </xdr:spPr>
    </xdr:pic>
    <xdr:clientData/>
  </xdr:twoCellAnchor>
  <xdr:twoCellAnchor editAs="oneCell">
    <xdr:from>
      <xdr:col>5</xdr:col>
      <xdr:colOff>14177</xdr:colOff>
      <xdr:row>73</xdr:row>
      <xdr:rowOff>43542</xdr:rowOff>
    </xdr:from>
    <xdr:to>
      <xdr:col>10</xdr:col>
      <xdr:colOff>120072</xdr:colOff>
      <xdr:row>81</xdr:row>
      <xdr:rowOff>76200</xdr:rowOff>
    </xdr:to>
    <xdr:pic>
      <xdr:nvPicPr>
        <xdr:cNvPr id="108" name="Grafik 107">
          <a:extLst>
            <a:ext uri="{FF2B5EF4-FFF2-40B4-BE49-F238E27FC236}">
              <a16:creationId xmlns:a16="http://schemas.microsoft.com/office/drawing/2014/main" id="{00000000-0008-0000-0900-00006C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1585802" y="12178392"/>
          <a:ext cx="1201270" cy="1318533"/>
        </a:xfrm>
        <a:prstGeom prst="rect">
          <a:avLst/>
        </a:prstGeom>
      </xdr:spPr>
    </xdr:pic>
    <xdr:clientData/>
  </xdr:twoCellAnchor>
  <xdr:twoCellAnchor editAs="oneCell">
    <xdr:from>
      <xdr:col>19</xdr:col>
      <xdr:colOff>217712</xdr:colOff>
      <xdr:row>72</xdr:row>
      <xdr:rowOff>65314</xdr:rowOff>
    </xdr:from>
    <xdr:to>
      <xdr:col>24</xdr:col>
      <xdr:colOff>134364</xdr:colOff>
      <xdr:row>83</xdr:row>
      <xdr:rowOff>3198</xdr:rowOff>
    </xdr:to>
    <xdr:pic>
      <xdr:nvPicPr>
        <xdr:cNvPr id="109" name="Grafik 108">
          <a:extLst>
            <a:ext uri="{FF2B5EF4-FFF2-40B4-BE49-F238E27FC236}">
              <a16:creationId xmlns:a16="http://schemas.microsoft.com/office/drawing/2014/main" id="{00000000-0008-0000-0900-00006D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856387" y="12038239"/>
          <a:ext cx="1012027" cy="1709534"/>
        </a:xfrm>
        <a:prstGeom prst="rect">
          <a:avLst/>
        </a:prstGeom>
      </xdr:spPr>
    </xdr:pic>
    <xdr:clientData/>
  </xdr:twoCellAnchor>
  <xdr:twoCellAnchor editAs="oneCell">
    <xdr:from>
      <xdr:col>4</xdr:col>
      <xdr:colOff>215709</xdr:colOff>
      <xdr:row>86</xdr:row>
      <xdr:rowOff>41979</xdr:rowOff>
    </xdr:from>
    <xdr:to>
      <xdr:col>10</xdr:col>
      <xdr:colOff>212835</xdr:colOff>
      <xdr:row>92</xdr:row>
      <xdr:rowOff>35842</xdr:rowOff>
    </xdr:to>
    <xdr:pic>
      <xdr:nvPicPr>
        <xdr:cNvPr id="110" name="Grafik 109">
          <a:extLst>
            <a:ext uri="{FF2B5EF4-FFF2-40B4-BE49-F238E27FC236}">
              <a16:creationId xmlns:a16="http://schemas.microsoft.com/office/drawing/2014/main" id="{00000000-0008-0000-0900-00006E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568259" y="14272329"/>
          <a:ext cx="1311576" cy="965413"/>
        </a:xfrm>
        <a:prstGeom prst="rect">
          <a:avLst/>
        </a:prstGeom>
      </xdr:spPr>
    </xdr:pic>
    <xdr:clientData/>
  </xdr:twoCellAnchor>
  <xdr:twoCellAnchor editAs="oneCell">
    <xdr:from>
      <xdr:col>20</xdr:col>
      <xdr:colOff>130342</xdr:colOff>
      <xdr:row>87</xdr:row>
      <xdr:rowOff>56997</xdr:rowOff>
    </xdr:from>
    <xdr:to>
      <xdr:col>24</xdr:col>
      <xdr:colOff>104249</xdr:colOff>
      <xdr:row>92</xdr:row>
      <xdr:rowOff>13522</xdr:rowOff>
    </xdr:to>
    <xdr:pic>
      <xdr:nvPicPr>
        <xdr:cNvPr id="111" name="Grafik 110">
          <a:extLst>
            <a:ext uri="{FF2B5EF4-FFF2-40B4-BE49-F238E27FC236}">
              <a16:creationId xmlns:a16="http://schemas.microsoft.com/office/drawing/2014/main" id="{00000000-0008-0000-0900-00006F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4988092" y="14449272"/>
          <a:ext cx="850207" cy="766150"/>
        </a:xfrm>
        <a:prstGeom prst="rect">
          <a:avLst/>
        </a:prstGeom>
      </xdr:spPr>
    </xdr:pic>
    <xdr:clientData/>
  </xdr:twoCellAnchor>
  <xdr:twoCellAnchor>
    <xdr:from>
      <xdr:col>19</xdr:col>
      <xdr:colOff>190794</xdr:colOff>
      <xdr:row>86</xdr:row>
      <xdr:rowOff>85223</xdr:rowOff>
    </xdr:from>
    <xdr:to>
      <xdr:col>23</xdr:col>
      <xdr:colOff>90236</xdr:colOff>
      <xdr:row>90</xdr:row>
      <xdr:rowOff>115302</xdr:rowOff>
    </xdr:to>
    <xdr:sp macro="" textlink="">
      <xdr:nvSpPr>
        <xdr:cNvPr id="112" name="Rechteck 111">
          <a:extLst>
            <a:ext uri="{FF2B5EF4-FFF2-40B4-BE49-F238E27FC236}">
              <a16:creationId xmlns:a16="http://schemas.microsoft.com/office/drawing/2014/main" id="{00000000-0008-0000-0900-000070000000}"/>
            </a:ext>
          </a:extLst>
        </xdr:cNvPr>
        <xdr:cNvSpPr/>
      </xdr:nvSpPr>
      <xdr:spPr>
        <a:xfrm>
          <a:off x="4829469" y="14315573"/>
          <a:ext cx="775742" cy="6777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900-00002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33</xdr:col>
      <xdr:colOff>112295</xdr:colOff>
      <xdr:row>61</xdr:row>
      <xdr:rowOff>27071</xdr:rowOff>
    </xdr:from>
    <xdr:to>
      <xdr:col>35</xdr:col>
      <xdr:colOff>19047</xdr:colOff>
      <xdr:row>63</xdr:row>
      <xdr:rowOff>74193</xdr:rowOff>
    </xdr:to>
    <xdr:sp macro="" textlink="">
      <xdr:nvSpPr>
        <xdr:cNvPr id="114" name="Rechteck 113">
          <a:extLst>
            <a:ext uri="{FF2B5EF4-FFF2-40B4-BE49-F238E27FC236}">
              <a16:creationId xmlns:a16="http://schemas.microsoft.com/office/drawing/2014/main" id="{00000000-0008-0000-0900-000072000000}"/>
            </a:ext>
          </a:extLst>
        </xdr:cNvPr>
        <xdr:cNvSpPr/>
      </xdr:nvSpPr>
      <xdr:spPr>
        <a:xfrm>
          <a:off x="7818020" y="10218821"/>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900-00002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37</xdr:col>
      <xdr:colOff>69182</xdr:colOff>
      <xdr:row>61</xdr:row>
      <xdr:rowOff>34090</xdr:rowOff>
    </xdr:from>
    <xdr:to>
      <xdr:col>38</xdr:col>
      <xdr:colOff>196513</xdr:colOff>
      <xdr:row>63</xdr:row>
      <xdr:rowOff>81212</xdr:rowOff>
    </xdr:to>
    <xdr:sp macro="" textlink="">
      <xdr:nvSpPr>
        <xdr:cNvPr id="116" name="Rechteck 115">
          <a:extLst>
            <a:ext uri="{FF2B5EF4-FFF2-40B4-BE49-F238E27FC236}">
              <a16:creationId xmlns:a16="http://schemas.microsoft.com/office/drawing/2014/main" id="{00000000-0008-0000-0900-000074000000}"/>
            </a:ext>
          </a:extLst>
        </xdr:cNvPr>
        <xdr:cNvSpPr/>
      </xdr:nvSpPr>
      <xdr:spPr>
        <a:xfrm>
          <a:off x="8651207" y="10225840"/>
          <a:ext cx="346406"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900-00002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41</xdr:col>
      <xdr:colOff>46123</xdr:colOff>
      <xdr:row>61</xdr:row>
      <xdr:rowOff>41109</xdr:rowOff>
    </xdr:from>
    <xdr:to>
      <xdr:col>42</xdr:col>
      <xdr:colOff>173455</xdr:colOff>
      <xdr:row>63</xdr:row>
      <xdr:rowOff>88231</xdr:rowOff>
    </xdr:to>
    <xdr:sp macro="" textlink="">
      <xdr:nvSpPr>
        <xdr:cNvPr id="118" name="Rechteck 117">
          <a:extLst>
            <a:ext uri="{FF2B5EF4-FFF2-40B4-BE49-F238E27FC236}">
              <a16:creationId xmlns:a16="http://schemas.microsoft.com/office/drawing/2014/main" id="{00000000-0008-0000-0900-000076000000}"/>
            </a:ext>
          </a:extLst>
        </xdr:cNvPr>
        <xdr:cNvSpPr/>
      </xdr:nvSpPr>
      <xdr:spPr>
        <a:xfrm>
          <a:off x="9504448" y="10232859"/>
          <a:ext cx="346407"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9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29</xdr:col>
      <xdr:colOff>155411</xdr:colOff>
      <xdr:row>61</xdr:row>
      <xdr:rowOff>35094</xdr:rowOff>
    </xdr:from>
    <xdr:to>
      <xdr:col>45</xdr:col>
      <xdr:colOff>139037</xdr:colOff>
      <xdr:row>67</xdr:row>
      <xdr:rowOff>135776</xdr:rowOff>
    </xdr:to>
    <xdr:pic>
      <xdr:nvPicPr>
        <xdr:cNvPr id="2" name="Grafik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t="22737"/>
        <a:stretch/>
      </xdr:blipFill>
      <xdr:spPr>
        <a:xfrm>
          <a:off x="6984836" y="10226844"/>
          <a:ext cx="3365001" cy="1072232"/>
        </a:xfrm>
        <a:prstGeom prst="rect">
          <a:avLst/>
        </a:prstGeom>
      </xdr:spPr>
    </xdr:pic>
    <xdr:clientData/>
  </xdr:twoCellAnchor>
  <xdr:twoCellAnchor editAs="oneCell">
    <xdr:from>
      <xdr:col>11</xdr:col>
      <xdr:colOff>156269</xdr:colOff>
      <xdr:row>86</xdr:row>
      <xdr:rowOff>42709</xdr:rowOff>
    </xdr:from>
    <xdr:to>
      <xdr:col>17</xdr:col>
      <xdr:colOff>178041</xdr:colOff>
      <xdr:row>93</xdr:row>
      <xdr:rowOff>16767</xdr:rowOff>
    </xdr:to>
    <xdr:pic>
      <xdr:nvPicPr>
        <xdr:cNvPr id="3" name="Grafik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042344" y="14273059"/>
          <a:ext cx="1336222" cy="1107533"/>
        </a:xfrm>
        <a:prstGeom prst="rect">
          <a:avLst/>
        </a:prstGeom>
      </xdr:spPr>
    </xdr:pic>
    <xdr:clientData/>
  </xdr:twoCellAnchor>
  <xdr:twoCellAnchor editAs="oneCell">
    <xdr:from>
      <xdr:col>13</xdr:col>
      <xdr:colOff>35312</xdr:colOff>
      <xdr:row>72</xdr:row>
      <xdr:rowOff>87087</xdr:rowOff>
    </xdr:from>
    <xdr:to>
      <xdr:col>17</xdr:col>
      <xdr:colOff>51437</xdr:colOff>
      <xdr:row>82</xdr:row>
      <xdr:rowOff>105640</xdr:rowOff>
    </xdr:to>
    <xdr:pic>
      <xdr:nvPicPr>
        <xdr:cNvPr id="4" name="Grafik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359537" y="12060012"/>
          <a:ext cx="892425" cy="1628278"/>
        </a:xfrm>
        <a:prstGeom prst="rect">
          <a:avLst/>
        </a:prstGeom>
      </xdr:spPr>
    </xdr:pic>
    <xdr:clientData/>
  </xdr:twoCellAnchor>
  <xdr:twoCellAnchor editAs="oneCell">
    <xdr:from>
      <xdr:col>23</xdr:col>
      <xdr:colOff>50316</xdr:colOff>
      <xdr:row>61</xdr:row>
      <xdr:rowOff>76201</xdr:rowOff>
    </xdr:from>
    <xdr:to>
      <xdr:col>26</xdr:col>
      <xdr:colOff>176663</xdr:colOff>
      <xdr:row>69</xdr:row>
      <xdr:rowOff>136073</xdr:rowOff>
    </xdr:to>
    <xdr:pic>
      <xdr:nvPicPr>
        <xdr:cNvPr id="5" name="Grafik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5565291" y="10267951"/>
          <a:ext cx="783572" cy="1355272"/>
        </a:xfrm>
        <a:prstGeom prst="rect">
          <a:avLst/>
        </a:prstGeom>
      </xdr:spPr>
    </xdr:pic>
    <xdr:clientData/>
  </xdr:twoCellAnchor>
  <xdr:twoCellAnchor editAs="oneCell">
    <xdr:from>
      <xdr:col>10</xdr:col>
      <xdr:colOff>195196</xdr:colOff>
      <xdr:row>62</xdr:row>
      <xdr:rowOff>0</xdr:rowOff>
    </xdr:from>
    <xdr:to>
      <xdr:col>14</xdr:col>
      <xdr:colOff>179360</xdr:colOff>
      <xdr:row>69</xdr:row>
      <xdr:rowOff>32654</xdr:rowOff>
    </xdr:to>
    <xdr:pic>
      <xdr:nvPicPr>
        <xdr:cNvPr id="6" name="Grafik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2862196" y="10353675"/>
          <a:ext cx="860464" cy="1166129"/>
        </a:xfrm>
        <a:prstGeom prst="rect">
          <a:avLst/>
        </a:prstGeom>
      </xdr:spPr>
    </xdr:pic>
    <xdr:clientData/>
  </xdr:twoCellAnchor>
  <xdr:twoCellAnchor editAs="oneCell">
    <xdr:from>
      <xdr:col>16</xdr:col>
      <xdr:colOff>0</xdr:colOff>
      <xdr:row>45</xdr:row>
      <xdr:rowOff>48283</xdr:rowOff>
    </xdr:from>
    <xdr:to>
      <xdr:col>22</xdr:col>
      <xdr:colOff>196453</xdr:colOff>
      <xdr:row>58</xdr:row>
      <xdr:rowOff>128124</xdr:rowOff>
    </xdr:to>
    <xdr:pic>
      <xdr:nvPicPr>
        <xdr:cNvPr id="7" name="Grafik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81450" y="7649233"/>
          <a:ext cx="1510903" cy="2184866"/>
        </a:xfrm>
        <a:prstGeom prst="rect">
          <a:avLst/>
        </a:prstGeom>
      </xdr:spPr>
    </xdr:pic>
    <xdr:clientData/>
  </xdr:twoCellAnchor>
  <xdr:twoCellAnchor editAs="oneCell">
    <xdr:from>
      <xdr:col>16</xdr:col>
      <xdr:colOff>23812</xdr:colOff>
      <xdr:row>35</xdr:row>
      <xdr:rowOff>86816</xdr:rowOff>
    </xdr:from>
    <xdr:to>
      <xdr:col>23</xdr:col>
      <xdr:colOff>15026</xdr:colOff>
      <xdr:row>43</xdr:row>
      <xdr:rowOff>80264</xdr:rowOff>
    </xdr:to>
    <xdr:pic>
      <xdr:nvPicPr>
        <xdr:cNvPr id="8" name="Grafik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5262" y="6068516"/>
          <a:ext cx="1524739" cy="1288848"/>
        </a:xfrm>
        <a:prstGeom prst="rect">
          <a:avLst/>
        </a:prstGeom>
      </xdr:spPr>
    </xdr:pic>
    <xdr:clientData/>
  </xdr:twoCellAnchor>
  <xdr:twoCellAnchor editAs="oneCell">
    <xdr:from>
      <xdr:col>10</xdr:col>
      <xdr:colOff>104982</xdr:colOff>
      <xdr:row>49</xdr:row>
      <xdr:rowOff>73138</xdr:rowOff>
    </xdr:from>
    <xdr:to>
      <xdr:col>14</xdr:col>
      <xdr:colOff>193839</xdr:colOff>
      <xdr:row>58</xdr:row>
      <xdr:rowOff>101203</xdr:rowOff>
    </xdr:to>
    <xdr:pic>
      <xdr:nvPicPr>
        <xdr:cNvPr id="9" name="Grafik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2771982" y="8321788"/>
          <a:ext cx="965157" cy="1485390"/>
        </a:xfrm>
        <a:prstGeom prst="rect">
          <a:avLst/>
        </a:prstGeom>
      </xdr:spPr>
    </xdr:pic>
    <xdr:clientData/>
  </xdr:twoCellAnchor>
  <xdr:twoCellAnchor editAs="oneCell">
    <xdr:from>
      <xdr:col>3</xdr:col>
      <xdr:colOff>64742</xdr:colOff>
      <xdr:row>49</xdr:row>
      <xdr:rowOff>71439</xdr:rowOff>
    </xdr:from>
    <xdr:to>
      <xdr:col>8</xdr:col>
      <xdr:colOff>72393</xdr:colOff>
      <xdr:row>58</xdr:row>
      <xdr:rowOff>95251</xdr:rowOff>
    </xdr:to>
    <xdr:pic>
      <xdr:nvPicPr>
        <xdr:cNvPr id="10" name="Grafik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1331567" y="8320089"/>
          <a:ext cx="969676" cy="1481137"/>
        </a:xfrm>
        <a:prstGeom prst="rect">
          <a:avLst/>
        </a:prstGeom>
      </xdr:spPr>
    </xdr:pic>
    <xdr:clientData/>
  </xdr:twoCellAnchor>
  <xdr:twoCellAnchor editAs="oneCell">
    <xdr:from>
      <xdr:col>12</xdr:col>
      <xdr:colOff>161337</xdr:colOff>
      <xdr:row>40</xdr:row>
      <xdr:rowOff>76061</xdr:rowOff>
    </xdr:from>
    <xdr:to>
      <xdr:col>14</xdr:col>
      <xdr:colOff>191781</xdr:colOff>
      <xdr:row>47</xdr:row>
      <xdr:rowOff>27385</xdr:rowOff>
    </xdr:to>
    <xdr:pic>
      <xdr:nvPicPr>
        <xdr:cNvPr id="11" name="Grafik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rot="10800000">
          <a:off x="3266487" y="6867386"/>
          <a:ext cx="468594" cy="1084799"/>
        </a:xfrm>
        <a:prstGeom prst="rect">
          <a:avLst/>
        </a:prstGeom>
      </xdr:spPr>
    </xdr:pic>
    <xdr:clientData/>
  </xdr:twoCellAnchor>
  <xdr:twoCellAnchor editAs="oneCell">
    <xdr:from>
      <xdr:col>3</xdr:col>
      <xdr:colOff>62517</xdr:colOff>
      <xdr:row>40</xdr:row>
      <xdr:rowOff>84395</xdr:rowOff>
    </xdr:from>
    <xdr:to>
      <xdr:col>6</xdr:col>
      <xdr:colOff>9618</xdr:colOff>
      <xdr:row>47</xdr:row>
      <xdr:rowOff>35719</xdr:rowOff>
    </xdr:to>
    <xdr:pic>
      <xdr:nvPicPr>
        <xdr:cNvPr id="12" name="Grafik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9342" y="6875720"/>
          <a:ext cx="470976" cy="1084799"/>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3" name="Rechteck 12">
          <a:extLst>
            <a:ext uri="{FF2B5EF4-FFF2-40B4-BE49-F238E27FC236}">
              <a16:creationId xmlns:a16="http://schemas.microsoft.com/office/drawing/2014/main" id="{00000000-0008-0000-0B00-00000D000000}"/>
            </a:ext>
          </a:extLst>
        </xdr:cNvPr>
        <xdr:cNvSpPr/>
      </xdr:nvSpPr>
      <xdr:spPr>
        <a:xfrm>
          <a:off x="3612995" y="787087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14" name="Rechteck 13">
          <a:extLst>
            <a:ext uri="{FF2B5EF4-FFF2-40B4-BE49-F238E27FC236}">
              <a16:creationId xmlns:a16="http://schemas.microsoft.com/office/drawing/2014/main" id="{00000000-0008-0000-0B00-00000E000000}"/>
            </a:ext>
          </a:extLst>
        </xdr:cNvPr>
        <xdr:cNvSpPr/>
      </xdr:nvSpPr>
      <xdr:spPr>
        <a:xfrm>
          <a:off x="1296563" y="786958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15" name="Gerader Verbinder 14">
          <a:extLst>
            <a:ext uri="{FF2B5EF4-FFF2-40B4-BE49-F238E27FC236}">
              <a16:creationId xmlns:a16="http://schemas.microsoft.com/office/drawing/2014/main" id="{00000000-0008-0000-0B00-00000F000000}"/>
            </a:ext>
          </a:extLst>
        </xdr:cNvPr>
        <xdr:cNvCxnSpPr/>
      </xdr:nvCxnSpPr>
      <xdr:spPr>
        <a:xfrm>
          <a:off x="1308497" y="829025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35718</xdr:rowOff>
    </xdr:from>
    <xdr:to>
      <xdr:col>26</xdr:col>
      <xdr:colOff>111141</xdr:colOff>
      <xdr:row>58</xdr:row>
      <xdr:rowOff>78280</xdr:rowOff>
    </xdr:to>
    <xdr:cxnSp macro="">
      <xdr:nvCxnSpPr>
        <xdr:cNvPr id="16" name="Gerader Verbinder 15">
          <a:extLst>
            <a:ext uri="{FF2B5EF4-FFF2-40B4-BE49-F238E27FC236}">
              <a16:creationId xmlns:a16="http://schemas.microsoft.com/office/drawing/2014/main" id="{00000000-0008-0000-0B00-000010000000}"/>
            </a:ext>
          </a:extLst>
        </xdr:cNvPr>
        <xdr:cNvCxnSpPr/>
      </xdr:nvCxnSpPr>
      <xdr:spPr>
        <a:xfrm>
          <a:off x="6283341" y="9093993"/>
          <a:ext cx="0" cy="6902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17" name="Gerader Verbinder 16">
          <a:extLst>
            <a:ext uri="{FF2B5EF4-FFF2-40B4-BE49-F238E27FC236}">
              <a16:creationId xmlns:a16="http://schemas.microsoft.com/office/drawing/2014/main" id="{00000000-0008-0000-0B00-000011000000}"/>
            </a:ext>
          </a:extLst>
        </xdr:cNvPr>
        <xdr:cNvCxnSpPr/>
      </xdr:nvCxnSpPr>
      <xdr:spPr>
        <a:xfrm>
          <a:off x="5402745" y="97033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89297</xdr:rowOff>
    </xdr:to>
    <xdr:cxnSp macro="">
      <xdr:nvCxnSpPr>
        <xdr:cNvPr id="18" name="Gerader Verbinder 17">
          <a:extLst>
            <a:ext uri="{FF2B5EF4-FFF2-40B4-BE49-F238E27FC236}">
              <a16:creationId xmlns:a16="http://schemas.microsoft.com/office/drawing/2014/main" id="{00000000-0008-0000-0B00-000012000000}"/>
            </a:ext>
          </a:extLst>
        </xdr:cNvPr>
        <xdr:cNvCxnSpPr/>
      </xdr:nvCxnSpPr>
      <xdr:spPr>
        <a:xfrm>
          <a:off x="6282933" y="6054024"/>
          <a:ext cx="0" cy="293162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52</xdr:row>
      <xdr:rowOff>158658</xdr:rowOff>
    </xdr:from>
    <xdr:to>
      <xdr:col>26</xdr:col>
      <xdr:colOff>197625</xdr:colOff>
      <xdr:row>52</xdr:row>
      <xdr:rowOff>158658</xdr:rowOff>
    </xdr:to>
    <xdr:cxnSp macro="">
      <xdr:nvCxnSpPr>
        <xdr:cNvPr id="19" name="Gerader Verbinder 18">
          <a:extLst>
            <a:ext uri="{FF2B5EF4-FFF2-40B4-BE49-F238E27FC236}">
              <a16:creationId xmlns:a16="http://schemas.microsoft.com/office/drawing/2014/main" id="{00000000-0008-0000-0B00-000013000000}"/>
            </a:ext>
          </a:extLst>
        </xdr:cNvPr>
        <xdr:cNvCxnSpPr/>
      </xdr:nvCxnSpPr>
      <xdr:spPr>
        <a:xfrm>
          <a:off x="5404135" y="88930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0" name="Gerader Verbinder 19">
          <a:extLst>
            <a:ext uri="{FF2B5EF4-FFF2-40B4-BE49-F238E27FC236}">
              <a16:creationId xmlns:a16="http://schemas.microsoft.com/office/drawing/2014/main" id="{00000000-0008-0000-0B00-000014000000}"/>
            </a:ext>
          </a:extLst>
        </xdr:cNvPr>
        <xdr:cNvCxnSpPr/>
      </xdr:nvCxnSpPr>
      <xdr:spPr>
        <a:xfrm>
          <a:off x="5385720" y="613245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1" name="Gerader Verbinder 20">
          <a:extLst>
            <a:ext uri="{FF2B5EF4-FFF2-40B4-BE49-F238E27FC236}">
              <a16:creationId xmlns:a16="http://schemas.microsoft.com/office/drawing/2014/main" id="{00000000-0008-0000-0B00-000015000000}"/>
            </a:ext>
          </a:extLst>
        </xdr:cNvPr>
        <xdr:cNvCxnSpPr/>
      </xdr:nvCxnSpPr>
      <xdr:spPr>
        <a:xfrm flipV="1">
          <a:off x="6232116" y="964574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106527</xdr:rowOff>
    </xdr:from>
    <xdr:to>
      <xdr:col>26</xdr:col>
      <xdr:colOff>172696</xdr:colOff>
      <xdr:row>53</xdr:row>
      <xdr:rowOff>57006</xdr:rowOff>
    </xdr:to>
    <xdr:cxnSp macro="">
      <xdr:nvCxnSpPr>
        <xdr:cNvPr id="22" name="Gerader Verbinder 21">
          <a:extLst>
            <a:ext uri="{FF2B5EF4-FFF2-40B4-BE49-F238E27FC236}">
              <a16:creationId xmlns:a16="http://schemas.microsoft.com/office/drawing/2014/main" id="{00000000-0008-0000-0B00-000016000000}"/>
            </a:ext>
          </a:extLst>
        </xdr:cNvPr>
        <xdr:cNvCxnSpPr/>
      </xdr:nvCxnSpPr>
      <xdr:spPr>
        <a:xfrm flipV="1">
          <a:off x="6230192" y="884095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3" name="Gerader Verbinder 22">
          <a:extLst>
            <a:ext uri="{FF2B5EF4-FFF2-40B4-BE49-F238E27FC236}">
              <a16:creationId xmlns:a16="http://schemas.microsoft.com/office/drawing/2014/main" id="{00000000-0008-0000-0B00-000017000000}"/>
            </a:ext>
          </a:extLst>
        </xdr:cNvPr>
        <xdr:cNvCxnSpPr/>
      </xdr:nvCxnSpPr>
      <xdr:spPr>
        <a:xfrm flipV="1">
          <a:off x="6225561" y="607750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5361" name="Drop Down 1" hidden="1">
              <a:extLst>
                <a:ext uri="{63B3BB69-23CF-44E3-9099-C40C66FF867C}">
                  <a14:compatExt spid="_x0000_s15361"/>
                </a:ext>
                <a:ext uri="{FF2B5EF4-FFF2-40B4-BE49-F238E27FC236}">
                  <a16:creationId xmlns:a16="http://schemas.microsoft.com/office/drawing/2014/main" id="{00000000-0008-0000-0B00-00000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5" name="Grafik 24">
          <a:extLst>
            <a:ext uri="{FF2B5EF4-FFF2-40B4-BE49-F238E27FC236}">
              <a16:creationId xmlns:a16="http://schemas.microsoft.com/office/drawing/2014/main" id="{00000000-0008-0000-0B00-000019000000}"/>
            </a:ext>
          </a:extLst>
        </xdr:cNvPr>
        <xdr:cNvPicPr>
          <a:picLocks noChangeAspect="1"/>
        </xdr:cNvPicPr>
      </xdr:nvPicPr>
      <xdr:blipFill rotWithShape="1">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rcRect t="3845" b="7693"/>
        <a:stretch/>
      </xdr:blipFill>
      <xdr:spPr>
        <a:xfrm>
          <a:off x="2723027" y="609375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6" name="Grafik 25">
          <a:extLst>
            <a:ext uri="{FF2B5EF4-FFF2-40B4-BE49-F238E27FC236}">
              <a16:creationId xmlns:a16="http://schemas.microsoft.com/office/drawing/2014/main" id="{00000000-0008-0000-0B00-00001A000000}"/>
            </a:ext>
          </a:extLst>
        </xdr:cNvPr>
        <xdr:cNvPicPr>
          <a:picLocks noChangeAspect="1"/>
        </xdr:cNvPicPr>
      </xdr:nvPicPr>
      <xdr:blipFill>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82555"/>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B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B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B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B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B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B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B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36</xdr:row>
          <xdr:rowOff>0</xdr:rowOff>
        </xdr:from>
        <xdr:to>
          <xdr:col>31</xdr:col>
          <xdr:colOff>0</xdr:colOff>
          <xdr:row>37</xdr:row>
          <xdr:rowOff>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B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B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9525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B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B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B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9525</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B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B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41" name="Gerader Verbinder 40">
          <a:extLst>
            <a:ext uri="{FF2B5EF4-FFF2-40B4-BE49-F238E27FC236}">
              <a16:creationId xmlns:a16="http://schemas.microsoft.com/office/drawing/2014/main" id="{00000000-0008-0000-0B00-000029000000}"/>
            </a:ext>
          </a:extLst>
        </xdr:cNvPr>
        <xdr:cNvCxnSpPr/>
      </xdr:nvCxnSpPr>
      <xdr:spPr>
        <a:xfrm flipV="1">
          <a:off x="1312232" y="822131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42" name="Gerader Verbinder 41">
          <a:extLst>
            <a:ext uri="{FF2B5EF4-FFF2-40B4-BE49-F238E27FC236}">
              <a16:creationId xmlns:a16="http://schemas.microsoft.com/office/drawing/2014/main" id="{00000000-0008-0000-0B00-00002A000000}"/>
            </a:ext>
          </a:extLst>
        </xdr:cNvPr>
        <xdr:cNvCxnSpPr/>
      </xdr:nvCxnSpPr>
      <xdr:spPr>
        <a:xfrm flipV="1">
          <a:off x="3637524" y="821722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B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B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B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52</xdr:row>
          <xdr:rowOff>114300</xdr:rowOff>
        </xdr:from>
        <xdr:to>
          <xdr:col>10</xdr:col>
          <xdr:colOff>114300</xdr:colOff>
          <xdr:row>53</xdr:row>
          <xdr:rowOff>114300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B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47" name="Gerader Verbinder 46">
          <a:extLst>
            <a:ext uri="{FF2B5EF4-FFF2-40B4-BE49-F238E27FC236}">
              <a16:creationId xmlns:a16="http://schemas.microsoft.com/office/drawing/2014/main" id="{00000000-0008-0000-0B00-00002F000000}"/>
            </a:ext>
          </a:extLst>
        </xdr:cNvPr>
        <xdr:cNvCxnSpPr/>
      </xdr:nvCxnSpPr>
      <xdr:spPr>
        <a:xfrm>
          <a:off x="3695700" y="753560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48" name="Gerader Verbinder 47">
          <a:extLst>
            <a:ext uri="{FF2B5EF4-FFF2-40B4-BE49-F238E27FC236}">
              <a16:creationId xmlns:a16="http://schemas.microsoft.com/office/drawing/2014/main" id="{00000000-0008-0000-0B00-000030000000}"/>
            </a:ext>
          </a:extLst>
        </xdr:cNvPr>
        <xdr:cNvCxnSpPr/>
      </xdr:nvCxnSpPr>
      <xdr:spPr>
        <a:xfrm>
          <a:off x="1371600" y="748595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B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B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B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B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53" name="Gerader Verbinder 52">
          <a:extLst>
            <a:ext uri="{FF2B5EF4-FFF2-40B4-BE49-F238E27FC236}">
              <a16:creationId xmlns:a16="http://schemas.microsoft.com/office/drawing/2014/main" id="{00000000-0008-0000-0B00-000035000000}"/>
            </a:ext>
          </a:extLst>
        </xdr:cNvPr>
        <xdr:cNvCxnSpPr/>
      </xdr:nvCxnSpPr>
      <xdr:spPr>
        <a:xfrm>
          <a:off x="5464488" y="796301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54" name="Gerader Verbinder 53">
          <a:extLst>
            <a:ext uri="{FF2B5EF4-FFF2-40B4-BE49-F238E27FC236}">
              <a16:creationId xmlns:a16="http://schemas.microsoft.com/office/drawing/2014/main" id="{00000000-0008-0000-0B00-000036000000}"/>
            </a:ext>
          </a:extLst>
        </xdr:cNvPr>
        <xdr:cNvCxnSpPr/>
      </xdr:nvCxnSpPr>
      <xdr:spPr>
        <a:xfrm>
          <a:off x="5620705" y="734679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55" name="Gerader Verbinder 54">
          <a:extLst>
            <a:ext uri="{FF2B5EF4-FFF2-40B4-BE49-F238E27FC236}">
              <a16:creationId xmlns:a16="http://schemas.microsoft.com/office/drawing/2014/main" id="{00000000-0008-0000-0B00-000037000000}"/>
            </a:ext>
          </a:extLst>
        </xdr:cNvPr>
        <xdr:cNvCxnSpPr/>
      </xdr:nvCxnSpPr>
      <xdr:spPr>
        <a:xfrm>
          <a:off x="5094773" y="744231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56" name="Gerader Verbinder 55">
          <a:extLst>
            <a:ext uri="{FF2B5EF4-FFF2-40B4-BE49-F238E27FC236}">
              <a16:creationId xmlns:a16="http://schemas.microsoft.com/office/drawing/2014/main" id="{00000000-0008-0000-0B00-000038000000}"/>
            </a:ext>
          </a:extLst>
        </xdr:cNvPr>
        <xdr:cNvCxnSpPr/>
      </xdr:nvCxnSpPr>
      <xdr:spPr>
        <a:xfrm flipV="1">
          <a:off x="5564542" y="73849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57" name="Gerader Verbinder 56">
          <a:extLst>
            <a:ext uri="{FF2B5EF4-FFF2-40B4-BE49-F238E27FC236}">
              <a16:creationId xmlns:a16="http://schemas.microsoft.com/office/drawing/2014/main" id="{00000000-0008-0000-0B00-000039000000}"/>
            </a:ext>
          </a:extLst>
        </xdr:cNvPr>
        <xdr:cNvCxnSpPr/>
      </xdr:nvCxnSpPr>
      <xdr:spPr>
        <a:xfrm flipV="1">
          <a:off x="5564542" y="790321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B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B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B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B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B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B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B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B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66" name="Rechteck 65">
          <a:extLst>
            <a:ext uri="{FF2B5EF4-FFF2-40B4-BE49-F238E27FC236}">
              <a16:creationId xmlns:a16="http://schemas.microsoft.com/office/drawing/2014/main" id="{00000000-0008-0000-0B00-000042000000}"/>
            </a:ext>
          </a:extLst>
        </xdr:cNvPr>
        <xdr:cNvSpPr/>
      </xdr:nvSpPr>
      <xdr:spPr>
        <a:xfrm>
          <a:off x="3964620" y="1209618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B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B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B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70" name="Rechteck 69">
          <a:extLst>
            <a:ext uri="{FF2B5EF4-FFF2-40B4-BE49-F238E27FC236}">
              <a16:creationId xmlns:a16="http://schemas.microsoft.com/office/drawing/2014/main" id="{00000000-0008-0000-0B00-000046000000}"/>
            </a:ext>
          </a:extLst>
        </xdr:cNvPr>
        <xdr:cNvSpPr/>
      </xdr:nvSpPr>
      <xdr:spPr>
        <a:xfrm>
          <a:off x="3432341" y="1306592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57150</xdr:colOff>
          <xdr:row>81</xdr:row>
          <xdr:rowOff>9525</xdr:rowOff>
        </xdr:from>
        <xdr:to>
          <xdr:col>14</xdr:col>
          <xdr:colOff>57150</xdr:colOff>
          <xdr:row>82</xdr:row>
          <xdr:rowOff>9525</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B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72" name="Rechteck 71">
          <a:extLst>
            <a:ext uri="{FF2B5EF4-FFF2-40B4-BE49-F238E27FC236}">
              <a16:creationId xmlns:a16="http://schemas.microsoft.com/office/drawing/2014/main" id="{00000000-0008-0000-0B00-000048000000}"/>
            </a:ext>
          </a:extLst>
        </xdr:cNvPr>
        <xdr:cNvSpPr/>
      </xdr:nvSpPr>
      <xdr:spPr>
        <a:xfrm>
          <a:off x="3365106" y="1035752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19050</xdr:colOff>
          <xdr:row>62</xdr:row>
          <xdr:rowOff>9525</xdr:rowOff>
        </xdr:from>
        <xdr:to>
          <xdr:col>14</xdr:col>
          <xdr:colOff>19050</xdr:colOff>
          <xdr:row>63</xdr:row>
          <xdr:rowOff>9525</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B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67</xdr:row>
      <xdr:rowOff>146957</xdr:rowOff>
    </xdr:from>
    <xdr:to>
      <xdr:col>12</xdr:col>
      <xdr:colOff>29135</xdr:colOff>
      <xdr:row>69</xdr:row>
      <xdr:rowOff>147276</xdr:rowOff>
    </xdr:to>
    <xdr:sp macro="" textlink="">
      <xdr:nvSpPr>
        <xdr:cNvPr id="74" name="Rechteck 73">
          <a:extLst>
            <a:ext uri="{FF2B5EF4-FFF2-40B4-BE49-F238E27FC236}">
              <a16:creationId xmlns:a16="http://schemas.microsoft.com/office/drawing/2014/main" id="{00000000-0008-0000-0B00-00004A000000}"/>
            </a:ext>
          </a:extLst>
        </xdr:cNvPr>
        <xdr:cNvSpPr/>
      </xdr:nvSpPr>
      <xdr:spPr>
        <a:xfrm>
          <a:off x="2967297" y="11310257"/>
          <a:ext cx="166988" cy="3241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66675</xdr:colOff>
          <xdr:row>68</xdr:row>
          <xdr:rowOff>0</xdr:rowOff>
        </xdr:from>
        <xdr:to>
          <xdr:col>12</xdr:col>
          <xdr:colOff>66675</xdr:colOff>
          <xdr:row>69</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B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B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B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78" name="Gerader Verbinder 77">
          <a:extLst>
            <a:ext uri="{FF2B5EF4-FFF2-40B4-BE49-F238E27FC236}">
              <a16:creationId xmlns:a16="http://schemas.microsoft.com/office/drawing/2014/main" id="{00000000-0008-0000-0B00-00004E000000}"/>
            </a:ext>
          </a:extLst>
        </xdr:cNvPr>
        <xdr:cNvCxnSpPr/>
      </xdr:nvCxnSpPr>
      <xdr:spPr>
        <a:xfrm flipV="1">
          <a:off x="1296709" y="489985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160442</xdr:colOff>
      <xdr:row>27</xdr:row>
      <xdr:rowOff>171880</xdr:rowOff>
    </xdr:from>
    <xdr:to>
      <xdr:col>8</xdr:col>
      <xdr:colOff>52827</xdr:colOff>
      <xdr:row>28</xdr:row>
      <xdr:rowOff>57668</xdr:rowOff>
    </xdr:to>
    <xdr:cxnSp macro="">
      <xdr:nvCxnSpPr>
        <xdr:cNvPr id="79" name="Gerader Verbinder 78">
          <a:extLst>
            <a:ext uri="{FF2B5EF4-FFF2-40B4-BE49-F238E27FC236}">
              <a16:creationId xmlns:a16="http://schemas.microsoft.com/office/drawing/2014/main" id="{00000000-0008-0000-0B00-00004F000000}"/>
            </a:ext>
          </a:extLst>
        </xdr:cNvPr>
        <xdr:cNvCxnSpPr/>
      </xdr:nvCxnSpPr>
      <xdr:spPr>
        <a:xfrm flipV="1">
          <a:off x="2170217" y="490580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80" name="Gerader Verbinder 79">
          <a:extLst>
            <a:ext uri="{FF2B5EF4-FFF2-40B4-BE49-F238E27FC236}">
              <a16:creationId xmlns:a16="http://schemas.microsoft.com/office/drawing/2014/main" id="{00000000-0008-0000-0B00-000050000000}"/>
            </a:ext>
          </a:extLst>
        </xdr:cNvPr>
        <xdr:cNvCxnSpPr/>
      </xdr:nvCxnSpPr>
      <xdr:spPr>
        <a:xfrm flipV="1">
          <a:off x="3044135" y="490937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81" name="Gerader Verbinder 80">
          <a:extLst>
            <a:ext uri="{FF2B5EF4-FFF2-40B4-BE49-F238E27FC236}">
              <a16:creationId xmlns:a16="http://schemas.microsoft.com/office/drawing/2014/main" id="{00000000-0008-0000-0B00-000051000000}"/>
            </a:ext>
          </a:extLst>
        </xdr:cNvPr>
        <xdr:cNvCxnSpPr/>
      </xdr:nvCxnSpPr>
      <xdr:spPr>
        <a:xfrm flipV="1">
          <a:off x="3924007" y="490699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82" name="Gerader Verbinder 81">
          <a:extLst>
            <a:ext uri="{FF2B5EF4-FFF2-40B4-BE49-F238E27FC236}">
              <a16:creationId xmlns:a16="http://schemas.microsoft.com/office/drawing/2014/main" id="{00000000-0008-0000-0B00-000052000000}"/>
            </a:ext>
          </a:extLst>
        </xdr:cNvPr>
        <xdr:cNvCxnSpPr/>
      </xdr:nvCxnSpPr>
      <xdr:spPr>
        <a:xfrm flipV="1">
          <a:off x="4797925" y="490461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83" name="Gerader Verbinder 82">
          <a:extLst>
            <a:ext uri="{FF2B5EF4-FFF2-40B4-BE49-F238E27FC236}">
              <a16:creationId xmlns:a16="http://schemas.microsoft.com/office/drawing/2014/main" id="{00000000-0008-0000-0B00-000053000000}"/>
            </a:ext>
          </a:extLst>
        </xdr:cNvPr>
        <xdr:cNvCxnSpPr/>
      </xdr:nvCxnSpPr>
      <xdr:spPr>
        <a:xfrm flipV="1">
          <a:off x="5677797" y="490818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84" name="Gerader Verbinder 83">
          <a:extLst>
            <a:ext uri="{FF2B5EF4-FFF2-40B4-BE49-F238E27FC236}">
              <a16:creationId xmlns:a16="http://schemas.microsoft.com/office/drawing/2014/main" id="{00000000-0008-0000-0B00-000054000000}"/>
            </a:ext>
          </a:extLst>
        </xdr:cNvPr>
        <xdr:cNvCxnSpPr/>
      </xdr:nvCxnSpPr>
      <xdr:spPr>
        <a:xfrm flipV="1">
          <a:off x="6551715" y="490580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85" name="Gerader Verbinder 84">
          <a:extLst>
            <a:ext uri="{FF2B5EF4-FFF2-40B4-BE49-F238E27FC236}">
              <a16:creationId xmlns:a16="http://schemas.microsoft.com/office/drawing/2014/main" id="{00000000-0008-0000-0B00-000055000000}"/>
            </a:ext>
          </a:extLst>
        </xdr:cNvPr>
        <xdr:cNvCxnSpPr/>
      </xdr:nvCxnSpPr>
      <xdr:spPr>
        <a:xfrm flipV="1">
          <a:off x="7431587" y="490342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86" name="Gerader Verbinder 85">
          <a:extLst>
            <a:ext uri="{FF2B5EF4-FFF2-40B4-BE49-F238E27FC236}">
              <a16:creationId xmlns:a16="http://schemas.microsoft.com/office/drawing/2014/main" id="{00000000-0008-0000-0B00-000056000000}"/>
            </a:ext>
          </a:extLst>
        </xdr:cNvPr>
        <xdr:cNvCxnSpPr/>
      </xdr:nvCxnSpPr>
      <xdr:spPr>
        <a:xfrm flipV="1">
          <a:off x="8305505" y="490699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87" name="Gerader Verbinder 86">
          <a:extLst>
            <a:ext uri="{FF2B5EF4-FFF2-40B4-BE49-F238E27FC236}">
              <a16:creationId xmlns:a16="http://schemas.microsoft.com/office/drawing/2014/main" id="{00000000-0008-0000-0B00-000057000000}"/>
            </a:ext>
          </a:extLst>
        </xdr:cNvPr>
        <xdr:cNvCxnSpPr/>
      </xdr:nvCxnSpPr>
      <xdr:spPr>
        <a:xfrm flipV="1">
          <a:off x="9179424" y="489866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88" name="Gerader Verbinder 87">
          <a:extLst>
            <a:ext uri="{FF2B5EF4-FFF2-40B4-BE49-F238E27FC236}">
              <a16:creationId xmlns:a16="http://schemas.microsoft.com/office/drawing/2014/main" id="{00000000-0008-0000-0B00-000058000000}"/>
            </a:ext>
          </a:extLst>
        </xdr:cNvPr>
        <xdr:cNvCxnSpPr/>
      </xdr:nvCxnSpPr>
      <xdr:spPr>
        <a:xfrm flipV="1">
          <a:off x="10059296" y="490818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89" name="Grafik 88">
          <a:extLst>
            <a:ext uri="{FF2B5EF4-FFF2-40B4-BE49-F238E27FC236}">
              <a16:creationId xmlns:a16="http://schemas.microsoft.com/office/drawing/2014/main" id="{00000000-0008-0000-0B00-000059000000}"/>
            </a:ext>
          </a:extLst>
        </xdr:cNvPr>
        <xdr:cNvPicPr>
          <a:picLocks noChangeAspect="1"/>
        </xdr:cNvPicPr>
      </xdr:nvPicPr>
      <xdr:blipFill>
        <a:blip xmlns:r="http://schemas.openxmlformats.org/officeDocument/2006/relationships" r:embed="rId25"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B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B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55</xdr:row>
          <xdr:rowOff>142875</xdr:rowOff>
        </xdr:from>
        <xdr:to>
          <xdr:col>31</xdr:col>
          <xdr:colOff>0</xdr:colOff>
          <xdr:row>57</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B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B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4" name="Grafik 93">
          <a:extLst>
            <a:ext uri="{FF2B5EF4-FFF2-40B4-BE49-F238E27FC236}">
              <a16:creationId xmlns:a16="http://schemas.microsoft.com/office/drawing/2014/main" id="{00000000-0008-0000-0B00-00005E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77" t="10351" r="77528" b="74663"/>
        <a:stretch/>
      </xdr:blipFill>
      <xdr:spPr>
        <a:xfrm>
          <a:off x="6472514" y="1690818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95" name="Grafik 94">
          <a:extLst>
            <a:ext uri="{FF2B5EF4-FFF2-40B4-BE49-F238E27FC236}">
              <a16:creationId xmlns:a16="http://schemas.microsoft.com/office/drawing/2014/main" id="{00000000-0008-0000-0B00-00005F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697" t="10250" r="56015" b="76270"/>
        <a:stretch/>
      </xdr:blipFill>
      <xdr:spPr>
        <a:xfrm>
          <a:off x="7721414" y="1689353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96" name="Grafik 95">
          <a:extLst>
            <a:ext uri="{FF2B5EF4-FFF2-40B4-BE49-F238E27FC236}">
              <a16:creationId xmlns:a16="http://schemas.microsoft.com/office/drawing/2014/main" id="{00000000-0008-0000-0B00-000060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8824" t="10375" r="34746" b="74144"/>
        <a:stretch/>
      </xdr:blipFill>
      <xdr:spPr>
        <a:xfrm>
          <a:off x="9146522" y="1690753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97" name="Grafik 96">
          <a:extLst>
            <a:ext uri="{FF2B5EF4-FFF2-40B4-BE49-F238E27FC236}">
              <a16:creationId xmlns:a16="http://schemas.microsoft.com/office/drawing/2014/main" id="{00000000-0008-0000-0B00-000061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2700" r="40451" b="43145"/>
        <a:stretch/>
      </xdr:blipFill>
      <xdr:spPr>
        <a:xfrm>
          <a:off x="6563926" y="1857940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98" name="Grafik 97">
          <a:extLst>
            <a:ext uri="{FF2B5EF4-FFF2-40B4-BE49-F238E27FC236}">
              <a16:creationId xmlns:a16="http://schemas.microsoft.com/office/drawing/2014/main" id="{00000000-0008-0000-0B00-000062000000}"/>
            </a:ext>
          </a:extLst>
        </xdr:cNvPr>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46350" t="40330" r="40451" b="41065"/>
        <a:stretch/>
      </xdr:blipFill>
      <xdr:spPr>
        <a:xfrm>
          <a:off x="9225824" y="18354686"/>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99" name="Rechteck 98">
          <a:extLst>
            <a:ext uri="{FF2B5EF4-FFF2-40B4-BE49-F238E27FC236}">
              <a16:creationId xmlns:a16="http://schemas.microsoft.com/office/drawing/2014/main" id="{00000000-0008-0000-0B00-000063000000}"/>
            </a:ext>
          </a:extLst>
        </xdr:cNvPr>
        <xdr:cNvSpPr/>
      </xdr:nvSpPr>
      <xdr:spPr>
        <a:xfrm>
          <a:off x="7861588" y="1847976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00" name="Grafik 99">
          <a:extLst>
            <a:ext uri="{FF2B5EF4-FFF2-40B4-BE49-F238E27FC236}">
              <a16:creationId xmlns:a16="http://schemas.microsoft.com/office/drawing/2014/main" id="{00000000-0008-0000-0B00-000064000000}"/>
            </a:ext>
          </a:extLst>
        </xdr:cNvPr>
        <xdr:cNvPicPr>
          <a:picLocks noChangeAspect="1"/>
        </xdr:cNvPicPr>
      </xdr:nvPicPr>
      <xdr:blipFill rotWithShape="1">
        <a:blip xmlns:r="http://schemas.openxmlformats.org/officeDocument/2006/relationships" r:embed="rId27" cstate="print">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17681"/>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01" name="Grafik 100">
          <a:extLst>
            <a:ext uri="{FF2B5EF4-FFF2-40B4-BE49-F238E27FC236}">
              <a16:creationId xmlns:a16="http://schemas.microsoft.com/office/drawing/2014/main" id="{00000000-0008-0000-0B00-000065000000}"/>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Lst>
        </a:blip>
        <a:srcRect l="63390" t="41256" r="16917" b="41369"/>
        <a:stretch/>
      </xdr:blipFill>
      <xdr:spPr>
        <a:xfrm>
          <a:off x="7709911" y="18481672"/>
          <a:ext cx="1332502" cy="1608775"/>
        </a:xfrm>
        <a:prstGeom prst="rect">
          <a:avLst/>
        </a:prstGeom>
      </xdr:spPr>
    </xdr:pic>
    <xdr:clientData/>
  </xdr:twoCellAnchor>
  <xdr:twoCellAnchor>
    <xdr:from>
      <xdr:col>52</xdr:col>
      <xdr:colOff>81803</xdr:colOff>
      <xdr:row>24</xdr:row>
      <xdr:rowOff>9930</xdr:rowOff>
    </xdr:from>
    <xdr:to>
      <xdr:col>52</xdr:col>
      <xdr:colOff>535195</xdr:colOff>
      <xdr:row>25</xdr:row>
      <xdr:rowOff>111344</xdr:rowOff>
    </xdr:to>
    <xdr:sp macro="" textlink="">
      <xdr:nvSpPr>
        <xdr:cNvPr id="102" name="Pfeil nach rechts 16">
          <a:hlinkClick xmlns:r="http://schemas.openxmlformats.org/officeDocument/2006/relationships" r:id="rId30"/>
          <a:extLst>
            <a:ext uri="{FF2B5EF4-FFF2-40B4-BE49-F238E27FC236}">
              <a16:creationId xmlns:a16="http://schemas.microsoft.com/office/drawing/2014/main" id="{00000000-0008-0000-0B00-000066000000}"/>
            </a:ext>
          </a:extLst>
        </xdr:cNvPr>
        <xdr:cNvSpPr/>
      </xdr:nvSpPr>
      <xdr:spPr>
        <a:xfrm>
          <a:off x="14883653" y="429618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03" name="Grafik 102">
          <a:extLst>
            <a:ext uri="{FF2B5EF4-FFF2-40B4-BE49-F238E27FC236}">
              <a16:creationId xmlns:a16="http://schemas.microsoft.com/office/drawing/2014/main" id="{00000000-0008-0000-0B00-000067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r="52107"/>
        <a:stretch/>
      </xdr:blipFill>
      <xdr:spPr>
        <a:xfrm>
          <a:off x="11271436" y="1249231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04" name="Grafik 103">
          <a:extLst>
            <a:ext uri="{FF2B5EF4-FFF2-40B4-BE49-F238E27FC236}">
              <a16:creationId xmlns:a16="http://schemas.microsoft.com/office/drawing/2014/main" id="{00000000-0008-0000-0B00-000068000000}"/>
            </a:ext>
          </a:extLst>
        </xdr:cNvPr>
        <xdr:cNvPicPr>
          <a:picLocks noChangeAspect="1"/>
        </xdr:cNvPicPr>
      </xdr:nvPicPr>
      <xdr:blipFill rotWithShape="1">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Layer>
              </a14:imgProps>
            </a:ext>
          </a:extLst>
        </a:blip>
        <a:srcRect l="51024"/>
        <a:stretch/>
      </xdr:blipFill>
      <xdr:spPr>
        <a:xfrm>
          <a:off x="12055849" y="12492318"/>
          <a:ext cx="699621" cy="745849"/>
        </a:xfrm>
        <a:prstGeom prst="rect">
          <a:avLst/>
        </a:prstGeom>
        <a:ln>
          <a:noFill/>
        </a:ln>
      </xdr:spPr>
    </xdr:pic>
    <xdr:clientData/>
  </xdr:twoCellAnchor>
  <xdr:twoCellAnchor editAs="oneCell">
    <xdr:from>
      <xdr:col>4</xdr:col>
      <xdr:colOff>92531</xdr:colOff>
      <xdr:row>62</xdr:row>
      <xdr:rowOff>118152</xdr:rowOff>
    </xdr:from>
    <xdr:to>
      <xdr:col>8</xdr:col>
      <xdr:colOff>192955</xdr:colOff>
      <xdr:row>68</xdr:row>
      <xdr:rowOff>92530</xdr:rowOff>
    </xdr:to>
    <xdr:pic>
      <xdr:nvPicPr>
        <xdr:cNvPr id="105" name="Grafik 104">
          <a:extLst>
            <a:ext uri="{FF2B5EF4-FFF2-40B4-BE49-F238E27FC236}">
              <a16:creationId xmlns:a16="http://schemas.microsoft.com/office/drawing/2014/main" id="{00000000-0008-0000-0B00-000069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1445081" y="10471827"/>
          <a:ext cx="976724" cy="945928"/>
        </a:xfrm>
        <a:prstGeom prst="rect">
          <a:avLst/>
        </a:prstGeom>
      </xdr:spPr>
    </xdr:pic>
    <xdr:clientData/>
  </xdr:twoCellAnchor>
  <xdr:twoCellAnchor>
    <xdr:from>
      <xdr:col>29</xdr:col>
      <xdr:colOff>110290</xdr:colOff>
      <xdr:row>61</xdr:row>
      <xdr:rowOff>0</xdr:rowOff>
    </xdr:from>
    <xdr:to>
      <xdr:col>31</xdr:col>
      <xdr:colOff>17042</xdr:colOff>
      <xdr:row>63</xdr:row>
      <xdr:rowOff>47122</xdr:rowOff>
    </xdr:to>
    <xdr:sp macro="" textlink="">
      <xdr:nvSpPr>
        <xdr:cNvPr id="106" name="Rechteck 105">
          <a:extLst>
            <a:ext uri="{FF2B5EF4-FFF2-40B4-BE49-F238E27FC236}">
              <a16:creationId xmlns:a16="http://schemas.microsoft.com/office/drawing/2014/main" id="{00000000-0008-0000-0B00-00006A000000}"/>
            </a:ext>
          </a:extLst>
        </xdr:cNvPr>
        <xdr:cNvSpPr/>
      </xdr:nvSpPr>
      <xdr:spPr>
        <a:xfrm>
          <a:off x="6939715" y="10191750"/>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17</xdr:col>
      <xdr:colOff>48987</xdr:colOff>
      <xdr:row>62</xdr:row>
      <xdr:rowOff>10885</xdr:rowOff>
    </xdr:from>
    <xdr:to>
      <xdr:col>20</xdr:col>
      <xdr:colOff>99131</xdr:colOff>
      <xdr:row>69</xdr:row>
      <xdr:rowOff>27690</xdr:rowOff>
    </xdr:to>
    <xdr:pic>
      <xdr:nvPicPr>
        <xdr:cNvPr id="107" name="Grafik 106">
          <a:extLst>
            <a:ext uri="{FF2B5EF4-FFF2-40B4-BE49-F238E27FC236}">
              <a16:creationId xmlns:a16="http://schemas.microsoft.com/office/drawing/2014/main" id="{00000000-0008-0000-0B00-00006B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4249512" y="10364560"/>
          <a:ext cx="707369" cy="1150280"/>
        </a:xfrm>
        <a:prstGeom prst="rect">
          <a:avLst/>
        </a:prstGeom>
      </xdr:spPr>
    </xdr:pic>
    <xdr:clientData/>
  </xdr:twoCellAnchor>
  <xdr:twoCellAnchor editAs="oneCell">
    <xdr:from>
      <xdr:col>5</xdr:col>
      <xdr:colOff>14177</xdr:colOff>
      <xdr:row>73</xdr:row>
      <xdr:rowOff>43542</xdr:rowOff>
    </xdr:from>
    <xdr:to>
      <xdr:col>10</xdr:col>
      <xdr:colOff>120072</xdr:colOff>
      <xdr:row>81</xdr:row>
      <xdr:rowOff>76200</xdr:rowOff>
    </xdr:to>
    <xdr:pic>
      <xdr:nvPicPr>
        <xdr:cNvPr id="108" name="Grafik 107">
          <a:extLst>
            <a:ext uri="{FF2B5EF4-FFF2-40B4-BE49-F238E27FC236}">
              <a16:creationId xmlns:a16="http://schemas.microsoft.com/office/drawing/2014/main" id="{00000000-0008-0000-0B00-00006C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1585802" y="12178392"/>
          <a:ext cx="1201270" cy="1318533"/>
        </a:xfrm>
        <a:prstGeom prst="rect">
          <a:avLst/>
        </a:prstGeom>
      </xdr:spPr>
    </xdr:pic>
    <xdr:clientData/>
  </xdr:twoCellAnchor>
  <xdr:twoCellAnchor editAs="oneCell">
    <xdr:from>
      <xdr:col>19</xdr:col>
      <xdr:colOff>217712</xdr:colOff>
      <xdr:row>72</xdr:row>
      <xdr:rowOff>65314</xdr:rowOff>
    </xdr:from>
    <xdr:to>
      <xdr:col>24</xdr:col>
      <xdr:colOff>134364</xdr:colOff>
      <xdr:row>83</xdr:row>
      <xdr:rowOff>3198</xdr:rowOff>
    </xdr:to>
    <xdr:pic>
      <xdr:nvPicPr>
        <xdr:cNvPr id="109" name="Grafik 108">
          <a:extLst>
            <a:ext uri="{FF2B5EF4-FFF2-40B4-BE49-F238E27FC236}">
              <a16:creationId xmlns:a16="http://schemas.microsoft.com/office/drawing/2014/main" id="{00000000-0008-0000-0B00-00006D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856387" y="12038239"/>
          <a:ext cx="1012027" cy="1709534"/>
        </a:xfrm>
        <a:prstGeom prst="rect">
          <a:avLst/>
        </a:prstGeom>
      </xdr:spPr>
    </xdr:pic>
    <xdr:clientData/>
  </xdr:twoCellAnchor>
  <xdr:twoCellAnchor editAs="oneCell">
    <xdr:from>
      <xdr:col>4</xdr:col>
      <xdr:colOff>215709</xdr:colOff>
      <xdr:row>86</xdr:row>
      <xdr:rowOff>41979</xdr:rowOff>
    </xdr:from>
    <xdr:to>
      <xdr:col>10</xdr:col>
      <xdr:colOff>212835</xdr:colOff>
      <xdr:row>92</xdr:row>
      <xdr:rowOff>35842</xdr:rowOff>
    </xdr:to>
    <xdr:pic>
      <xdr:nvPicPr>
        <xdr:cNvPr id="110" name="Grafik 109">
          <a:extLst>
            <a:ext uri="{FF2B5EF4-FFF2-40B4-BE49-F238E27FC236}">
              <a16:creationId xmlns:a16="http://schemas.microsoft.com/office/drawing/2014/main" id="{00000000-0008-0000-0B00-00006E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568259" y="14272329"/>
          <a:ext cx="1311576" cy="965413"/>
        </a:xfrm>
        <a:prstGeom prst="rect">
          <a:avLst/>
        </a:prstGeom>
      </xdr:spPr>
    </xdr:pic>
    <xdr:clientData/>
  </xdr:twoCellAnchor>
  <xdr:twoCellAnchor editAs="oneCell">
    <xdr:from>
      <xdr:col>20</xdr:col>
      <xdr:colOff>130342</xdr:colOff>
      <xdr:row>87</xdr:row>
      <xdr:rowOff>56997</xdr:rowOff>
    </xdr:from>
    <xdr:to>
      <xdr:col>24</xdr:col>
      <xdr:colOff>104249</xdr:colOff>
      <xdr:row>92</xdr:row>
      <xdr:rowOff>13522</xdr:rowOff>
    </xdr:to>
    <xdr:pic>
      <xdr:nvPicPr>
        <xdr:cNvPr id="111" name="Grafik 110">
          <a:extLst>
            <a:ext uri="{FF2B5EF4-FFF2-40B4-BE49-F238E27FC236}">
              <a16:creationId xmlns:a16="http://schemas.microsoft.com/office/drawing/2014/main" id="{00000000-0008-0000-0B00-00006F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4988092" y="14449272"/>
          <a:ext cx="850207" cy="766150"/>
        </a:xfrm>
        <a:prstGeom prst="rect">
          <a:avLst/>
        </a:prstGeom>
      </xdr:spPr>
    </xdr:pic>
    <xdr:clientData/>
  </xdr:twoCellAnchor>
  <xdr:twoCellAnchor>
    <xdr:from>
      <xdr:col>19</xdr:col>
      <xdr:colOff>190794</xdr:colOff>
      <xdr:row>86</xdr:row>
      <xdr:rowOff>85223</xdr:rowOff>
    </xdr:from>
    <xdr:to>
      <xdr:col>23</xdr:col>
      <xdr:colOff>90236</xdr:colOff>
      <xdr:row>90</xdr:row>
      <xdr:rowOff>115302</xdr:rowOff>
    </xdr:to>
    <xdr:sp macro="" textlink="">
      <xdr:nvSpPr>
        <xdr:cNvPr id="112" name="Rechteck 111">
          <a:extLst>
            <a:ext uri="{FF2B5EF4-FFF2-40B4-BE49-F238E27FC236}">
              <a16:creationId xmlns:a16="http://schemas.microsoft.com/office/drawing/2014/main" id="{00000000-0008-0000-0B00-000070000000}"/>
            </a:ext>
          </a:extLst>
        </xdr:cNvPr>
        <xdr:cNvSpPr/>
      </xdr:nvSpPr>
      <xdr:spPr>
        <a:xfrm>
          <a:off x="4829469" y="14315573"/>
          <a:ext cx="775742" cy="6777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B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33</xdr:col>
      <xdr:colOff>112295</xdr:colOff>
      <xdr:row>61</xdr:row>
      <xdr:rowOff>27071</xdr:rowOff>
    </xdr:from>
    <xdr:to>
      <xdr:col>35</xdr:col>
      <xdr:colOff>19047</xdr:colOff>
      <xdr:row>63</xdr:row>
      <xdr:rowOff>74193</xdr:rowOff>
    </xdr:to>
    <xdr:sp macro="" textlink="">
      <xdr:nvSpPr>
        <xdr:cNvPr id="114" name="Rechteck 113">
          <a:extLst>
            <a:ext uri="{FF2B5EF4-FFF2-40B4-BE49-F238E27FC236}">
              <a16:creationId xmlns:a16="http://schemas.microsoft.com/office/drawing/2014/main" id="{00000000-0008-0000-0B00-000072000000}"/>
            </a:ext>
          </a:extLst>
        </xdr:cNvPr>
        <xdr:cNvSpPr/>
      </xdr:nvSpPr>
      <xdr:spPr>
        <a:xfrm>
          <a:off x="7818020" y="10218821"/>
          <a:ext cx="344902"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B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37</xdr:col>
      <xdr:colOff>69182</xdr:colOff>
      <xdr:row>61</xdr:row>
      <xdr:rowOff>34090</xdr:rowOff>
    </xdr:from>
    <xdr:to>
      <xdr:col>38</xdr:col>
      <xdr:colOff>196513</xdr:colOff>
      <xdr:row>63</xdr:row>
      <xdr:rowOff>81212</xdr:rowOff>
    </xdr:to>
    <xdr:sp macro="" textlink="">
      <xdr:nvSpPr>
        <xdr:cNvPr id="116" name="Rechteck 115">
          <a:extLst>
            <a:ext uri="{FF2B5EF4-FFF2-40B4-BE49-F238E27FC236}">
              <a16:creationId xmlns:a16="http://schemas.microsoft.com/office/drawing/2014/main" id="{00000000-0008-0000-0B00-000074000000}"/>
            </a:ext>
          </a:extLst>
        </xdr:cNvPr>
        <xdr:cNvSpPr/>
      </xdr:nvSpPr>
      <xdr:spPr>
        <a:xfrm>
          <a:off x="8651207" y="10225840"/>
          <a:ext cx="346406"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B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41</xdr:col>
      <xdr:colOff>46123</xdr:colOff>
      <xdr:row>61</xdr:row>
      <xdr:rowOff>41109</xdr:rowOff>
    </xdr:from>
    <xdr:to>
      <xdr:col>42</xdr:col>
      <xdr:colOff>173455</xdr:colOff>
      <xdr:row>63</xdr:row>
      <xdr:rowOff>88231</xdr:rowOff>
    </xdr:to>
    <xdr:sp macro="" textlink="">
      <xdr:nvSpPr>
        <xdr:cNvPr id="118" name="Rechteck 117">
          <a:extLst>
            <a:ext uri="{FF2B5EF4-FFF2-40B4-BE49-F238E27FC236}">
              <a16:creationId xmlns:a16="http://schemas.microsoft.com/office/drawing/2014/main" id="{00000000-0008-0000-0B00-000076000000}"/>
            </a:ext>
          </a:extLst>
        </xdr:cNvPr>
        <xdr:cNvSpPr/>
      </xdr:nvSpPr>
      <xdr:spPr>
        <a:xfrm>
          <a:off x="9504448" y="10232859"/>
          <a:ext cx="346407" cy="3709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B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1</xdr:row>
      <xdr:rowOff>142875</xdr:rowOff>
    </xdr:from>
    <xdr:to>
      <xdr:col>2</xdr:col>
      <xdr:colOff>2678206</xdr:colOff>
      <xdr:row>2</xdr:row>
      <xdr:rowOff>310266</xdr:rowOff>
    </xdr:to>
    <xdr:pic>
      <xdr:nvPicPr>
        <xdr:cNvPr id="2" name="Grafik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5850" y="314325"/>
          <a:ext cx="2668681" cy="338841"/>
        </a:xfrm>
        <a:prstGeom prst="rect">
          <a:avLst/>
        </a:prstGeom>
      </xdr:spPr>
    </xdr:pic>
    <xdr:clientData/>
  </xdr:twoCellAnchor>
  <xdr:twoCellAnchor editAs="oneCell">
    <xdr:from>
      <xdr:col>2</xdr:col>
      <xdr:colOff>19050</xdr:colOff>
      <xdr:row>17</xdr:row>
      <xdr:rowOff>38100</xdr:rowOff>
    </xdr:from>
    <xdr:to>
      <xdr:col>2</xdr:col>
      <xdr:colOff>1781175</xdr:colOff>
      <xdr:row>17</xdr:row>
      <xdr:rowOff>1654437</xdr:rowOff>
    </xdr:to>
    <xdr:pic>
      <xdr:nvPicPr>
        <xdr:cNvPr id="3" name="Grafik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duotone>
            <a:prstClr val="black"/>
            <a:schemeClr val="accent3">
              <a:tint val="45000"/>
              <a:satMod val="400000"/>
            </a:schemeClr>
          </a:duotone>
          <a:extLst>
            <a:ext uri="{BEBA8EAE-BF5A-486C-A8C5-ECC9F3942E4B}">
              <a14:imgProps xmlns:a14="http://schemas.microsoft.com/office/drawing/2010/main">
                <a14:imgLayer r:embed="rId3">
                  <a14:imgEffect>
                    <a14:colorTemperature colorTemp="11500"/>
                  </a14:imgEffect>
                  <a14:imgEffect>
                    <a14:saturation sat="400000"/>
                  </a14:imgEffect>
                </a14:imgLayer>
              </a14:imgProps>
            </a:ext>
          </a:extLst>
        </a:blip>
        <a:stretch>
          <a:fillRect/>
        </a:stretch>
      </xdr:blipFill>
      <xdr:spPr>
        <a:xfrm>
          <a:off x="1095375" y="2428875"/>
          <a:ext cx="1762125" cy="1616337"/>
        </a:xfrm>
        <a:prstGeom prst="rect">
          <a:avLst/>
        </a:prstGeom>
        <a:ln w="19050">
          <a:solidFill>
            <a:schemeClr val="tx1"/>
          </a:solidFill>
        </a:ln>
      </xdr:spPr>
    </xdr:pic>
    <xdr:clientData/>
  </xdr:twoCellAnchor>
  <xdr:twoCellAnchor editAs="oneCell">
    <xdr:from>
      <xdr:col>2</xdr:col>
      <xdr:colOff>2381251</xdr:colOff>
      <xdr:row>17</xdr:row>
      <xdr:rowOff>38101</xdr:rowOff>
    </xdr:from>
    <xdr:to>
      <xdr:col>2</xdr:col>
      <xdr:colOff>3933032</xdr:colOff>
      <xdr:row>17</xdr:row>
      <xdr:rowOff>1657350</xdr:rowOff>
    </xdr:to>
    <xdr:pic>
      <xdr:nvPicPr>
        <xdr:cNvPr id="4" name="Grafik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4"/>
        <a:stretch>
          <a:fillRect/>
        </a:stretch>
      </xdr:blipFill>
      <xdr:spPr>
        <a:xfrm>
          <a:off x="3457576" y="2428876"/>
          <a:ext cx="1551781" cy="1619249"/>
        </a:xfrm>
        <a:prstGeom prst="rect">
          <a:avLst/>
        </a:prstGeom>
        <a:ln w="19050">
          <a:solidFill>
            <a:schemeClr val="tx1"/>
          </a:solidFill>
        </a:ln>
      </xdr:spPr>
    </xdr:pic>
    <xdr:clientData/>
  </xdr:twoCellAnchor>
  <xdr:twoCellAnchor>
    <xdr:from>
      <xdr:col>2</xdr:col>
      <xdr:colOff>1905000</xdr:colOff>
      <xdr:row>17</xdr:row>
      <xdr:rowOff>695325</xdr:rowOff>
    </xdr:from>
    <xdr:to>
      <xdr:col>2</xdr:col>
      <xdr:colOff>2247900</xdr:colOff>
      <xdr:row>17</xdr:row>
      <xdr:rowOff>923925</xdr:rowOff>
    </xdr:to>
    <xdr:sp macro="" textlink="">
      <xdr:nvSpPr>
        <xdr:cNvPr id="5" name="Pfeil nach rechts 4">
          <a:extLst>
            <a:ext uri="{FF2B5EF4-FFF2-40B4-BE49-F238E27FC236}">
              <a16:creationId xmlns:a16="http://schemas.microsoft.com/office/drawing/2014/main" id="{00000000-0008-0000-0C00-000005000000}"/>
            </a:ext>
          </a:extLst>
        </xdr:cNvPr>
        <xdr:cNvSpPr/>
      </xdr:nvSpPr>
      <xdr:spPr>
        <a:xfrm>
          <a:off x="2981325" y="308610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22</xdr:row>
      <xdr:rowOff>19050</xdr:rowOff>
    </xdr:from>
    <xdr:to>
      <xdr:col>2</xdr:col>
      <xdr:colOff>1771431</xdr:colOff>
      <xdr:row>22</xdr:row>
      <xdr:rowOff>952383</xdr:rowOff>
    </xdr:to>
    <xdr:pic>
      <xdr:nvPicPr>
        <xdr:cNvPr id="6" name="Grafik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095375" y="5600700"/>
          <a:ext cx="1752381" cy="933333"/>
        </a:xfrm>
        <a:prstGeom prst="rect">
          <a:avLst/>
        </a:prstGeom>
        <a:ln w="19050">
          <a:solidFill>
            <a:schemeClr val="tx1"/>
          </a:solidFill>
        </a:ln>
      </xdr:spPr>
    </xdr:pic>
    <xdr:clientData/>
  </xdr:twoCellAnchor>
  <xdr:twoCellAnchor editAs="oneCell">
    <xdr:from>
      <xdr:col>2</xdr:col>
      <xdr:colOff>2381250</xdr:colOff>
      <xdr:row>22</xdr:row>
      <xdr:rowOff>19050</xdr:rowOff>
    </xdr:from>
    <xdr:to>
      <xdr:col>2</xdr:col>
      <xdr:colOff>4105060</xdr:colOff>
      <xdr:row>22</xdr:row>
      <xdr:rowOff>685717</xdr:rowOff>
    </xdr:to>
    <xdr:pic>
      <xdr:nvPicPr>
        <xdr:cNvPr id="7" name="Grafik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3457575" y="5600700"/>
          <a:ext cx="1723810" cy="666667"/>
        </a:xfrm>
        <a:prstGeom prst="rect">
          <a:avLst/>
        </a:prstGeom>
        <a:ln w="19050">
          <a:solidFill>
            <a:schemeClr val="tx1"/>
          </a:solidFill>
        </a:ln>
      </xdr:spPr>
    </xdr:pic>
    <xdr:clientData/>
  </xdr:twoCellAnchor>
  <xdr:twoCellAnchor>
    <xdr:from>
      <xdr:col>2</xdr:col>
      <xdr:colOff>1905000</xdr:colOff>
      <xdr:row>22</xdr:row>
      <xdr:rowOff>209550</xdr:rowOff>
    </xdr:from>
    <xdr:to>
      <xdr:col>2</xdr:col>
      <xdr:colOff>2247900</xdr:colOff>
      <xdr:row>22</xdr:row>
      <xdr:rowOff>438150</xdr:rowOff>
    </xdr:to>
    <xdr:sp macro="" textlink="">
      <xdr:nvSpPr>
        <xdr:cNvPr id="8" name="Pfeil nach rechts 7">
          <a:extLst>
            <a:ext uri="{FF2B5EF4-FFF2-40B4-BE49-F238E27FC236}">
              <a16:creationId xmlns:a16="http://schemas.microsoft.com/office/drawing/2014/main" id="{00000000-0008-0000-0C00-000008000000}"/>
            </a:ext>
          </a:extLst>
        </xdr:cNvPr>
        <xdr:cNvSpPr/>
      </xdr:nvSpPr>
      <xdr:spPr>
        <a:xfrm>
          <a:off x="2981325" y="579120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4410075</xdr:colOff>
      <xdr:row>27</xdr:row>
      <xdr:rowOff>19050</xdr:rowOff>
    </xdr:from>
    <xdr:to>
      <xdr:col>7</xdr:col>
      <xdr:colOff>37769</xdr:colOff>
      <xdr:row>27</xdr:row>
      <xdr:rowOff>1485717</xdr:rowOff>
    </xdr:to>
    <xdr:pic>
      <xdr:nvPicPr>
        <xdr:cNvPr id="9" name="Grafik 8">
          <a:extLst>
            <a:ext uri="{FF2B5EF4-FFF2-40B4-BE49-F238E27FC236}">
              <a16:creationId xmlns:a16="http://schemas.microsoft.com/office/drawing/2014/main" id="{00000000-0008-0000-0C00-000009000000}"/>
            </a:ext>
          </a:extLst>
        </xdr:cNvPr>
        <xdr:cNvPicPr>
          <a:picLocks noChangeAspect="1"/>
        </xdr:cNvPicPr>
      </xdr:nvPicPr>
      <xdr:blipFill rotWithShape="1">
        <a:blip xmlns:r="http://schemas.openxmlformats.org/officeDocument/2006/relationships" r:embed="rId7"/>
        <a:srcRect l="7196"/>
        <a:stretch/>
      </xdr:blipFill>
      <xdr:spPr>
        <a:xfrm>
          <a:off x="5486400" y="8258175"/>
          <a:ext cx="2457119" cy="1466667"/>
        </a:xfrm>
        <a:prstGeom prst="rect">
          <a:avLst/>
        </a:prstGeom>
        <a:ln w="19050">
          <a:solidFill>
            <a:schemeClr val="tx1"/>
          </a:solidFill>
        </a:ln>
      </xdr:spPr>
    </xdr:pic>
    <xdr:clientData/>
  </xdr:twoCellAnchor>
  <xdr:twoCellAnchor editAs="oneCell">
    <xdr:from>
      <xdr:col>2</xdr:col>
      <xdr:colOff>19050</xdr:colOff>
      <xdr:row>27</xdr:row>
      <xdr:rowOff>9526</xdr:rowOff>
    </xdr:from>
    <xdr:to>
      <xdr:col>2</xdr:col>
      <xdr:colOff>3804241</xdr:colOff>
      <xdr:row>27</xdr:row>
      <xdr:rowOff>1704976</xdr:rowOff>
    </xdr:to>
    <xdr:pic>
      <xdr:nvPicPr>
        <xdr:cNvPr id="10" name="Grafik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8"/>
        <a:stretch>
          <a:fillRect/>
        </a:stretch>
      </xdr:blipFill>
      <xdr:spPr>
        <a:xfrm>
          <a:off x="1095375" y="8248651"/>
          <a:ext cx="3785191" cy="1695450"/>
        </a:xfrm>
        <a:prstGeom prst="rect">
          <a:avLst/>
        </a:prstGeom>
        <a:ln w="19050">
          <a:solidFill>
            <a:schemeClr val="tx1"/>
          </a:solidFill>
        </a:ln>
      </xdr:spPr>
    </xdr:pic>
    <xdr:clientData/>
  </xdr:twoCellAnchor>
  <xdr:twoCellAnchor>
    <xdr:from>
      <xdr:col>2</xdr:col>
      <xdr:colOff>76201</xdr:colOff>
      <xdr:row>27</xdr:row>
      <xdr:rowOff>352425</xdr:rowOff>
    </xdr:from>
    <xdr:to>
      <xdr:col>2</xdr:col>
      <xdr:colOff>1524001</xdr:colOff>
      <xdr:row>27</xdr:row>
      <xdr:rowOff>1495425</xdr:rowOff>
    </xdr:to>
    <xdr:sp macro="" textlink="">
      <xdr:nvSpPr>
        <xdr:cNvPr id="11" name="Rechteck 10">
          <a:extLst>
            <a:ext uri="{FF2B5EF4-FFF2-40B4-BE49-F238E27FC236}">
              <a16:creationId xmlns:a16="http://schemas.microsoft.com/office/drawing/2014/main" id="{00000000-0008-0000-0C00-00000B000000}"/>
            </a:ext>
          </a:extLst>
        </xdr:cNvPr>
        <xdr:cNvSpPr/>
      </xdr:nvSpPr>
      <xdr:spPr>
        <a:xfrm>
          <a:off x="1152526" y="8591550"/>
          <a:ext cx="1447800" cy="1143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733425</xdr:colOff>
      <xdr:row>27</xdr:row>
      <xdr:rowOff>923925</xdr:rowOff>
    </xdr:from>
    <xdr:to>
      <xdr:col>5</xdr:col>
      <xdr:colOff>647700</xdr:colOff>
      <xdr:row>27</xdr:row>
      <xdr:rowOff>1066800</xdr:rowOff>
    </xdr:to>
    <xdr:sp macro="" textlink="">
      <xdr:nvSpPr>
        <xdr:cNvPr id="12" name="Rechteck 11">
          <a:extLst>
            <a:ext uri="{FF2B5EF4-FFF2-40B4-BE49-F238E27FC236}">
              <a16:creationId xmlns:a16="http://schemas.microsoft.com/office/drawing/2014/main" id="{00000000-0008-0000-0C00-00000C000000}"/>
            </a:ext>
          </a:extLst>
        </xdr:cNvPr>
        <xdr:cNvSpPr/>
      </xdr:nvSpPr>
      <xdr:spPr>
        <a:xfrm>
          <a:off x="6400800" y="9163050"/>
          <a:ext cx="676275" cy="1428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xdr:col>
      <xdr:colOff>1552576</xdr:colOff>
      <xdr:row>27</xdr:row>
      <xdr:rowOff>352425</xdr:rowOff>
    </xdr:from>
    <xdr:to>
      <xdr:col>2</xdr:col>
      <xdr:colOff>2247900</xdr:colOff>
      <xdr:row>27</xdr:row>
      <xdr:rowOff>1495425</xdr:rowOff>
    </xdr:to>
    <xdr:sp macro="" textlink="">
      <xdr:nvSpPr>
        <xdr:cNvPr id="13" name="Rechteck 12">
          <a:extLst>
            <a:ext uri="{FF2B5EF4-FFF2-40B4-BE49-F238E27FC236}">
              <a16:creationId xmlns:a16="http://schemas.microsoft.com/office/drawing/2014/main" id="{00000000-0008-0000-0C00-00000D000000}"/>
            </a:ext>
          </a:extLst>
        </xdr:cNvPr>
        <xdr:cNvSpPr/>
      </xdr:nvSpPr>
      <xdr:spPr>
        <a:xfrm>
          <a:off x="2628901" y="8591550"/>
          <a:ext cx="695324" cy="11430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27</xdr:row>
      <xdr:rowOff>1085850</xdr:rowOff>
    </xdr:from>
    <xdr:to>
      <xdr:col>5</xdr:col>
      <xdr:colOff>647700</xdr:colOff>
      <xdr:row>27</xdr:row>
      <xdr:rowOff>1238250</xdr:rowOff>
    </xdr:to>
    <xdr:sp macro="" textlink="">
      <xdr:nvSpPr>
        <xdr:cNvPr id="14" name="Rechteck 13">
          <a:extLst>
            <a:ext uri="{FF2B5EF4-FFF2-40B4-BE49-F238E27FC236}">
              <a16:creationId xmlns:a16="http://schemas.microsoft.com/office/drawing/2014/main" id="{00000000-0008-0000-0C00-00000E000000}"/>
            </a:ext>
          </a:extLst>
        </xdr:cNvPr>
        <xdr:cNvSpPr/>
      </xdr:nvSpPr>
      <xdr:spPr>
        <a:xfrm>
          <a:off x="6400801" y="9324975"/>
          <a:ext cx="676274" cy="1524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2276476</xdr:colOff>
      <xdr:row>27</xdr:row>
      <xdr:rowOff>352425</xdr:rowOff>
    </xdr:from>
    <xdr:to>
      <xdr:col>2</xdr:col>
      <xdr:colOff>3714750</xdr:colOff>
      <xdr:row>27</xdr:row>
      <xdr:rowOff>1495425</xdr:rowOff>
    </xdr:to>
    <xdr:sp macro="" textlink="">
      <xdr:nvSpPr>
        <xdr:cNvPr id="15" name="Rechteck 14">
          <a:extLst>
            <a:ext uri="{FF2B5EF4-FFF2-40B4-BE49-F238E27FC236}">
              <a16:creationId xmlns:a16="http://schemas.microsoft.com/office/drawing/2014/main" id="{00000000-0008-0000-0C00-00000F000000}"/>
            </a:ext>
          </a:extLst>
        </xdr:cNvPr>
        <xdr:cNvSpPr/>
      </xdr:nvSpPr>
      <xdr:spPr>
        <a:xfrm>
          <a:off x="3352801" y="8591550"/>
          <a:ext cx="1438274" cy="1143000"/>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27</xdr:row>
      <xdr:rowOff>1247775</xdr:rowOff>
    </xdr:from>
    <xdr:to>
      <xdr:col>5</xdr:col>
      <xdr:colOff>647700</xdr:colOff>
      <xdr:row>27</xdr:row>
      <xdr:rowOff>1409700</xdr:rowOff>
    </xdr:to>
    <xdr:sp macro="" textlink="">
      <xdr:nvSpPr>
        <xdr:cNvPr id="16" name="Rechteck 15">
          <a:extLst>
            <a:ext uri="{FF2B5EF4-FFF2-40B4-BE49-F238E27FC236}">
              <a16:creationId xmlns:a16="http://schemas.microsoft.com/office/drawing/2014/main" id="{00000000-0008-0000-0C00-000010000000}"/>
            </a:ext>
          </a:extLst>
        </xdr:cNvPr>
        <xdr:cNvSpPr/>
      </xdr:nvSpPr>
      <xdr:spPr>
        <a:xfrm>
          <a:off x="6400801" y="9486900"/>
          <a:ext cx="676274" cy="161925"/>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3943350</xdr:colOff>
      <xdr:row>27</xdr:row>
      <xdr:rowOff>590550</xdr:rowOff>
    </xdr:from>
    <xdr:to>
      <xdr:col>2</xdr:col>
      <xdr:colOff>4286250</xdr:colOff>
      <xdr:row>27</xdr:row>
      <xdr:rowOff>819150</xdr:rowOff>
    </xdr:to>
    <xdr:sp macro="" textlink="">
      <xdr:nvSpPr>
        <xdr:cNvPr id="17" name="Pfeil nach rechts 16">
          <a:extLst>
            <a:ext uri="{FF2B5EF4-FFF2-40B4-BE49-F238E27FC236}">
              <a16:creationId xmlns:a16="http://schemas.microsoft.com/office/drawing/2014/main" id="{00000000-0008-0000-0C00-000011000000}"/>
            </a:ext>
          </a:extLst>
        </xdr:cNvPr>
        <xdr:cNvSpPr/>
      </xdr:nvSpPr>
      <xdr:spPr>
        <a:xfrm>
          <a:off x="5019675" y="8829675"/>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32</xdr:row>
      <xdr:rowOff>19050</xdr:rowOff>
    </xdr:from>
    <xdr:to>
      <xdr:col>2</xdr:col>
      <xdr:colOff>3960354</xdr:colOff>
      <xdr:row>40</xdr:row>
      <xdr:rowOff>92446</xdr:rowOff>
    </xdr:to>
    <xdr:pic>
      <xdr:nvPicPr>
        <xdr:cNvPr id="18" name="Grafik 17">
          <a:extLst>
            <a:ext uri="{FF2B5EF4-FFF2-40B4-BE49-F238E27FC236}">
              <a16:creationId xmlns:a16="http://schemas.microsoft.com/office/drawing/2014/main" id="{00000000-0008-0000-0C00-000012000000}"/>
            </a:ext>
          </a:extLst>
        </xdr:cNvPr>
        <xdr:cNvPicPr>
          <a:picLocks noChangeAspect="1"/>
        </xdr:cNvPicPr>
      </xdr:nvPicPr>
      <xdr:blipFill rotWithShape="1">
        <a:blip xmlns:r="http://schemas.openxmlformats.org/officeDocument/2006/relationships" r:embed="rId9" cstate="print">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1095375" y="11830050"/>
          <a:ext cx="3941304" cy="2111746"/>
        </a:xfrm>
        <a:prstGeom prst="rect">
          <a:avLst/>
        </a:prstGeom>
        <a:ln w="19050">
          <a:solidFill>
            <a:schemeClr val="tx1"/>
          </a:solidFill>
        </a:ln>
      </xdr:spPr>
    </xdr:pic>
    <xdr:clientData/>
  </xdr:twoCellAnchor>
  <xdr:twoCellAnchor editAs="oneCell">
    <xdr:from>
      <xdr:col>6</xdr:col>
      <xdr:colOff>314325</xdr:colOff>
      <xdr:row>32</xdr:row>
      <xdr:rowOff>76200</xdr:rowOff>
    </xdr:from>
    <xdr:to>
      <xdr:col>7</xdr:col>
      <xdr:colOff>443181</xdr:colOff>
      <xdr:row>38</xdr:row>
      <xdr:rowOff>19050</xdr:rowOff>
    </xdr:to>
    <xdr:pic>
      <xdr:nvPicPr>
        <xdr:cNvPr id="19" name="Grafik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11"/>
        <a:stretch>
          <a:fillRect/>
        </a:stretch>
      </xdr:blipFill>
      <xdr:spPr>
        <a:xfrm>
          <a:off x="7505700" y="11887200"/>
          <a:ext cx="843231" cy="914400"/>
        </a:xfrm>
        <a:prstGeom prst="rect">
          <a:avLst/>
        </a:prstGeom>
      </xdr:spPr>
    </xdr:pic>
    <xdr:clientData/>
  </xdr:twoCellAnchor>
  <xdr:twoCellAnchor>
    <xdr:from>
      <xdr:col>2</xdr:col>
      <xdr:colOff>4122645</xdr:colOff>
      <xdr:row>34</xdr:row>
      <xdr:rowOff>85165</xdr:rowOff>
    </xdr:from>
    <xdr:to>
      <xdr:col>2</xdr:col>
      <xdr:colOff>4465545</xdr:colOff>
      <xdr:row>35</xdr:row>
      <xdr:rowOff>146797</xdr:rowOff>
    </xdr:to>
    <xdr:sp macro="" textlink="">
      <xdr:nvSpPr>
        <xdr:cNvPr id="20" name="Pfeil nach rechts 19">
          <a:extLst>
            <a:ext uri="{FF2B5EF4-FFF2-40B4-BE49-F238E27FC236}">
              <a16:creationId xmlns:a16="http://schemas.microsoft.com/office/drawing/2014/main" id="{00000000-0008-0000-0C00-000014000000}"/>
            </a:ext>
          </a:extLst>
        </xdr:cNvPr>
        <xdr:cNvSpPr/>
      </xdr:nvSpPr>
      <xdr:spPr>
        <a:xfrm>
          <a:off x="5198970" y="12200965"/>
          <a:ext cx="342900" cy="214032"/>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9525</xdr:colOff>
      <xdr:row>45</xdr:row>
      <xdr:rowOff>28576</xdr:rowOff>
    </xdr:from>
    <xdr:to>
      <xdr:col>2</xdr:col>
      <xdr:colOff>4143374</xdr:colOff>
      <xdr:row>59</xdr:row>
      <xdr:rowOff>112246</xdr:rowOff>
    </xdr:to>
    <xdr:pic>
      <xdr:nvPicPr>
        <xdr:cNvPr id="21" name="Grafik 20">
          <a:extLst>
            <a:ext uri="{FF2B5EF4-FFF2-40B4-BE49-F238E27FC236}">
              <a16:creationId xmlns:a16="http://schemas.microsoft.com/office/drawing/2014/main" id="{00000000-0008-0000-0C00-000015000000}"/>
            </a:ext>
          </a:extLst>
        </xdr:cNvPr>
        <xdr:cNvPicPr>
          <a:picLocks noChangeAspect="1"/>
        </xdr:cNvPicPr>
      </xdr:nvPicPr>
      <xdr:blipFill>
        <a:blip xmlns:r="http://schemas.openxmlformats.org/officeDocument/2006/relationships" r:embed="rId12">
          <a:duotone>
            <a:prstClr val="black"/>
            <a:schemeClr val="accent3">
              <a:tint val="45000"/>
              <a:satMod val="400000"/>
            </a:schemeClr>
          </a:duotone>
        </a:blip>
        <a:stretch>
          <a:fillRect/>
        </a:stretch>
      </xdr:blipFill>
      <xdr:spPr>
        <a:xfrm>
          <a:off x="1085850" y="15601951"/>
          <a:ext cx="4133849" cy="2350620"/>
        </a:xfrm>
        <a:prstGeom prst="rect">
          <a:avLst/>
        </a:prstGeom>
      </xdr:spPr>
    </xdr:pic>
    <xdr:clientData/>
  </xdr:twoCellAnchor>
  <xdr:twoCellAnchor>
    <xdr:from>
      <xdr:col>2</xdr:col>
      <xdr:colOff>70757</xdr:colOff>
      <xdr:row>54</xdr:row>
      <xdr:rowOff>103414</xdr:rowOff>
    </xdr:from>
    <xdr:to>
      <xdr:col>2</xdr:col>
      <xdr:colOff>70757</xdr:colOff>
      <xdr:row>61</xdr:row>
      <xdr:rowOff>114300</xdr:rowOff>
    </xdr:to>
    <xdr:cxnSp macro="">
      <xdr:nvCxnSpPr>
        <xdr:cNvPr id="22" name="Gerader Verbinder 21">
          <a:extLst>
            <a:ext uri="{FF2B5EF4-FFF2-40B4-BE49-F238E27FC236}">
              <a16:creationId xmlns:a16="http://schemas.microsoft.com/office/drawing/2014/main" id="{00000000-0008-0000-0C00-000016000000}"/>
            </a:ext>
          </a:extLst>
        </xdr:cNvPr>
        <xdr:cNvCxnSpPr/>
      </xdr:nvCxnSpPr>
      <xdr:spPr>
        <a:xfrm>
          <a:off x="1147082" y="17134114"/>
          <a:ext cx="0" cy="1144361"/>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4060371</xdr:colOff>
      <xdr:row>54</xdr:row>
      <xdr:rowOff>108857</xdr:rowOff>
    </xdr:from>
    <xdr:to>
      <xdr:col>2</xdr:col>
      <xdr:colOff>4060371</xdr:colOff>
      <xdr:row>61</xdr:row>
      <xdr:rowOff>97971</xdr:rowOff>
    </xdr:to>
    <xdr:cxnSp macro="">
      <xdr:nvCxnSpPr>
        <xdr:cNvPr id="23" name="Gerader Verbinder 22">
          <a:extLst>
            <a:ext uri="{FF2B5EF4-FFF2-40B4-BE49-F238E27FC236}">
              <a16:creationId xmlns:a16="http://schemas.microsoft.com/office/drawing/2014/main" id="{00000000-0008-0000-0C00-000017000000}"/>
            </a:ext>
          </a:extLst>
        </xdr:cNvPr>
        <xdr:cNvCxnSpPr/>
      </xdr:nvCxnSpPr>
      <xdr:spPr>
        <a:xfrm>
          <a:off x="5136696" y="17139557"/>
          <a:ext cx="0" cy="1122589"/>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10885</xdr:colOff>
      <xdr:row>61</xdr:row>
      <xdr:rowOff>21771</xdr:rowOff>
    </xdr:from>
    <xdr:to>
      <xdr:col>2</xdr:col>
      <xdr:colOff>4125685</xdr:colOff>
      <xdr:row>61</xdr:row>
      <xdr:rowOff>21771</xdr:rowOff>
    </xdr:to>
    <xdr:cxnSp macro="">
      <xdr:nvCxnSpPr>
        <xdr:cNvPr id="24" name="Gerader Verbinder 23">
          <a:extLst>
            <a:ext uri="{FF2B5EF4-FFF2-40B4-BE49-F238E27FC236}">
              <a16:creationId xmlns:a16="http://schemas.microsoft.com/office/drawing/2014/main" id="{00000000-0008-0000-0C00-000018000000}"/>
            </a:ext>
          </a:extLst>
        </xdr:cNvPr>
        <xdr:cNvCxnSpPr/>
      </xdr:nvCxnSpPr>
      <xdr:spPr>
        <a:xfrm>
          <a:off x="1087210" y="18185946"/>
          <a:ext cx="4114800" cy="0"/>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2035628</xdr:colOff>
      <xdr:row>59</xdr:row>
      <xdr:rowOff>136069</xdr:rowOff>
    </xdr:from>
    <xdr:to>
      <xdr:col>2</xdr:col>
      <xdr:colOff>4114800</xdr:colOff>
      <xdr:row>59</xdr:row>
      <xdr:rowOff>136069</xdr:rowOff>
    </xdr:to>
    <xdr:cxnSp macro="">
      <xdr:nvCxnSpPr>
        <xdr:cNvPr id="25" name="Gerader Verbinder 24">
          <a:extLst>
            <a:ext uri="{FF2B5EF4-FFF2-40B4-BE49-F238E27FC236}">
              <a16:creationId xmlns:a16="http://schemas.microsoft.com/office/drawing/2014/main" id="{00000000-0008-0000-0C00-000019000000}"/>
            </a:ext>
          </a:extLst>
        </xdr:cNvPr>
        <xdr:cNvCxnSpPr/>
      </xdr:nvCxnSpPr>
      <xdr:spPr>
        <a:xfrm>
          <a:off x="3111953" y="17976394"/>
          <a:ext cx="2079172" cy="0"/>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2106386</xdr:colOff>
      <xdr:row>54</xdr:row>
      <xdr:rowOff>157843</xdr:rowOff>
    </xdr:from>
    <xdr:to>
      <xdr:col>2</xdr:col>
      <xdr:colOff>2106386</xdr:colOff>
      <xdr:row>60</xdr:row>
      <xdr:rowOff>54428</xdr:rowOff>
    </xdr:to>
    <xdr:cxnSp macro="">
      <xdr:nvCxnSpPr>
        <xdr:cNvPr id="26" name="Gerader Verbinder 25">
          <a:extLst>
            <a:ext uri="{FF2B5EF4-FFF2-40B4-BE49-F238E27FC236}">
              <a16:creationId xmlns:a16="http://schemas.microsoft.com/office/drawing/2014/main" id="{00000000-0008-0000-0C00-00001A000000}"/>
            </a:ext>
          </a:extLst>
        </xdr:cNvPr>
        <xdr:cNvCxnSpPr/>
      </xdr:nvCxnSpPr>
      <xdr:spPr>
        <a:xfrm>
          <a:off x="3182711" y="17188543"/>
          <a:ext cx="0" cy="868135"/>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5442</xdr:colOff>
      <xdr:row>60</xdr:row>
      <xdr:rowOff>136071</xdr:rowOff>
    </xdr:from>
    <xdr:to>
      <xdr:col>2</xdr:col>
      <xdr:colOff>125185</xdr:colOff>
      <xdr:row>61</xdr:row>
      <xdr:rowOff>92528</xdr:rowOff>
    </xdr:to>
    <xdr:cxnSp macro="">
      <xdr:nvCxnSpPr>
        <xdr:cNvPr id="27" name="Gerader Verbinder 26">
          <a:extLst>
            <a:ext uri="{FF2B5EF4-FFF2-40B4-BE49-F238E27FC236}">
              <a16:creationId xmlns:a16="http://schemas.microsoft.com/office/drawing/2014/main" id="{00000000-0008-0000-0C00-00001B000000}"/>
            </a:ext>
          </a:extLst>
        </xdr:cNvPr>
        <xdr:cNvCxnSpPr/>
      </xdr:nvCxnSpPr>
      <xdr:spPr>
        <a:xfrm flipV="1">
          <a:off x="1081767" y="18138321"/>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2046513</xdr:colOff>
      <xdr:row>59</xdr:row>
      <xdr:rowOff>76200</xdr:rowOff>
    </xdr:from>
    <xdr:to>
      <xdr:col>2</xdr:col>
      <xdr:colOff>2166256</xdr:colOff>
      <xdr:row>60</xdr:row>
      <xdr:rowOff>32657</xdr:rowOff>
    </xdr:to>
    <xdr:cxnSp macro="">
      <xdr:nvCxnSpPr>
        <xdr:cNvPr id="28" name="Gerader Verbinder 27">
          <a:extLst>
            <a:ext uri="{FF2B5EF4-FFF2-40B4-BE49-F238E27FC236}">
              <a16:creationId xmlns:a16="http://schemas.microsoft.com/office/drawing/2014/main" id="{00000000-0008-0000-0C00-00001C000000}"/>
            </a:ext>
          </a:extLst>
        </xdr:cNvPr>
        <xdr:cNvCxnSpPr/>
      </xdr:nvCxnSpPr>
      <xdr:spPr>
        <a:xfrm flipV="1">
          <a:off x="3122838" y="17916525"/>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3989613</xdr:colOff>
      <xdr:row>59</xdr:row>
      <xdr:rowOff>81643</xdr:rowOff>
    </xdr:from>
    <xdr:to>
      <xdr:col>2</xdr:col>
      <xdr:colOff>4109356</xdr:colOff>
      <xdr:row>60</xdr:row>
      <xdr:rowOff>38100</xdr:rowOff>
    </xdr:to>
    <xdr:cxnSp macro="">
      <xdr:nvCxnSpPr>
        <xdr:cNvPr id="29" name="Gerader Verbinder 28">
          <a:extLst>
            <a:ext uri="{FF2B5EF4-FFF2-40B4-BE49-F238E27FC236}">
              <a16:creationId xmlns:a16="http://schemas.microsoft.com/office/drawing/2014/main" id="{00000000-0008-0000-0C00-00001D000000}"/>
            </a:ext>
          </a:extLst>
        </xdr:cNvPr>
        <xdr:cNvCxnSpPr/>
      </xdr:nvCxnSpPr>
      <xdr:spPr>
        <a:xfrm flipV="1">
          <a:off x="5065938" y="17921968"/>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3995056</xdr:colOff>
      <xdr:row>60</xdr:row>
      <xdr:rowOff>125185</xdr:rowOff>
    </xdr:from>
    <xdr:to>
      <xdr:col>2</xdr:col>
      <xdr:colOff>4114799</xdr:colOff>
      <xdr:row>61</xdr:row>
      <xdr:rowOff>81642</xdr:rowOff>
    </xdr:to>
    <xdr:cxnSp macro="">
      <xdr:nvCxnSpPr>
        <xdr:cNvPr id="30" name="Gerader Verbinder 29">
          <a:extLst>
            <a:ext uri="{FF2B5EF4-FFF2-40B4-BE49-F238E27FC236}">
              <a16:creationId xmlns:a16="http://schemas.microsoft.com/office/drawing/2014/main" id="{00000000-0008-0000-0C00-00001E000000}"/>
            </a:ext>
          </a:extLst>
        </xdr:cNvPr>
        <xdr:cNvCxnSpPr/>
      </xdr:nvCxnSpPr>
      <xdr:spPr>
        <a:xfrm flipV="1">
          <a:off x="5071381" y="18127435"/>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229913</xdr:colOff>
      <xdr:row>44</xdr:row>
      <xdr:rowOff>98534</xdr:rowOff>
    </xdr:from>
    <xdr:to>
      <xdr:col>2</xdr:col>
      <xdr:colOff>4217276</xdr:colOff>
      <xdr:row>62</xdr:row>
      <xdr:rowOff>13138</xdr:rowOff>
    </xdr:to>
    <xdr:sp macro="" textlink="">
      <xdr:nvSpPr>
        <xdr:cNvPr id="31" name="Rechteck 30">
          <a:extLst>
            <a:ext uri="{FF2B5EF4-FFF2-40B4-BE49-F238E27FC236}">
              <a16:creationId xmlns:a16="http://schemas.microsoft.com/office/drawing/2014/main" id="{00000000-0008-0000-0C00-00001F000000}"/>
            </a:ext>
          </a:extLst>
        </xdr:cNvPr>
        <xdr:cNvSpPr/>
      </xdr:nvSpPr>
      <xdr:spPr>
        <a:xfrm>
          <a:off x="1058588" y="15509984"/>
          <a:ext cx="4235013" cy="282925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ctrlProp" Target="../ctrlProps/ctrlProp151.xml"/><Relationship Id="rId18" Type="http://schemas.openxmlformats.org/officeDocument/2006/relationships/ctrlProp" Target="../ctrlProps/ctrlProp156.xml"/><Relationship Id="rId26" Type="http://schemas.openxmlformats.org/officeDocument/2006/relationships/ctrlProp" Target="../ctrlProps/ctrlProp164.xml"/><Relationship Id="rId39" Type="http://schemas.openxmlformats.org/officeDocument/2006/relationships/ctrlProp" Target="../ctrlProps/ctrlProp177.xml"/><Relationship Id="rId3" Type="http://schemas.openxmlformats.org/officeDocument/2006/relationships/vmlDrawing" Target="../drawings/vmlDrawing8.vml"/><Relationship Id="rId21" Type="http://schemas.openxmlformats.org/officeDocument/2006/relationships/ctrlProp" Target="../ctrlProps/ctrlProp159.xml"/><Relationship Id="rId34" Type="http://schemas.openxmlformats.org/officeDocument/2006/relationships/ctrlProp" Target="../ctrlProps/ctrlProp172.xml"/><Relationship Id="rId42" Type="http://schemas.openxmlformats.org/officeDocument/2006/relationships/ctrlProp" Target="../ctrlProps/ctrlProp180.xml"/><Relationship Id="rId47" Type="http://schemas.openxmlformats.org/officeDocument/2006/relationships/ctrlProp" Target="../ctrlProps/ctrlProp185.xml"/><Relationship Id="rId50" Type="http://schemas.openxmlformats.org/officeDocument/2006/relationships/ctrlProp" Target="../ctrlProps/ctrlProp188.xml"/><Relationship Id="rId7" Type="http://schemas.openxmlformats.org/officeDocument/2006/relationships/ctrlProp" Target="../ctrlProps/ctrlProp145.xml"/><Relationship Id="rId12" Type="http://schemas.openxmlformats.org/officeDocument/2006/relationships/ctrlProp" Target="../ctrlProps/ctrlProp150.xml"/><Relationship Id="rId17" Type="http://schemas.openxmlformats.org/officeDocument/2006/relationships/ctrlProp" Target="../ctrlProps/ctrlProp155.xml"/><Relationship Id="rId25" Type="http://schemas.openxmlformats.org/officeDocument/2006/relationships/ctrlProp" Target="../ctrlProps/ctrlProp163.xml"/><Relationship Id="rId33" Type="http://schemas.openxmlformats.org/officeDocument/2006/relationships/ctrlProp" Target="../ctrlProps/ctrlProp171.xml"/><Relationship Id="rId38" Type="http://schemas.openxmlformats.org/officeDocument/2006/relationships/ctrlProp" Target="../ctrlProps/ctrlProp176.xml"/><Relationship Id="rId46" Type="http://schemas.openxmlformats.org/officeDocument/2006/relationships/ctrlProp" Target="../ctrlProps/ctrlProp184.xml"/><Relationship Id="rId2" Type="http://schemas.openxmlformats.org/officeDocument/2006/relationships/drawing" Target="../drawings/drawing5.xml"/><Relationship Id="rId16" Type="http://schemas.openxmlformats.org/officeDocument/2006/relationships/ctrlProp" Target="../ctrlProps/ctrlProp154.xml"/><Relationship Id="rId20" Type="http://schemas.openxmlformats.org/officeDocument/2006/relationships/ctrlProp" Target="../ctrlProps/ctrlProp158.xml"/><Relationship Id="rId29" Type="http://schemas.openxmlformats.org/officeDocument/2006/relationships/ctrlProp" Target="../ctrlProps/ctrlProp167.xml"/><Relationship Id="rId41" Type="http://schemas.openxmlformats.org/officeDocument/2006/relationships/ctrlProp" Target="../ctrlProps/ctrlProp179.xml"/><Relationship Id="rId1" Type="http://schemas.openxmlformats.org/officeDocument/2006/relationships/printerSettings" Target="../printerSettings/printerSettings10.bin"/><Relationship Id="rId6" Type="http://schemas.openxmlformats.org/officeDocument/2006/relationships/ctrlProp" Target="../ctrlProps/ctrlProp144.xml"/><Relationship Id="rId11" Type="http://schemas.openxmlformats.org/officeDocument/2006/relationships/ctrlProp" Target="../ctrlProps/ctrlProp149.xml"/><Relationship Id="rId24" Type="http://schemas.openxmlformats.org/officeDocument/2006/relationships/ctrlProp" Target="../ctrlProps/ctrlProp162.xml"/><Relationship Id="rId32" Type="http://schemas.openxmlformats.org/officeDocument/2006/relationships/ctrlProp" Target="../ctrlProps/ctrlProp170.xml"/><Relationship Id="rId37" Type="http://schemas.openxmlformats.org/officeDocument/2006/relationships/ctrlProp" Target="../ctrlProps/ctrlProp175.xml"/><Relationship Id="rId40" Type="http://schemas.openxmlformats.org/officeDocument/2006/relationships/ctrlProp" Target="../ctrlProps/ctrlProp178.xml"/><Relationship Id="rId45" Type="http://schemas.openxmlformats.org/officeDocument/2006/relationships/ctrlProp" Target="../ctrlProps/ctrlProp183.xml"/><Relationship Id="rId5" Type="http://schemas.openxmlformats.org/officeDocument/2006/relationships/ctrlProp" Target="../ctrlProps/ctrlProp143.xml"/><Relationship Id="rId15" Type="http://schemas.openxmlformats.org/officeDocument/2006/relationships/ctrlProp" Target="../ctrlProps/ctrlProp153.xml"/><Relationship Id="rId23" Type="http://schemas.openxmlformats.org/officeDocument/2006/relationships/ctrlProp" Target="../ctrlProps/ctrlProp161.xml"/><Relationship Id="rId28" Type="http://schemas.openxmlformats.org/officeDocument/2006/relationships/ctrlProp" Target="../ctrlProps/ctrlProp166.xml"/><Relationship Id="rId36" Type="http://schemas.openxmlformats.org/officeDocument/2006/relationships/ctrlProp" Target="../ctrlProps/ctrlProp174.xml"/><Relationship Id="rId49" Type="http://schemas.openxmlformats.org/officeDocument/2006/relationships/ctrlProp" Target="../ctrlProps/ctrlProp187.xml"/><Relationship Id="rId10" Type="http://schemas.openxmlformats.org/officeDocument/2006/relationships/ctrlProp" Target="../ctrlProps/ctrlProp148.xml"/><Relationship Id="rId19" Type="http://schemas.openxmlformats.org/officeDocument/2006/relationships/ctrlProp" Target="../ctrlProps/ctrlProp157.xml"/><Relationship Id="rId31" Type="http://schemas.openxmlformats.org/officeDocument/2006/relationships/ctrlProp" Target="../ctrlProps/ctrlProp169.xml"/><Relationship Id="rId44" Type="http://schemas.openxmlformats.org/officeDocument/2006/relationships/ctrlProp" Target="../ctrlProps/ctrlProp182.xml"/><Relationship Id="rId4" Type="http://schemas.openxmlformats.org/officeDocument/2006/relationships/ctrlProp" Target="../ctrlProps/ctrlProp142.xml"/><Relationship Id="rId9" Type="http://schemas.openxmlformats.org/officeDocument/2006/relationships/ctrlProp" Target="../ctrlProps/ctrlProp147.xml"/><Relationship Id="rId14" Type="http://schemas.openxmlformats.org/officeDocument/2006/relationships/ctrlProp" Target="../ctrlProps/ctrlProp152.xml"/><Relationship Id="rId22" Type="http://schemas.openxmlformats.org/officeDocument/2006/relationships/ctrlProp" Target="../ctrlProps/ctrlProp160.xml"/><Relationship Id="rId27" Type="http://schemas.openxmlformats.org/officeDocument/2006/relationships/ctrlProp" Target="../ctrlProps/ctrlProp165.xml"/><Relationship Id="rId30" Type="http://schemas.openxmlformats.org/officeDocument/2006/relationships/ctrlProp" Target="../ctrlProps/ctrlProp168.xml"/><Relationship Id="rId35" Type="http://schemas.openxmlformats.org/officeDocument/2006/relationships/ctrlProp" Target="../ctrlProps/ctrlProp173.xml"/><Relationship Id="rId43" Type="http://schemas.openxmlformats.org/officeDocument/2006/relationships/ctrlProp" Target="../ctrlProps/ctrlProp181.xml"/><Relationship Id="rId48" Type="http://schemas.openxmlformats.org/officeDocument/2006/relationships/ctrlProp" Target="../ctrlProps/ctrlProp186.xml"/><Relationship Id="rId8" Type="http://schemas.openxmlformats.org/officeDocument/2006/relationships/ctrlProp" Target="../ctrlProps/ctrlProp146.xml"/><Relationship Id="rId51"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198.xml"/><Relationship Id="rId18" Type="http://schemas.openxmlformats.org/officeDocument/2006/relationships/ctrlProp" Target="../ctrlProps/ctrlProp203.xml"/><Relationship Id="rId26" Type="http://schemas.openxmlformats.org/officeDocument/2006/relationships/ctrlProp" Target="../ctrlProps/ctrlProp211.xml"/><Relationship Id="rId39" Type="http://schemas.openxmlformats.org/officeDocument/2006/relationships/ctrlProp" Target="../ctrlProps/ctrlProp224.xml"/><Relationship Id="rId3" Type="http://schemas.openxmlformats.org/officeDocument/2006/relationships/vmlDrawing" Target="../drawings/vmlDrawing10.vml"/><Relationship Id="rId21" Type="http://schemas.openxmlformats.org/officeDocument/2006/relationships/ctrlProp" Target="../ctrlProps/ctrlProp206.xml"/><Relationship Id="rId34" Type="http://schemas.openxmlformats.org/officeDocument/2006/relationships/ctrlProp" Target="../ctrlProps/ctrlProp219.xml"/><Relationship Id="rId42" Type="http://schemas.openxmlformats.org/officeDocument/2006/relationships/ctrlProp" Target="../ctrlProps/ctrlProp227.xml"/><Relationship Id="rId47" Type="http://schemas.openxmlformats.org/officeDocument/2006/relationships/ctrlProp" Target="../ctrlProps/ctrlProp232.xml"/><Relationship Id="rId50" Type="http://schemas.openxmlformats.org/officeDocument/2006/relationships/ctrlProp" Target="../ctrlProps/ctrlProp235.xml"/><Relationship Id="rId7" Type="http://schemas.openxmlformats.org/officeDocument/2006/relationships/ctrlProp" Target="../ctrlProps/ctrlProp192.xml"/><Relationship Id="rId12" Type="http://schemas.openxmlformats.org/officeDocument/2006/relationships/ctrlProp" Target="../ctrlProps/ctrlProp197.xml"/><Relationship Id="rId17" Type="http://schemas.openxmlformats.org/officeDocument/2006/relationships/ctrlProp" Target="../ctrlProps/ctrlProp202.xml"/><Relationship Id="rId25" Type="http://schemas.openxmlformats.org/officeDocument/2006/relationships/ctrlProp" Target="../ctrlProps/ctrlProp210.xml"/><Relationship Id="rId33" Type="http://schemas.openxmlformats.org/officeDocument/2006/relationships/ctrlProp" Target="../ctrlProps/ctrlProp218.xml"/><Relationship Id="rId38" Type="http://schemas.openxmlformats.org/officeDocument/2006/relationships/ctrlProp" Target="../ctrlProps/ctrlProp223.xml"/><Relationship Id="rId46" Type="http://schemas.openxmlformats.org/officeDocument/2006/relationships/ctrlProp" Target="../ctrlProps/ctrlProp231.xml"/><Relationship Id="rId2" Type="http://schemas.openxmlformats.org/officeDocument/2006/relationships/drawing" Target="../drawings/drawing6.xml"/><Relationship Id="rId16" Type="http://schemas.openxmlformats.org/officeDocument/2006/relationships/ctrlProp" Target="../ctrlProps/ctrlProp201.xml"/><Relationship Id="rId20" Type="http://schemas.openxmlformats.org/officeDocument/2006/relationships/ctrlProp" Target="../ctrlProps/ctrlProp205.xml"/><Relationship Id="rId29" Type="http://schemas.openxmlformats.org/officeDocument/2006/relationships/ctrlProp" Target="../ctrlProps/ctrlProp214.xml"/><Relationship Id="rId41" Type="http://schemas.openxmlformats.org/officeDocument/2006/relationships/ctrlProp" Target="../ctrlProps/ctrlProp226.xml"/><Relationship Id="rId1" Type="http://schemas.openxmlformats.org/officeDocument/2006/relationships/printerSettings" Target="../printerSettings/printerSettings12.bin"/><Relationship Id="rId6" Type="http://schemas.openxmlformats.org/officeDocument/2006/relationships/ctrlProp" Target="../ctrlProps/ctrlProp191.xml"/><Relationship Id="rId11" Type="http://schemas.openxmlformats.org/officeDocument/2006/relationships/ctrlProp" Target="../ctrlProps/ctrlProp196.xml"/><Relationship Id="rId24" Type="http://schemas.openxmlformats.org/officeDocument/2006/relationships/ctrlProp" Target="../ctrlProps/ctrlProp209.xml"/><Relationship Id="rId32" Type="http://schemas.openxmlformats.org/officeDocument/2006/relationships/ctrlProp" Target="../ctrlProps/ctrlProp217.xml"/><Relationship Id="rId37" Type="http://schemas.openxmlformats.org/officeDocument/2006/relationships/ctrlProp" Target="../ctrlProps/ctrlProp222.xml"/><Relationship Id="rId40" Type="http://schemas.openxmlformats.org/officeDocument/2006/relationships/ctrlProp" Target="../ctrlProps/ctrlProp225.xml"/><Relationship Id="rId45" Type="http://schemas.openxmlformats.org/officeDocument/2006/relationships/ctrlProp" Target="../ctrlProps/ctrlProp230.xml"/><Relationship Id="rId5" Type="http://schemas.openxmlformats.org/officeDocument/2006/relationships/ctrlProp" Target="../ctrlProps/ctrlProp190.xml"/><Relationship Id="rId15" Type="http://schemas.openxmlformats.org/officeDocument/2006/relationships/ctrlProp" Target="../ctrlProps/ctrlProp200.xml"/><Relationship Id="rId23" Type="http://schemas.openxmlformats.org/officeDocument/2006/relationships/ctrlProp" Target="../ctrlProps/ctrlProp208.xml"/><Relationship Id="rId28" Type="http://schemas.openxmlformats.org/officeDocument/2006/relationships/ctrlProp" Target="../ctrlProps/ctrlProp213.xml"/><Relationship Id="rId36" Type="http://schemas.openxmlformats.org/officeDocument/2006/relationships/ctrlProp" Target="../ctrlProps/ctrlProp221.xml"/><Relationship Id="rId49" Type="http://schemas.openxmlformats.org/officeDocument/2006/relationships/ctrlProp" Target="../ctrlProps/ctrlProp234.xml"/><Relationship Id="rId10" Type="http://schemas.openxmlformats.org/officeDocument/2006/relationships/ctrlProp" Target="../ctrlProps/ctrlProp195.xml"/><Relationship Id="rId19" Type="http://schemas.openxmlformats.org/officeDocument/2006/relationships/ctrlProp" Target="../ctrlProps/ctrlProp204.xml"/><Relationship Id="rId31" Type="http://schemas.openxmlformats.org/officeDocument/2006/relationships/ctrlProp" Target="../ctrlProps/ctrlProp216.xml"/><Relationship Id="rId44" Type="http://schemas.openxmlformats.org/officeDocument/2006/relationships/ctrlProp" Target="../ctrlProps/ctrlProp229.xml"/><Relationship Id="rId4" Type="http://schemas.openxmlformats.org/officeDocument/2006/relationships/ctrlProp" Target="../ctrlProps/ctrlProp189.xml"/><Relationship Id="rId9" Type="http://schemas.openxmlformats.org/officeDocument/2006/relationships/ctrlProp" Target="../ctrlProps/ctrlProp194.xml"/><Relationship Id="rId14" Type="http://schemas.openxmlformats.org/officeDocument/2006/relationships/ctrlProp" Target="../ctrlProps/ctrlProp199.xml"/><Relationship Id="rId22" Type="http://schemas.openxmlformats.org/officeDocument/2006/relationships/ctrlProp" Target="../ctrlProps/ctrlProp207.xml"/><Relationship Id="rId27" Type="http://schemas.openxmlformats.org/officeDocument/2006/relationships/ctrlProp" Target="../ctrlProps/ctrlProp212.xml"/><Relationship Id="rId30" Type="http://schemas.openxmlformats.org/officeDocument/2006/relationships/ctrlProp" Target="../ctrlProps/ctrlProp215.xml"/><Relationship Id="rId35" Type="http://schemas.openxmlformats.org/officeDocument/2006/relationships/ctrlProp" Target="../ctrlProps/ctrlProp220.xml"/><Relationship Id="rId43" Type="http://schemas.openxmlformats.org/officeDocument/2006/relationships/ctrlProp" Target="../ctrlProps/ctrlProp228.xml"/><Relationship Id="rId48" Type="http://schemas.openxmlformats.org/officeDocument/2006/relationships/ctrlProp" Target="../ctrlProps/ctrlProp233.xml"/><Relationship Id="rId8" Type="http://schemas.openxmlformats.org/officeDocument/2006/relationships/ctrlProp" Target="../ctrlProps/ctrlProp193.xml"/><Relationship Id="rId51"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hyperlink" Target="mailto:orders@sky-frame.ch?subject=Sky-Frame%20Bestellung:%20OOOO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2.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39" Type="http://schemas.openxmlformats.org/officeDocument/2006/relationships/ctrlProp" Target="../ctrlProps/ctrlProp83.xml"/><Relationship Id="rId3" Type="http://schemas.openxmlformats.org/officeDocument/2006/relationships/vmlDrawing" Target="../drawings/vmlDrawing4.vml"/><Relationship Id="rId21" Type="http://schemas.openxmlformats.org/officeDocument/2006/relationships/ctrlProp" Target="../ctrlProps/ctrlProp65.xml"/><Relationship Id="rId34" Type="http://schemas.openxmlformats.org/officeDocument/2006/relationships/ctrlProp" Target="../ctrlProps/ctrlProp78.xml"/><Relationship Id="rId42" Type="http://schemas.openxmlformats.org/officeDocument/2006/relationships/ctrlProp" Target="../ctrlProps/ctrlProp86.xml"/><Relationship Id="rId47" Type="http://schemas.openxmlformats.org/officeDocument/2006/relationships/ctrlProp" Target="../ctrlProps/ctrlProp91.xml"/><Relationship Id="rId50" Type="http://schemas.openxmlformats.org/officeDocument/2006/relationships/ctrlProp" Target="../ctrlProps/ctrlProp94.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trlProp" Target="../ctrlProps/ctrlProp82.xml"/><Relationship Id="rId46" Type="http://schemas.openxmlformats.org/officeDocument/2006/relationships/ctrlProp" Target="../ctrlProps/ctrlProp90.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41" Type="http://schemas.openxmlformats.org/officeDocument/2006/relationships/ctrlProp" Target="../ctrlProps/ctrlProp85.xml"/><Relationship Id="rId1" Type="http://schemas.openxmlformats.org/officeDocument/2006/relationships/printerSettings" Target="../printerSettings/printerSettings6.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40" Type="http://schemas.openxmlformats.org/officeDocument/2006/relationships/ctrlProp" Target="../ctrlProps/ctrlProp84.xml"/><Relationship Id="rId45" Type="http://schemas.openxmlformats.org/officeDocument/2006/relationships/ctrlProp" Target="../ctrlProps/ctrlProp89.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49" Type="http://schemas.openxmlformats.org/officeDocument/2006/relationships/ctrlProp" Target="../ctrlProps/ctrlProp93.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4" Type="http://schemas.openxmlformats.org/officeDocument/2006/relationships/ctrlProp" Target="../ctrlProps/ctrlProp88.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43" Type="http://schemas.openxmlformats.org/officeDocument/2006/relationships/ctrlProp" Target="../ctrlProps/ctrlProp87.xml"/><Relationship Id="rId48" Type="http://schemas.openxmlformats.org/officeDocument/2006/relationships/ctrlProp" Target="../ctrlProps/ctrlProp92.xml"/><Relationship Id="rId8" Type="http://schemas.openxmlformats.org/officeDocument/2006/relationships/ctrlProp" Target="../ctrlProps/ctrlProp52.xml"/><Relationship Id="rId5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104.xml"/><Relationship Id="rId18" Type="http://schemas.openxmlformats.org/officeDocument/2006/relationships/ctrlProp" Target="../ctrlProps/ctrlProp109.xml"/><Relationship Id="rId26" Type="http://schemas.openxmlformats.org/officeDocument/2006/relationships/ctrlProp" Target="../ctrlProps/ctrlProp117.xml"/><Relationship Id="rId39" Type="http://schemas.openxmlformats.org/officeDocument/2006/relationships/ctrlProp" Target="../ctrlProps/ctrlProp130.xml"/><Relationship Id="rId3" Type="http://schemas.openxmlformats.org/officeDocument/2006/relationships/vmlDrawing" Target="../drawings/vmlDrawing6.vml"/><Relationship Id="rId21" Type="http://schemas.openxmlformats.org/officeDocument/2006/relationships/ctrlProp" Target="../ctrlProps/ctrlProp112.xml"/><Relationship Id="rId34" Type="http://schemas.openxmlformats.org/officeDocument/2006/relationships/ctrlProp" Target="../ctrlProps/ctrlProp125.xml"/><Relationship Id="rId42" Type="http://schemas.openxmlformats.org/officeDocument/2006/relationships/ctrlProp" Target="../ctrlProps/ctrlProp133.xml"/><Relationship Id="rId47" Type="http://schemas.openxmlformats.org/officeDocument/2006/relationships/ctrlProp" Target="../ctrlProps/ctrlProp138.xml"/><Relationship Id="rId50" Type="http://schemas.openxmlformats.org/officeDocument/2006/relationships/ctrlProp" Target="../ctrlProps/ctrlProp141.xml"/><Relationship Id="rId7" Type="http://schemas.openxmlformats.org/officeDocument/2006/relationships/ctrlProp" Target="../ctrlProps/ctrlProp98.xml"/><Relationship Id="rId12" Type="http://schemas.openxmlformats.org/officeDocument/2006/relationships/ctrlProp" Target="../ctrlProps/ctrlProp103.xml"/><Relationship Id="rId17" Type="http://schemas.openxmlformats.org/officeDocument/2006/relationships/ctrlProp" Target="../ctrlProps/ctrlProp108.xml"/><Relationship Id="rId25" Type="http://schemas.openxmlformats.org/officeDocument/2006/relationships/ctrlProp" Target="../ctrlProps/ctrlProp116.xml"/><Relationship Id="rId33" Type="http://schemas.openxmlformats.org/officeDocument/2006/relationships/ctrlProp" Target="../ctrlProps/ctrlProp124.xml"/><Relationship Id="rId38" Type="http://schemas.openxmlformats.org/officeDocument/2006/relationships/ctrlProp" Target="../ctrlProps/ctrlProp129.xml"/><Relationship Id="rId46" Type="http://schemas.openxmlformats.org/officeDocument/2006/relationships/ctrlProp" Target="../ctrlProps/ctrlProp137.xml"/><Relationship Id="rId2" Type="http://schemas.openxmlformats.org/officeDocument/2006/relationships/drawing" Target="../drawings/drawing4.xml"/><Relationship Id="rId16" Type="http://schemas.openxmlformats.org/officeDocument/2006/relationships/ctrlProp" Target="../ctrlProps/ctrlProp107.xml"/><Relationship Id="rId20" Type="http://schemas.openxmlformats.org/officeDocument/2006/relationships/ctrlProp" Target="../ctrlProps/ctrlProp111.xml"/><Relationship Id="rId29" Type="http://schemas.openxmlformats.org/officeDocument/2006/relationships/ctrlProp" Target="../ctrlProps/ctrlProp120.xml"/><Relationship Id="rId41" Type="http://schemas.openxmlformats.org/officeDocument/2006/relationships/ctrlProp" Target="../ctrlProps/ctrlProp132.xml"/><Relationship Id="rId1" Type="http://schemas.openxmlformats.org/officeDocument/2006/relationships/printerSettings" Target="../printerSettings/printerSettings8.bin"/><Relationship Id="rId6" Type="http://schemas.openxmlformats.org/officeDocument/2006/relationships/ctrlProp" Target="../ctrlProps/ctrlProp97.xml"/><Relationship Id="rId11" Type="http://schemas.openxmlformats.org/officeDocument/2006/relationships/ctrlProp" Target="../ctrlProps/ctrlProp102.xml"/><Relationship Id="rId24" Type="http://schemas.openxmlformats.org/officeDocument/2006/relationships/ctrlProp" Target="../ctrlProps/ctrlProp115.xml"/><Relationship Id="rId32" Type="http://schemas.openxmlformats.org/officeDocument/2006/relationships/ctrlProp" Target="../ctrlProps/ctrlProp123.xml"/><Relationship Id="rId37" Type="http://schemas.openxmlformats.org/officeDocument/2006/relationships/ctrlProp" Target="../ctrlProps/ctrlProp128.xml"/><Relationship Id="rId40" Type="http://schemas.openxmlformats.org/officeDocument/2006/relationships/ctrlProp" Target="../ctrlProps/ctrlProp131.xml"/><Relationship Id="rId45" Type="http://schemas.openxmlformats.org/officeDocument/2006/relationships/ctrlProp" Target="../ctrlProps/ctrlProp136.xml"/><Relationship Id="rId5" Type="http://schemas.openxmlformats.org/officeDocument/2006/relationships/ctrlProp" Target="../ctrlProps/ctrlProp96.xml"/><Relationship Id="rId15" Type="http://schemas.openxmlformats.org/officeDocument/2006/relationships/ctrlProp" Target="../ctrlProps/ctrlProp106.xml"/><Relationship Id="rId23" Type="http://schemas.openxmlformats.org/officeDocument/2006/relationships/ctrlProp" Target="../ctrlProps/ctrlProp114.xml"/><Relationship Id="rId28" Type="http://schemas.openxmlformats.org/officeDocument/2006/relationships/ctrlProp" Target="../ctrlProps/ctrlProp119.xml"/><Relationship Id="rId36" Type="http://schemas.openxmlformats.org/officeDocument/2006/relationships/ctrlProp" Target="../ctrlProps/ctrlProp127.xml"/><Relationship Id="rId49" Type="http://schemas.openxmlformats.org/officeDocument/2006/relationships/ctrlProp" Target="../ctrlProps/ctrlProp140.xml"/><Relationship Id="rId10" Type="http://schemas.openxmlformats.org/officeDocument/2006/relationships/ctrlProp" Target="../ctrlProps/ctrlProp101.xml"/><Relationship Id="rId19" Type="http://schemas.openxmlformats.org/officeDocument/2006/relationships/ctrlProp" Target="../ctrlProps/ctrlProp110.xml"/><Relationship Id="rId31" Type="http://schemas.openxmlformats.org/officeDocument/2006/relationships/ctrlProp" Target="../ctrlProps/ctrlProp122.xml"/><Relationship Id="rId44" Type="http://schemas.openxmlformats.org/officeDocument/2006/relationships/ctrlProp" Target="../ctrlProps/ctrlProp135.xml"/><Relationship Id="rId4" Type="http://schemas.openxmlformats.org/officeDocument/2006/relationships/ctrlProp" Target="../ctrlProps/ctrlProp95.xml"/><Relationship Id="rId9" Type="http://schemas.openxmlformats.org/officeDocument/2006/relationships/ctrlProp" Target="../ctrlProps/ctrlProp100.xml"/><Relationship Id="rId14" Type="http://schemas.openxmlformats.org/officeDocument/2006/relationships/ctrlProp" Target="../ctrlProps/ctrlProp105.xml"/><Relationship Id="rId22" Type="http://schemas.openxmlformats.org/officeDocument/2006/relationships/ctrlProp" Target="../ctrlProps/ctrlProp113.xml"/><Relationship Id="rId27" Type="http://schemas.openxmlformats.org/officeDocument/2006/relationships/ctrlProp" Target="../ctrlProps/ctrlProp118.xml"/><Relationship Id="rId30" Type="http://schemas.openxmlformats.org/officeDocument/2006/relationships/ctrlProp" Target="../ctrlProps/ctrlProp121.xml"/><Relationship Id="rId35" Type="http://schemas.openxmlformats.org/officeDocument/2006/relationships/ctrlProp" Target="../ctrlProps/ctrlProp126.xml"/><Relationship Id="rId43" Type="http://schemas.openxmlformats.org/officeDocument/2006/relationships/ctrlProp" Target="../ctrlProps/ctrlProp134.xml"/><Relationship Id="rId48" Type="http://schemas.openxmlformats.org/officeDocument/2006/relationships/ctrlProp" Target="../ctrlProps/ctrlProp139.xml"/><Relationship Id="rId8" Type="http://schemas.openxmlformats.org/officeDocument/2006/relationships/ctrlProp" Target="../ctrlProps/ctrlProp99.xml"/><Relationship Id="rId5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2:H49"/>
  <sheetViews>
    <sheetView workbookViewId="0">
      <pane ySplit="3" topLeftCell="A4" activePane="bottomLeft" state="frozen"/>
      <selection pane="bottomLeft" activeCell="H40" sqref="H40"/>
    </sheetView>
  </sheetViews>
  <sheetFormatPr baseColWidth="10" defaultRowHeight="12.75" x14ac:dyDescent="0.2"/>
  <cols>
    <col min="1" max="2" width="11.42578125" style="1"/>
    <col min="3" max="3" width="48.28515625" style="1" customWidth="1"/>
    <col min="4" max="5" width="5.85546875" style="1" customWidth="1"/>
    <col min="6" max="6" width="6.140625" style="1" customWidth="1"/>
    <col min="7" max="7" width="11.42578125" style="1"/>
    <col min="8" max="8" width="41.5703125" style="1" customWidth="1"/>
    <col min="9" max="16384" width="11.42578125" style="1"/>
  </cols>
  <sheetData>
    <row r="2" spans="1:8" ht="13.5" thickBot="1" x14ac:dyDescent="0.25"/>
    <row r="3" spans="1:8" ht="66.75" thickTop="1" x14ac:dyDescent="0.2">
      <c r="A3" s="164" t="s">
        <v>524</v>
      </c>
      <c r="B3" s="165" t="s">
        <v>520</v>
      </c>
      <c r="C3" s="166" t="s">
        <v>521</v>
      </c>
      <c r="D3" s="167" t="s">
        <v>522</v>
      </c>
      <c r="E3" s="168" t="s">
        <v>534</v>
      </c>
      <c r="F3" s="169" t="s">
        <v>523</v>
      </c>
      <c r="G3" s="166" t="s">
        <v>520</v>
      </c>
      <c r="H3" s="170" t="s">
        <v>528</v>
      </c>
    </row>
    <row r="4" spans="1:8" x14ac:dyDescent="0.2">
      <c r="A4" s="171" t="s">
        <v>526</v>
      </c>
      <c r="B4" s="172">
        <v>42333</v>
      </c>
      <c r="C4" s="179" t="s">
        <v>527</v>
      </c>
      <c r="D4" s="173" t="s">
        <v>525</v>
      </c>
      <c r="E4" s="174"/>
      <c r="F4" s="175"/>
      <c r="G4" s="176">
        <v>42333</v>
      </c>
      <c r="H4" s="177" t="s">
        <v>529</v>
      </c>
    </row>
    <row r="5" spans="1:8" ht="25.5" x14ac:dyDescent="0.2">
      <c r="A5" s="171" t="s">
        <v>526</v>
      </c>
      <c r="B5" s="172">
        <v>42333</v>
      </c>
      <c r="C5" s="179" t="s">
        <v>530</v>
      </c>
      <c r="D5" s="173"/>
      <c r="E5" s="174"/>
      <c r="F5" s="175" t="s">
        <v>525</v>
      </c>
      <c r="G5" s="176">
        <v>42339</v>
      </c>
      <c r="H5" s="178"/>
    </row>
    <row r="6" spans="1:8" ht="25.5" x14ac:dyDescent="0.2">
      <c r="A6" s="171" t="s">
        <v>526</v>
      </c>
      <c r="B6" s="172">
        <v>42333</v>
      </c>
      <c r="C6" s="179" t="s">
        <v>531</v>
      </c>
      <c r="D6" s="173" t="s">
        <v>525</v>
      </c>
      <c r="E6" s="174"/>
      <c r="F6" s="175"/>
      <c r="G6" s="176">
        <v>42333</v>
      </c>
      <c r="H6" s="178" t="s">
        <v>532</v>
      </c>
    </row>
    <row r="7" spans="1:8" ht="38.25" x14ac:dyDescent="0.2">
      <c r="A7" s="171" t="s">
        <v>533</v>
      </c>
      <c r="B7" s="172">
        <v>42333</v>
      </c>
      <c r="C7" s="179" t="s">
        <v>535</v>
      </c>
      <c r="D7" s="173" t="s">
        <v>525</v>
      </c>
      <c r="E7" s="174"/>
      <c r="F7" s="175"/>
      <c r="G7" s="176"/>
      <c r="H7" s="178"/>
    </row>
    <row r="8" spans="1:8" x14ac:dyDescent="0.2">
      <c r="A8" s="171" t="s">
        <v>526</v>
      </c>
      <c r="B8" s="172">
        <v>42333</v>
      </c>
      <c r="C8" s="179" t="s">
        <v>536</v>
      </c>
      <c r="D8" s="173"/>
      <c r="E8" s="174"/>
      <c r="F8" s="175" t="s">
        <v>525</v>
      </c>
      <c r="G8" s="176">
        <v>42339</v>
      </c>
      <c r="H8" s="178"/>
    </row>
    <row r="9" spans="1:8" x14ac:dyDescent="0.2">
      <c r="A9" s="171" t="s">
        <v>526</v>
      </c>
      <c r="B9" s="172">
        <v>42333</v>
      </c>
      <c r="C9" s="179" t="s">
        <v>537</v>
      </c>
      <c r="D9" s="173" t="s">
        <v>525</v>
      </c>
      <c r="E9" s="174"/>
      <c r="F9" s="175"/>
      <c r="G9" s="176">
        <v>42333</v>
      </c>
      <c r="H9" s="178" t="s">
        <v>538</v>
      </c>
    </row>
    <row r="10" spans="1:8" ht="25.5" x14ac:dyDescent="0.2">
      <c r="A10" s="171" t="s">
        <v>526</v>
      </c>
      <c r="B10" s="172">
        <v>42333</v>
      </c>
      <c r="C10" s="179" t="s">
        <v>539</v>
      </c>
      <c r="D10" s="173" t="s">
        <v>525</v>
      </c>
      <c r="E10" s="174"/>
      <c r="F10" s="175"/>
      <c r="G10" s="176">
        <v>42333</v>
      </c>
      <c r="H10" s="178" t="s">
        <v>540</v>
      </c>
    </row>
    <row r="11" spans="1:8" ht="25.5" x14ac:dyDescent="0.2">
      <c r="A11" s="171" t="s">
        <v>533</v>
      </c>
      <c r="B11" s="172">
        <v>42333</v>
      </c>
      <c r="C11" s="179" t="s">
        <v>541</v>
      </c>
      <c r="D11" s="173"/>
      <c r="E11" s="174"/>
      <c r="F11" s="175" t="s">
        <v>525</v>
      </c>
      <c r="G11" s="176">
        <v>42340</v>
      </c>
      <c r="H11" s="178" t="s">
        <v>577</v>
      </c>
    </row>
    <row r="12" spans="1:8" x14ac:dyDescent="0.2">
      <c r="A12" s="171" t="s">
        <v>526</v>
      </c>
      <c r="B12" s="172">
        <v>42333</v>
      </c>
      <c r="C12" s="179" t="s">
        <v>542</v>
      </c>
      <c r="D12" s="173"/>
      <c r="E12" s="174"/>
      <c r="F12" s="175" t="s">
        <v>525</v>
      </c>
      <c r="G12" s="176">
        <v>42333</v>
      </c>
      <c r="H12" s="178"/>
    </row>
    <row r="13" spans="1:8" x14ac:dyDescent="0.2">
      <c r="A13" s="171" t="s">
        <v>526</v>
      </c>
      <c r="B13" s="172">
        <v>42333</v>
      </c>
      <c r="C13" s="179" t="s">
        <v>543</v>
      </c>
      <c r="D13" s="173" t="s">
        <v>525</v>
      </c>
      <c r="E13" s="174"/>
      <c r="F13" s="175"/>
      <c r="G13" s="176">
        <v>42333</v>
      </c>
      <c r="H13" s="178" t="s">
        <v>544</v>
      </c>
    </row>
    <row r="14" spans="1:8" x14ac:dyDescent="0.2">
      <c r="A14" s="171" t="s">
        <v>526</v>
      </c>
      <c r="B14" s="172">
        <v>42333</v>
      </c>
      <c r="C14" s="179" t="s">
        <v>545</v>
      </c>
      <c r="D14" s="173"/>
      <c r="E14" s="174"/>
      <c r="F14" s="175" t="s">
        <v>525</v>
      </c>
      <c r="G14" s="176">
        <v>42335</v>
      </c>
      <c r="H14" s="178"/>
    </row>
    <row r="15" spans="1:8" ht="25.5" x14ac:dyDescent="0.2">
      <c r="A15" s="171" t="s">
        <v>526</v>
      </c>
      <c r="B15" s="172">
        <v>42333</v>
      </c>
      <c r="C15" s="179" t="s">
        <v>546</v>
      </c>
      <c r="D15" s="173" t="s">
        <v>525</v>
      </c>
      <c r="E15" s="174"/>
      <c r="F15" s="175"/>
      <c r="G15" s="176">
        <v>42333</v>
      </c>
      <c r="H15" s="178" t="s">
        <v>547</v>
      </c>
    </row>
    <row r="16" spans="1:8" x14ac:dyDescent="0.2">
      <c r="A16" s="171" t="s">
        <v>561</v>
      </c>
      <c r="B16" s="172">
        <v>42333</v>
      </c>
      <c r="C16" s="179" t="s">
        <v>548</v>
      </c>
      <c r="D16" s="173"/>
      <c r="E16" s="174"/>
      <c r="F16" s="175" t="s">
        <v>525</v>
      </c>
      <c r="G16" s="176">
        <v>42339</v>
      </c>
      <c r="H16" s="178" t="s">
        <v>571</v>
      </c>
    </row>
    <row r="17" spans="1:8" ht="25.5" x14ac:dyDescent="0.2">
      <c r="A17" s="171" t="s">
        <v>526</v>
      </c>
      <c r="B17" s="172">
        <v>42333</v>
      </c>
      <c r="C17" s="179" t="s">
        <v>549</v>
      </c>
      <c r="D17" s="173"/>
      <c r="E17" s="174"/>
      <c r="F17" s="175" t="s">
        <v>525</v>
      </c>
      <c r="G17" s="176">
        <v>42333</v>
      </c>
      <c r="H17" s="178"/>
    </row>
    <row r="18" spans="1:8" x14ac:dyDescent="0.2">
      <c r="A18" s="171" t="s">
        <v>557</v>
      </c>
      <c r="B18" s="172">
        <v>42333</v>
      </c>
      <c r="C18" s="179" t="s">
        <v>550</v>
      </c>
      <c r="D18" s="173"/>
      <c r="E18" s="174"/>
      <c r="F18" s="175" t="s">
        <v>525</v>
      </c>
      <c r="G18" s="176">
        <v>42333</v>
      </c>
      <c r="H18" s="178"/>
    </row>
    <row r="19" spans="1:8" x14ac:dyDescent="0.2">
      <c r="A19" s="171" t="s">
        <v>526</v>
      </c>
      <c r="B19" s="172">
        <v>42333</v>
      </c>
      <c r="C19" s="179" t="s">
        <v>551</v>
      </c>
      <c r="D19" s="173"/>
      <c r="E19" s="174"/>
      <c r="F19" s="175" t="s">
        <v>525</v>
      </c>
      <c r="G19" s="176">
        <v>42333</v>
      </c>
      <c r="H19" s="178"/>
    </row>
    <row r="20" spans="1:8" ht="25.5" x14ac:dyDescent="0.2">
      <c r="A20" s="171" t="s">
        <v>552</v>
      </c>
      <c r="B20" s="172">
        <v>42333</v>
      </c>
      <c r="C20" s="179" t="s">
        <v>553</v>
      </c>
      <c r="D20" s="173"/>
      <c r="E20" s="174"/>
      <c r="F20" s="175" t="s">
        <v>525</v>
      </c>
      <c r="G20" s="176">
        <v>42338</v>
      </c>
      <c r="H20" s="178"/>
    </row>
    <row r="21" spans="1:8" ht="25.5" x14ac:dyDescent="0.2">
      <c r="A21" s="171" t="s">
        <v>554</v>
      </c>
      <c r="B21" s="172">
        <v>42333</v>
      </c>
      <c r="C21" s="179" t="s">
        <v>555</v>
      </c>
      <c r="D21" s="173"/>
      <c r="E21" s="174"/>
      <c r="F21" s="175" t="s">
        <v>525</v>
      </c>
      <c r="G21" s="176">
        <v>42338</v>
      </c>
      <c r="H21" s="178"/>
    </row>
    <row r="22" spans="1:8" ht="25.5" x14ac:dyDescent="0.2">
      <c r="A22" s="171" t="s">
        <v>554</v>
      </c>
      <c r="B22" s="172">
        <v>42333</v>
      </c>
      <c r="C22" s="179" t="s">
        <v>556</v>
      </c>
      <c r="D22" s="173"/>
      <c r="E22" s="174"/>
      <c r="F22" s="175" t="s">
        <v>525</v>
      </c>
      <c r="G22" s="176">
        <v>42338</v>
      </c>
      <c r="H22" s="178"/>
    </row>
    <row r="23" spans="1:8" x14ac:dyDescent="0.2">
      <c r="A23" s="171" t="s">
        <v>554</v>
      </c>
      <c r="B23" s="172">
        <v>42333</v>
      </c>
      <c r="C23" s="179" t="s">
        <v>558</v>
      </c>
      <c r="D23" s="173"/>
      <c r="E23" s="174"/>
      <c r="F23" s="175" t="s">
        <v>525</v>
      </c>
      <c r="G23" s="176">
        <v>42333</v>
      </c>
      <c r="H23" s="178"/>
    </row>
    <row r="24" spans="1:8" ht="25.5" x14ac:dyDescent="0.2">
      <c r="A24" s="171" t="s">
        <v>554</v>
      </c>
      <c r="B24" s="172">
        <v>42333</v>
      </c>
      <c r="C24" s="179" t="s">
        <v>559</v>
      </c>
      <c r="D24" s="173"/>
      <c r="E24" s="174"/>
      <c r="F24" s="175" t="s">
        <v>525</v>
      </c>
      <c r="G24" s="176">
        <v>42333</v>
      </c>
      <c r="H24" s="178"/>
    </row>
    <row r="25" spans="1:8" ht="25.5" x14ac:dyDescent="0.2">
      <c r="A25" s="171" t="s">
        <v>554</v>
      </c>
      <c r="B25" s="172">
        <v>42333</v>
      </c>
      <c r="C25" s="179" t="s">
        <v>560</v>
      </c>
      <c r="D25" s="173"/>
      <c r="E25" s="174"/>
      <c r="F25" s="175" t="s">
        <v>525</v>
      </c>
      <c r="G25" s="176">
        <v>42335</v>
      </c>
      <c r="H25" s="178"/>
    </row>
    <row r="26" spans="1:8" ht="25.5" x14ac:dyDescent="0.2">
      <c r="A26" s="171" t="s">
        <v>562</v>
      </c>
      <c r="B26" s="172">
        <v>42338</v>
      </c>
      <c r="C26" s="179" t="s">
        <v>563</v>
      </c>
      <c r="D26" s="173"/>
      <c r="E26" s="174"/>
      <c r="F26" s="175" t="s">
        <v>525</v>
      </c>
      <c r="G26" s="176">
        <v>42339</v>
      </c>
      <c r="H26" s="178" t="s">
        <v>564</v>
      </c>
    </row>
    <row r="27" spans="1:8" ht="25.5" x14ac:dyDescent="0.2">
      <c r="A27" s="171" t="s">
        <v>562</v>
      </c>
      <c r="B27" s="172">
        <v>42338</v>
      </c>
      <c r="C27" s="179" t="s">
        <v>565</v>
      </c>
      <c r="D27" s="173"/>
      <c r="E27" s="174"/>
      <c r="F27" s="175" t="s">
        <v>525</v>
      </c>
      <c r="G27" s="176">
        <v>42339</v>
      </c>
      <c r="H27" s="178" t="s">
        <v>564</v>
      </c>
    </row>
    <row r="28" spans="1:8" x14ac:dyDescent="0.2">
      <c r="A28" s="171" t="s">
        <v>562</v>
      </c>
      <c r="B28" s="172">
        <v>42338</v>
      </c>
      <c r="C28" s="179" t="s">
        <v>566</v>
      </c>
      <c r="D28" s="173"/>
      <c r="E28" s="174"/>
      <c r="F28" s="175" t="s">
        <v>525</v>
      </c>
      <c r="G28" s="176">
        <v>42340</v>
      </c>
      <c r="H28" s="178"/>
    </row>
    <row r="29" spans="1:8" ht="25.5" x14ac:dyDescent="0.2">
      <c r="A29" s="171" t="s">
        <v>562</v>
      </c>
      <c r="B29" s="172">
        <v>42340</v>
      </c>
      <c r="C29" s="179" t="s">
        <v>573</v>
      </c>
      <c r="D29" s="173"/>
      <c r="E29" s="174"/>
      <c r="F29" s="175" t="s">
        <v>525</v>
      </c>
      <c r="G29" s="176">
        <v>42340</v>
      </c>
      <c r="H29" s="178" t="s">
        <v>574</v>
      </c>
    </row>
    <row r="30" spans="1:8" x14ac:dyDescent="0.2">
      <c r="A30" s="171" t="s">
        <v>583</v>
      </c>
      <c r="B30" s="172">
        <v>42341</v>
      </c>
      <c r="C30" s="179" t="s">
        <v>584</v>
      </c>
      <c r="D30" s="173"/>
      <c r="E30" s="174"/>
      <c r="F30" s="175" t="s">
        <v>525</v>
      </c>
      <c r="G30" s="176">
        <v>42341</v>
      </c>
      <c r="H30" s="178" t="s">
        <v>585</v>
      </c>
    </row>
    <row r="31" spans="1:8" x14ac:dyDescent="0.2">
      <c r="A31" s="171" t="s">
        <v>583</v>
      </c>
      <c r="B31" s="172">
        <v>42341</v>
      </c>
      <c r="C31" s="179" t="s">
        <v>614</v>
      </c>
      <c r="D31" s="173"/>
      <c r="E31" s="174"/>
      <c r="F31" s="175" t="s">
        <v>525</v>
      </c>
      <c r="G31" s="176">
        <v>42341</v>
      </c>
      <c r="H31" s="178"/>
    </row>
    <row r="32" spans="1:8" ht="38.25" x14ac:dyDescent="0.2">
      <c r="A32" s="171" t="s">
        <v>583</v>
      </c>
      <c r="B32" s="172">
        <v>42341</v>
      </c>
      <c r="C32" s="179" t="s">
        <v>615</v>
      </c>
      <c r="D32" s="173"/>
      <c r="E32" s="174"/>
      <c r="F32" s="175" t="s">
        <v>525</v>
      </c>
      <c r="G32" s="176">
        <v>42345</v>
      </c>
      <c r="H32" s="178"/>
    </row>
    <row r="33" spans="1:8" x14ac:dyDescent="0.2">
      <c r="A33" s="171" t="s">
        <v>616</v>
      </c>
      <c r="B33" s="172">
        <v>42341</v>
      </c>
      <c r="C33" s="179" t="s">
        <v>617</v>
      </c>
      <c r="D33" s="173"/>
      <c r="E33" s="174"/>
      <c r="F33" s="175" t="s">
        <v>525</v>
      </c>
      <c r="G33" s="176">
        <v>42345</v>
      </c>
      <c r="H33" s="178" t="s">
        <v>618</v>
      </c>
    </row>
    <row r="34" spans="1:8" ht="25.5" x14ac:dyDescent="0.2">
      <c r="A34" s="171" t="s">
        <v>619</v>
      </c>
      <c r="B34" s="172">
        <v>42341</v>
      </c>
      <c r="C34" s="179" t="s">
        <v>620</v>
      </c>
      <c r="D34" s="173"/>
      <c r="E34" s="174"/>
      <c r="F34" s="175" t="s">
        <v>525</v>
      </c>
      <c r="G34" s="176">
        <v>42345</v>
      </c>
      <c r="H34" s="178"/>
    </row>
    <row r="35" spans="1:8" ht="25.5" x14ac:dyDescent="0.2">
      <c r="A35" s="171" t="s">
        <v>619</v>
      </c>
      <c r="B35" s="172">
        <v>42345</v>
      </c>
      <c r="C35" s="179" t="s">
        <v>621</v>
      </c>
      <c r="D35" s="173"/>
      <c r="E35" s="174"/>
      <c r="F35" s="175"/>
      <c r="G35" s="176"/>
      <c r="H35" s="178"/>
    </row>
    <row r="36" spans="1:8" x14ac:dyDescent="0.2">
      <c r="A36" s="171" t="s">
        <v>619</v>
      </c>
      <c r="B36" s="172">
        <v>42345</v>
      </c>
      <c r="C36" s="1" t="s">
        <v>622</v>
      </c>
      <c r="D36" s="173"/>
      <c r="E36" s="174"/>
      <c r="F36" s="175"/>
      <c r="G36" s="176"/>
      <c r="H36" s="178"/>
    </row>
    <row r="37" spans="1:8" x14ac:dyDescent="0.2">
      <c r="A37" s="171" t="s">
        <v>619</v>
      </c>
      <c r="B37" s="172">
        <v>42345</v>
      </c>
      <c r="C37" s="179" t="s">
        <v>623</v>
      </c>
      <c r="D37" s="173"/>
      <c r="E37" s="174"/>
      <c r="F37" s="175"/>
      <c r="G37" s="176"/>
      <c r="H37" s="178"/>
    </row>
    <row r="38" spans="1:8" ht="25.5" x14ac:dyDescent="0.2">
      <c r="A38" s="171" t="s">
        <v>619</v>
      </c>
      <c r="B38" s="172">
        <v>42345</v>
      </c>
      <c r="C38" s="179" t="s">
        <v>628</v>
      </c>
      <c r="D38" s="173"/>
      <c r="E38" s="174"/>
      <c r="F38" s="175"/>
      <c r="G38" s="176"/>
      <c r="H38" s="178"/>
    </row>
    <row r="39" spans="1:8" ht="25.5" x14ac:dyDescent="0.2">
      <c r="A39" s="171" t="s">
        <v>624</v>
      </c>
      <c r="B39" s="172">
        <v>42345</v>
      </c>
      <c r="C39" s="179" t="s">
        <v>625</v>
      </c>
      <c r="D39" s="173" t="s">
        <v>525</v>
      </c>
      <c r="E39" s="174"/>
      <c r="F39" s="175"/>
      <c r="G39" s="176"/>
      <c r="H39" s="178" t="s">
        <v>684</v>
      </c>
    </row>
    <row r="40" spans="1:8" x14ac:dyDescent="0.2">
      <c r="A40" s="171" t="s">
        <v>619</v>
      </c>
      <c r="B40" s="172">
        <v>42345</v>
      </c>
      <c r="C40" s="179" t="s">
        <v>626</v>
      </c>
      <c r="D40" s="173"/>
      <c r="E40" s="174"/>
      <c r="F40" s="175" t="s">
        <v>525</v>
      </c>
      <c r="G40" s="176">
        <v>42349</v>
      </c>
      <c r="H40" s="178" t="s">
        <v>627</v>
      </c>
    </row>
    <row r="41" spans="1:8" x14ac:dyDescent="0.2">
      <c r="A41" s="171"/>
      <c r="B41" s="172"/>
      <c r="C41" s="179"/>
      <c r="D41" s="173"/>
      <c r="E41" s="174"/>
      <c r="F41" s="175"/>
      <c r="G41" s="176"/>
      <c r="H41" s="178"/>
    </row>
    <row r="42" spans="1:8" x14ac:dyDescent="0.2">
      <c r="A42" s="171"/>
      <c r="B42" s="172"/>
      <c r="C42" s="179"/>
      <c r="D42" s="173"/>
      <c r="E42" s="174"/>
      <c r="F42" s="175"/>
      <c r="G42" s="176"/>
      <c r="H42" s="178"/>
    </row>
    <row r="43" spans="1:8" x14ac:dyDescent="0.2">
      <c r="A43" s="171"/>
      <c r="B43" s="172"/>
      <c r="C43" s="179"/>
      <c r="D43" s="173"/>
      <c r="E43" s="174"/>
      <c r="F43" s="175"/>
      <c r="G43" s="176"/>
      <c r="H43" s="178"/>
    </row>
    <row r="44" spans="1:8" x14ac:dyDescent="0.2">
      <c r="A44" s="171"/>
      <c r="B44" s="172"/>
      <c r="C44" s="179"/>
      <c r="D44" s="173"/>
      <c r="E44" s="174"/>
      <c r="F44" s="175"/>
      <c r="G44" s="176"/>
      <c r="H44" s="178"/>
    </row>
    <row r="45" spans="1:8" x14ac:dyDescent="0.2">
      <c r="A45" s="171"/>
      <c r="B45" s="172"/>
      <c r="C45" s="179"/>
      <c r="D45" s="173"/>
      <c r="E45" s="174"/>
      <c r="F45" s="175"/>
      <c r="G45" s="176"/>
      <c r="H45" s="178"/>
    </row>
    <row r="46" spans="1:8" x14ac:dyDescent="0.2">
      <c r="A46" s="171"/>
      <c r="B46" s="172"/>
      <c r="C46" s="179"/>
      <c r="D46" s="173"/>
      <c r="E46" s="174"/>
      <c r="F46" s="175"/>
      <c r="G46" s="176"/>
      <c r="H46" s="178"/>
    </row>
    <row r="47" spans="1:8" x14ac:dyDescent="0.2">
      <c r="A47" s="171"/>
      <c r="B47" s="172"/>
      <c r="C47" s="179"/>
      <c r="D47" s="173"/>
      <c r="E47" s="174"/>
      <c r="F47" s="175"/>
      <c r="G47" s="176"/>
      <c r="H47" s="178"/>
    </row>
    <row r="48" spans="1:8" x14ac:dyDescent="0.2">
      <c r="A48" s="171"/>
      <c r="B48" s="172"/>
      <c r="C48" s="179"/>
      <c r="D48" s="173"/>
      <c r="E48" s="174"/>
      <c r="F48" s="175"/>
      <c r="G48" s="176"/>
      <c r="H48" s="178"/>
    </row>
    <row r="49" spans="1:8" x14ac:dyDescent="0.2">
      <c r="A49" s="171"/>
      <c r="B49" s="172"/>
      <c r="C49" s="179"/>
      <c r="D49" s="173"/>
      <c r="E49" s="174"/>
      <c r="F49" s="175"/>
      <c r="G49" s="176"/>
      <c r="H49" s="178"/>
    </row>
  </sheetData>
  <conditionalFormatting sqref="A4:H30 A41:H49">
    <cfRule type="expression" dxfId="1593" priority="7">
      <formula>$E4="x"</formula>
    </cfRule>
    <cfRule type="expression" dxfId="1592" priority="8">
      <formula>$D4="x"</formula>
    </cfRule>
    <cfRule type="expression" dxfId="1591" priority="9">
      <formula>$F4="x"</formula>
    </cfRule>
  </conditionalFormatting>
  <conditionalFormatting sqref="A38:H40 A31:H35 A36:B37 D36:H37">
    <cfRule type="expression" dxfId="1590" priority="1">
      <formula>$E31="x"</formula>
    </cfRule>
    <cfRule type="expression" dxfId="1589" priority="2">
      <formula>$D31="x"</formula>
    </cfRule>
    <cfRule type="expression" dxfId="1588" priority="3">
      <formula>$F31="x"</formula>
    </cfRule>
  </conditionalFormatting>
  <conditionalFormatting sqref="C37">
    <cfRule type="expression" dxfId="1587" priority="4">
      <formula>$E36="x"</formula>
    </cfRule>
    <cfRule type="expression" dxfId="1586" priority="5">
      <formula>$D36="x"</formula>
    </cfRule>
    <cfRule type="expression" dxfId="1585" priority="6">
      <formula>$F36="x"</formula>
    </cfRule>
  </conditionalFormatting>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888B-0AFC-482A-A37C-1C18D71090B4}">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5" width="11.42578125" style="141"/>
    <col min="56" max="56" width="5.5703125" style="141" customWidth="1"/>
    <col min="57" max="57" width="5" style="141" customWidth="1"/>
    <col min="58" max="58" width="1.85546875" style="141" customWidth="1"/>
    <col min="59" max="59" width="5.7109375" style="141" customWidth="1"/>
    <col min="60" max="60" width="6.28515625" style="141" customWidth="1"/>
    <col min="61" max="61" width="5.85546875" style="141" customWidth="1"/>
    <col min="62" max="64" width="0" style="141" hidden="1" customWidth="1"/>
    <col min="65" max="16384" width="11.42578125" style="141"/>
  </cols>
  <sheetData>
    <row r="1" spans="1:64" ht="13.5" thickBot="1" x14ac:dyDescent="0.25">
      <c r="A1" s="159" t="s">
        <v>519</v>
      </c>
      <c r="C1" s="60"/>
      <c r="AW1" s="160"/>
    </row>
    <row r="2" spans="1:64" ht="13.5" thickTop="1" x14ac:dyDescent="0.2">
      <c r="B2" s="203">
        <v>4</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113"/>
      <c r="AW2" s="414"/>
      <c r="AX2" s="240"/>
      <c r="AY2" s="240"/>
      <c r="AZ2" s="240"/>
      <c r="BA2" s="240"/>
      <c r="BB2" s="363" t="str">
        <f>CONCATENATE(ROUND(SUM(I46:K49)*Z42/1000000,2)*AJ6,"m²")</f>
        <v>0m²</v>
      </c>
      <c r="BD2" s="239"/>
      <c r="BE2" s="240"/>
      <c r="BF2" s="240"/>
      <c r="BG2" s="240"/>
      <c r="BH2" s="240"/>
      <c r="BI2" s="241"/>
    </row>
    <row r="3" spans="1:64" ht="36.75" customHeight="1" x14ac:dyDescent="0.3">
      <c r="B3" s="202"/>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142"/>
      <c r="AR3" s="83"/>
      <c r="AS3" s="83"/>
      <c r="AT3" s="143" t="s">
        <v>772</v>
      </c>
      <c r="AU3" s="115"/>
      <c r="AW3" s="242"/>
      <c r="AX3" s="243" t="str">
        <f>'Sprachen &amp; Rückgabewerte(4)'!$H$2</f>
        <v>Sprache:</v>
      </c>
      <c r="AY3" s="60"/>
      <c r="AZ3" s="60"/>
      <c r="BA3" s="60"/>
      <c r="BB3" s="379" t="str">
        <f>IF(AJ6&gt;1,CONCATENATE(AH6," ",AJ6),"")</f>
        <v/>
      </c>
      <c r="BD3" s="242"/>
      <c r="BE3" s="411" t="str">
        <f>'Sprachen &amp; Rückgabewerte(4)'!H183</f>
        <v>Inch-Rechner</v>
      </c>
      <c r="BF3" s="411"/>
      <c r="BG3" s="60"/>
      <c r="BH3" s="60"/>
      <c r="BI3" s="244"/>
    </row>
    <row r="4" spans="1:64" ht="19.5" customHeight="1" x14ac:dyDescent="0.2">
      <c r="B4" s="11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113"/>
      <c r="AW4" s="242"/>
      <c r="AX4" s="60"/>
      <c r="AY4" s="60"/>
      <c r="AZ4" s="60"/>
      <c r="BA4" s="60"/>
      <c r="BB4" s="244"/>
      <c r="BD4" s="242"/>
      <c r="BE4" s="415" t="str">
        <f>'Sprachen &amp; Rückgabewerte(4)'!H184</f>
        <v>Fuss:</v>
      </c>
      <c r="BF4" s="156"/>
      <c r="BG4" s="415" t="str">
        <f>'Sprachen &amp; Rückgabewerte(4)'!H185</f>
        <v>Zoll:</v>
      </c>
      <c r="BH4" s="60"/>
      <c r="BI4" s="244"/>
    </row>
    <row r="5" spans="1:64" x14ac:dyDescent="0.2">
      <c r="B5" s="59"/>
      <c r="C5" s="126"/>
      <c r="D5" s="127"/>
      <c r="E5" s="128" t="str">
        <f>'Sprachen &amp; Rückgabewerte(4)'!H4</f>
        <v>BESTELLUNG</v>
      </c>
      <c r="F5" s="127"/>
      <c r="G5" s="127"/>
      <c r="H5" s="127"/>
      <c r="I5" s="127"/>
      <c r="J5" s="127"/>
      <c r="K5" s="127"/>
      <c r="L5" s="127"/>
      <c r="M5" s="127"/>
      <c r="N5" s="127"/>
      <c r="O5" s="127"/>
      <c r="P5" s="127"/>
      <c r="Q5" s="127"/>
      <c r="R5" s="129"/>
      <c r="S5" s="696" t="str">
        <f>'Sprachen &amp; Rückgabewerte(4)'!$H$130</f>
        <v>Vertriebspartner:</v>
      </c>
      <c r="T5" s="697"/>
      <c r="U5" s="697"/>
      <c r="V5" s="697"/>
      <c r="W5" s="697"/>
      <c r="X5" s="698"/>
      <c r="Y5" s="661"/>
      <c r="Z5" s="662"/>
      <c r="AA5" s="662"/>
      <c r="AB5" s="662"/>
      <c r="AC5" s="662"/>
      <c r="AD5" s="662"/>
      <c r="AE5" s="662"/>
      <c r="AF5" s="663"/>
      <c r="AG5" s="144"/>
      <c r="AH5" s="130" t="str">
        <f>'Sprachen &amp; Rückgabewerte(4)'!H55</f>
        <v>Pos:</v>
      </c>
      <c r="AI5" s="145"/>
      <c r="AJ5" s="705"/>
      <c r="AK5" s="706"/>
      <c r="AL5" s="707"/>
      <c r="AM5" s="144"/>
      <c r="AN5" s="130" t="str">
        <f>'Sprachen &amp; Rückgabewerte(4)'!$H$10</f>
        <v>2-gleisig</v>
      </c>
      <c r="AO5" s="145"/>
      <c r="AP5" s="145"/>
      <c r="AQ5" s="145"/>
      <c r="AR5" s="145"/>
      <c r="AS5" s="145"/>
      <c r="AT5" s="331"/>
      <c r="AU5" s="114"/>
      <c r="AW5" s="242"/>
      <c r="AX5" s="60"/>
      <c r="AY5" s="60"/>
      <c r="AZ5" s="60"/>
      <c r="BA5" s="60"/>
      <c r="BB5" s="244"/>
      <c r="BD5" s="242"/>
      <c r="BE5" s="548"/>
      <c r="BF5" s="550" t="str">
        <f>"'"</f>
        <v>'</v>
      </c>
      <c r="BG5" s="551"/>
      <c r="BH5" s="412"/>
      <c r="BI5" s="244"/>
      <c r="BJ5" s="141">
        <f>BE5*304.8</f>
        <v>0</v>
      </c>
      <c r="BK5" s="141">
        <f>BG5*25.4</f>
        <v>0</v>
      </c>
      <c r="BL5" s="141">
        <f>IF(AND(BH5="",BH6=""),0,25.4*BH5/BH6)</f>
        <v>0</v>
      </c>
    </row>
    <row r="6" spans="1:64" x14ac:dyDescent="0.2">
      <c r="B6" s="59"/>
      <c r="C6" s="131"/>
      <c r="D6" s="132"/>
      <c r="E6" s="66"/>
      <c r="F6" s="132" t="str">
        <f>'Sprachen &amp; Rückgabewerte(4)'!$H$5</f>
        <v>Gemäss Zeichnung Nr.:</v>
      </c>
      <c r="G6" s="132"/>
      <c r="H6" s="132"/>
      <c r="I6" s="132"/>
      <c r="J6" s="132"/>
      <c r="K6" s="132"/>
      <c r="L6" s="146"/>
      <c r="M6" s="699"/>
      <c r="N6" s="700"/>
      <c r="O6" s="700"/>
      <c r="P6" s="700"/>
      <c r="Q6" s="701"/>
      <c r="R6" s="133"/>
      <c r="S6" s="134" t="str">
        <f>'Sprachen &amp; Rückgabewerte(4)'!$H$7</f>
        <v xml:space="preserve">Objekt: </v>
      </c>
      <c r="T6" s="132"/>
      <c r="U6" s="132"/>
      <c r="V6" s="132"/>
      <c r="W6" s="132"/>
      <c r="X6" s="90"/>
      <c r="Y6" s="711"/>
      <c r="Z6" s="712"/>
      <c r="AA6" s="712"/>
      <c r="AB6" s="712"/>
      <c r="AC6" s="712"/>
      <c r="AD6" s="712"/>
      <c r="AE6" s="712"/>
      <c r="AF6" s="713"/>
      <c r="AG6" s="133"/>
      <c r="AH6" s="134" t="str">
        <f>'Sprachen &amp; Rückgabewerte(4)'!H56</f>
        <v>Stück:</v>
      </c>
      <c r="AI6" s="132"/>
      <c r="AJ6" s="702"/>
      <c r="AK6" s="703"/>
      <c r="AL6" s="704"/>
      <c r="AM6" s="116"/>
      <c r="AN6" s="134" t="str">
        <f>'Sprachen &amp; Rückgabewerte(4)'!$H$11</f>
        <v>3-gleisig</v>
      </c>
      <c r="AO6" s="132"/>
      <c r="AP6" s="132"/>
      <c r="AQ6" s="132"/>
      <c r="AR6" s="132"/>
      <c r="AS6" s="132"/>
      <c r="AT6" s="133"/>
      <c r="AU6" s="114"/>
      <c r="AW6" s="242"/>
      <c r="AX6" s="60"/>
      <c r="AY6" s="60"/>
      <c r="AZ6" s="60"/>
      <c r="BA6" s="60"/>
      <c r="BB6" s="244"/>
      <c r="BD6" s="242"/>
      <c r="BE6" s="549"/>
      <c r="BF6" s="550"/>
      <c r="BG6" s="552"/>
      <c r="BH6" s="413"/>
      <c r="BI6" s="244"/>
    </row>
    <row r="7" spans="1:64" ht="12" customHeight="1" x14ac:dyDescent="0.2">
      <c r="B7" s="59"/>
      <c r="C7" s="131"/>
      <c r="D7" s="132"/>
      <c r="E7" s="66"/>
      <c r="F7" s="132" t="str">
        <f>'Sprachen &amp; Rückgabewerte(4)'!$H$6</f>
        <v>Gemäss Skizze: (Ansicht von Aussen)</v>
      </c>
      <c r="G7" s="132"/>
      <c r="H7" s="132"/>
      <c r="I7" s="132"/>
      <c r="J7" s="132"/>
      <c r="K7" s="132"/>
      <c r="L7" s="132"/>
      <c r="M7" s="132"/>
      <c r="N7" s="132"/>
      <c r="O7" s="132"/>
      <c r="P7" s="132"/>
      <c r="Q7" s="132"/>
      <c r="R7" s="133"/>
      <c r="S7" s="134" t="str">
        <f>'Sprachen &amp; Rückgabewerte(4)'!$H$8</f>
        <v>Bestelldatum:</v>
      </c>
      <c r="T7" s="132"/>
      <c r="U7" s="132"/>
      <c r="V7" s="132"/>
      <c r="W7" s="132"/>
      <c r="X7" s="90"/>
      <c r="Y7" s="708"/>
      <c r="Z7" s="709"/>
      <c r="AA7" s="709"/>
      <c r="AB7" s="709"/>
      <c r="AC7" s="709"/>
      <c r="AD7" s="709"/>
      <c r="AE7" s="709"/>
      <c r="AF7" s="710"/>
      <c r="AG7" s="147"/>
      <c r="AH7" s="134" t="str">
        <f>'Sprachen &amp; Rückgabewerte(4)'!H57</f>
        <v>Seite:</v>
      </c>
      <c r="AI7" s="148"/>
      <c r="AJ7" s="705"/>
      <c r="AK7" s="706"/>
      <c r="AL7" s="707"/>
      <c r="AM7" s="116"/>
      <c r="AN7" s="327" t="str">
        <f>IF('Sprachen &amp; Rückgabewerte(4)'!I11=TRUE,'Sprachen &amp; Rückgabewerte(4)'!H160,"")</f>
        <v/>
      </c>
      <c r="AO7" s="90"/>
      <c r="AP7" s="146"/>
      <c r="AQ7" s="146"/>
      <c r="AR7" s="146"/>
      <c r="AS7" s="146"/>
      <c r="AT7" s="133"/>
      <c r="AU7" s="114"/>
      <c r="AW7" s="242"/>
      <c r="AX7" s="155" t="str">
        <f>'Sprachen &amp; Rückgabewerte(4)'!H193</f>
        <v>Sonstiges:</v>
      </c>
      <c r="AY7" s="60"/>
      <c r="AZ7" s="60"/>
      <c r="BA7" s="60"/>
      <c r="BB7" s="244"/>
      <c r="BD7" s="242"/>
      <c r="BE7" s="60"/>
      <c r="BF7" s="60"/>
      <c r="BG7" s="60"/>
      <c r="BH7" s="60"/>
      <c r="BI7" s="244"/>
    </row>
    <row r="8" spans="1:64" ht="7.5" customHeight="1" thickBot="1" x14ac:dyDescent="0.25">
      <c r="B8" s="59"/>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2"/>
      <c r="AX8" s="60"/>
      <c r="AY8" s="60"/>
      <c r="AZ8" s="60"/>
      <c r="BA8" s="60"/>
      <c r="BB8" s="244"/>
      <c r="BD8" s="242"/>
      <c r="BE8" s="60"/>
      <c r="BF8" s="60"/>
      <c r="BG8" s="60"/>
      <c r="BH8" s="60"/>
      <c r="BI8" s="244"/>
    </row>
    <row r="9" spans="1:64" ht="15" customHeight="1" thickTop="1" x14ac:dyDescent="0.2">
      <c r="A9" s="654" t="str">
        <f>IF('Sprachen &amp; Rückgabewerte(4)'!L62=1,'Sprachen &amp; Rückgabewerte(4)'!$H$132,"")</f>
        <v/>
      </c>
      <c r="B9" s="227"/>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2"/>
      <c r="AN9" s="60"/>
      <c r="AO9" s="60"/>
      <c r="AP9" s="60"/>
      <c r="AQ9" s="60"/>
      <c r="AR9" s="60"/>
      <c r="AS9" s="60"/>
      <c r="AT9" s="114"/>
      <c r="AU9" s="114"/>
      <c r="AW9" s="242"/>
      <c r="AX9" s="431" t="str">
        <f>'Sprachen &amp; Rückgabewerte(4)'!H194</f>
        <v>Sichtbare Rahmenprofile (aussen):</v>
      </c>
      <c r="AY9" s="60"/>
      <c r="AZ9" s="544"/>
      <c r="BA9" s="545"/>
      <c r="BB9" s="244"/>
      <c r="BD9" s="242"/>
      <c r="BE9" s="553">
        <f>ROUND(SUM(BJ5,BK5,BL5),1)</f>
        <v>0</v>
      </c>
      <c r="BF9" s="554"/>
      <c r="BG9" s="555"/>
      <c r="BH9" s="156" t="s">
        <v>179</v>
      </c>
      <c r="BI9" s="244"/>
    </row>
    <row r="10" spans="1:64" ht="15" customHeight="1" thickBot="1" x14ac:dyDescent="0.25">
      <c r="A10" s="655"/>
      <c r="B10" s="227"/>
      <c r="C10" s="59"/>
      <c r="D10" s="60"/>
      <c r="E10" s="60"/>
      <c r="F10" s="650"/>
      <c r="G10" s="651"/>
      <c r="H10" s="60"/>
      <c r="I10" s="60"/>
      <c r="J10" s="650"/>
      <c r="K10" s="651"/>
      <c r="L10" s="60"/>
      <c r="M10" s="60"/>
      <c r="N10" s="650"/>
      <c r="O10" s="651"/>
      <c r="P10" s="60"/>
      <c r="Q10" s="60"/>
      <c r="R10" s="650"/>
      <c r="S10" s="651"/>
      <c r="T10" s="60"/>
      <c r="U10" s="60"/>
      <c r="V10" s="650"/>
      <c r="W10" s="651"/>
      <c r="X10" s="60"/>
      <c r="Y10" s="60"/>
      <c r="Z10" s="650"/>
      <c r="AA10" s="651"/>
      <c r="AB10" s="60"/>
      <c r="AC10" s="60"/>
      <c r="AD10" s="650"/>
      <c r="AE10" s="651"/>
      <c r="AF10" s="60"/>
      <c r="AG10" s="60"/>
      <c r="AH10" s="650"/>
      <c r="AI10" s="651"/>
      <c r="AJ10" s="60"/>
      <c r="AK10" s="60"/>
      <c r="AL10" s="650"/>
      <c r="AM10" s="651"/>
      <c r="AN10" s="60"/>
      <c r="AO10" s="60"/>
      <c r="AP10" s="650"/>
      <c r="AQ10" s="651"/>
      <c r="AR10" s="60"/>
      <c r="AS10" s="60"/>
      <c r="AT10" s="114"/>
      <c r="AU10" s="114"/>
      <c r="AW10" s="242"/>
      <c r="AX10" s="431" t="str">
        <f>'Sprachen &amp; Rückgabewerte(4)'!H195</f>
        <v>Lieferung Glas und Rahmen:</v>
      </c>
      <c r="AY10" s="60"/>
      <c r="AZ10" s="544"/>
      <c r="BA10" s="545"/>
      <c r="BB10" s="244"/>
      <c r="BD10" s="258"/>
      <c r="BE10" s="248"/>
      <c r="BF10" s="248"/>
      <c r="BG10" s="248"/>
      <c r="BH10" s="248"/>
      <c r="BI10" s="250"/>
    </row>
    <row r="11" spans="1:64" ht="15" customHeight="1" thickTop="1" thickBot="1" x14ac:dyDescent="0.25">
      <c r="A11" s="656"/>
      <c r="B11" s="227"/>
      <c r="C11" s="238">
        <f>COUNTBLANK(E11:AO11)</f>
        <v>37</v>
      </c>
      <c r="D11" s="60"/>
      <c r="E11" s="66"/>
      <c r="F11" s="66"/>
      <c r="G11" s="66"/>
      <c r="H11" s="162"/>
      <c r="I11" s="162"/>
      <c r="J11" s="66"/>
      <c r="K11" s="66"/>
      <c r="L11" s="162"/>
      <c r="M11" s="162"/>
      <c r="N11" s="66"/>
      <c r="O11" s="66"/>
      <c r="P11" s="162"/>
      <c r="Q11" s="162"/>
      <c r="R11" s="66"/>
      <c r="S11" s="66"/>
      <c r="T11" s="162"/>
      <c r="U11" s="162"/>
      <c r="V11" s="66"/>
      <c r="W11" s="66"/>
      <c r="X11" s="162"/>
      <c r="Y11" s="162"/>
      <c r="Z11" s="66"/>
      <c r="AA11" s="66"/>
      <c r="AB11" s="162"/>
      <c r="AC11" s="162"/>
      <c r="AD11" s="66"/>
      <c r="AE11" s="66"/>
      <c r="AF11" s="162"/>
      <c r="AG11" s="162"/>
      <c r="AH11" s="66"/>
      <c r="AI11" s="66"/>
      <c r="AJ11" s="162"/>
      <c r="AK11" s="162"/>
      <c r="AL11" s="66"/>
      <c r="AM11" s="66"/>
      <c r="AN11" s="162"/>
      <c r="AO11" s="162"/>
      <c r="AP11" s="66"/>
      <c r="AQ11" s="66"/>
      <c r="AR11" s="66"/>
      <c r="AS11" s="60"/>
      <c r="AT11" s="114"/>
      <c r="AU11" s="114"/>
      <c r="AW11" s="242"/>
      <c r="AX11" s="60"/>
      <c r="AY11" s="60"/>
      <c r="AZ11" s="60"/>
      <c r="BA11" s="60"/>
      <c r="BB11" s="244"/>
    </row>
    <row r="12" spans="1:64" ht="13.5" customHeight="1" thickTop="1" x14ac:dyDescent="0.2">
      <c r="B12" s="59"/>
      <c r="C12" s="59"/>
      <c r="D12" s="60"/>
      <c r="E12" s="94"/>
      <c r="F12" s="81"/>
      <c r="G12" s="81"/>
      <c r="H12" s="82" t="str">
        <f>IF(F10&lt;&gt;"",IF(AND(F10&gt;0,F10&lt;&gt;"F"),CONCATENATE('Sprachen &amp; Rückgabewerte(4)'!$C$28," ",'Sprachen &amp; Rückgabewerte(4)'!$C$29," ",'Sprachen &amp; Rückgabewerte(4)'!$C$30),'Sprachen &amp; Rückgabewerte(4)'!$C$30),"")</f>
        <v/>
      </c>
      <c r="I12" s="94"/>
      <c r="J12" s="81"/>
      <c r="K12" s="81"/>
      <c r="L12" s="82" t="str">
        <f>IF(J10&lt;&gt;"",IF(AND(J10&gt;0,J10&lt;&gt;"F"),CONCATENATE('Sprachen &amp; Rückgabewerte(4)'!$C$28," ",'Sprachen &amp; Rückgabewerte(4)'!$C$29," ",'Sprachen &amp; Rückgabewerte(4)'!$C$30),'Sprachen &amp; Rückgabewerte(4)'!$C$30),"")</f>
        <v/>
      </c>
      <c r="M12" s="94"/>
      <c r="N12" s="81"/>
      <c r="O12" s="81"/>
      <c r="P12" s="82" t="str">
        <f>IF(N10&lt;&gt;"",IF(AND(N10&gt;0,N10&lt;&gt;"F"),CONCATENATE('Sprachen &amp; Rückgabewerte(4)'!$C$28," ",'Sprachen &amp; Rückgabewerte(4)'!$C$29," ",'Sprachen &amp; Rückgabewerte(4)'!$C$30),'Sprachen &amp; Rückgabewerte(4)'!$C$30),"")</f>
        <v/>
      </c>
      <c r="Q12" s="94"/>
      <c r="R12" s="81"/>
      <c r="S12" s="81"/>
      <c r="T12" s="82" t="str">
        <f>IF(R10&lt;&gt;"",IF(AND(R10&gt;0,R10&lt;&gt;"F"),CONCATENATE('Sprachen &amp; Rückgabewerte(4)'!$C$28," ",'Sprachen &amp; Rückgabewerte(4)'!$C$29," ",'Sprachen &amp; Rückgabewerte(4)'!$C$30),'Sprachen &amp; Rückgabewerte(4)'!$C$30),"")</f>
        <v/>
      </c>
      <c r="U12" s="94"/>
      <c r="V12" s="81"/>
      <c r="W12" s="81"/>
      <c r="X12" s="82" t="str">
        <f>IF(V10&lt;&gt;"",IF(AND(V10&gt;0,V10&lt;&gt;"F"),CONCATENATE('Sprachen &amp; Rückgabewerte(4)'!$C$28," ",'Sprachen &amp; Rückgabewerte(4)'!$C$29," ",'Sprachen &amp; Rückgabewerte(4)'!$C$30),'Sprachen &amp; Rückgabewerte(4)'!$C$30),"")</f>
        <v/>
      </c>
      <c r="Y12" s="94"/>
      <c r="Z12" s="81"/>
      <c r="AA12" s="81"/>
      <c r="AB12" s="82" t="str">
        <f>IF(Z10&lt;&gt;"",IF(AND(Z10&gt;0,Z10&lt;&gt;"F"),CONCATENATE('Sprachen &amp; Rückgabewerte(4)'!$C$28," ",'Sprachen &amp; Rückgabewerte(4)'!$C$29," ",'Sprachen &amp; Rückgabewerte(4)'!$C$30),'Sprachen &amp; Rückgabewerte(4)'!$C$30),"")</f>
        <v/>
      </c>
      <c r="AC12" s="94"/>
      <c r="AD12" s="81"/>
      <c r="AE12" s="81"/>
      <c r="AF12" s="82" t="str">
        <f>IF(AD10&lt;&gt;"",IF(AND(AD10&gt;0,AD10&lt;&gt;"F"),CONCATENATE('Sprachen &amp; Rückgabewerte(4)'!$C$28," ",'Sprachen &amp; Rückgabewerte(4)'!$C$29," ",'Sprachen &amp; Rückgabewerte(4)'!$C$30),'Sprachen &amp; Rückgabewerte(4)'!$C$30),"")</f>
        <v/>
      </c>
      <c r="AG12" s="94"/>
      <c r="AH12" s="81"/>
      <c r="AI12" s="81"/>
      <c r="AJ12" s="82" t="str">
        <f>IF(AH10&lt;&gt;"",IF(AND(AH10&gt;0,AH10&lt;&gt;"F"),CONCATENATE('Sprachen &amp; Rückgabewerte(4)'!$C$28," ",'Sprachen &amp; Rückgabewerte(4)'!$C$29," ",'Sprachen &amp; Rückgabewerte(4)'!$C$30),'Sprachen &amp; Rückgabewerte(4)'!$C$30),"")</f>
        <v/>
      </c>
      <c r="AK12" s="94"/>
      <c r="AL12" s="81"/>
      <c r="AM12" s="81"/>
      <c r="AN12" s="82" t="str">
        <f>IF(AL10&lt;&gt;"",IF(AND(AL10&gt;0,AL10&lt;&gt;"F"),CONCATENATE('Sprachen &amp; Rückgabewerte(4)'!$C$28," ",'Sprachen &amp; Rückgabewerte(4)'!$C$29," ",'Sprachen &amp; Rückgabewerte(4)'!$C$30),'Sprachen &amp; Rückgabewerte(4)'!$C$30),"")</f>
        <v/>
      </c>
      <c r="AO12" s="94"/>
      <c r="AP12" s="81"/>
      <c r="AQ12" s="81"/>
      <c r="AR12" s="82" t="str">
        <f>IF(AP10&lt;&gt;"",IF(AND(AP10&gt;0,AP10&lt;&gt;"F"),CONCATENATE('Sprachen &amp; Rückgabewerte(4)'!$C$28," ",'Sprachen &amp; Rückgabewerte(4)'!$C$29," ",'Sprachen &amp; Rückgabewerte(4)'!$C$30),'Sprachen &amp; Rückgabewerte(4)'!$C$30),"")</f>
        <v/>
      </c>
      <c r="AS12" s="149"/>
      <c r="AT12" s="114"/>
      <c r="AU12" s="114"/>
      <c r="AW12" s="242"/>
      <c r="AX12" s="245"/>
      <c r="AY12" s="60"/>
      <c r="AZ12" s="60"/>
      <c r="BA12" s="60"/>
      <c r="BB12" s="244"/>
    </row>
    <row r="13" spans="1:64" ht="13.5" customHeight="1" x14ac:dyDescent="0.2">
      <c r="B13" s="59"/>
      <c r="C13" s="59"/>
      <c r="D13" s="60"/>
      <c r="E13" s="657" t="str">
        <f>IF(AND('Sprachen &amp; Rückgabewerte(4)'!$I$30=TRUE,$F$10="R"),'Sprachen &amp; Rückgabewerte(4)'!H60,"")</f>
        <v/>
      </c>
      <c r="F13" s="60"/>
      <c r="G13" s="60"/>
      <c r="H13" s="659" t="str">
        <f>IF(AND('Sprachen &amp; Rückgabewerte(4)'!$I$31=TRUE,$F$10="L",$J$10=""),'Sprachen &amp; Rückgabewerte(4)'!$H$60,"")</f>
        <v/>
      </c>
      <c r="I13" s="59"/>
      <c r="J13" s="60"/>
      <c r="K13" s="60"/>
      <c r="L13" s="659" t="str">
        <f>IF(AND('Sprachen &amp; Rückgabewerte(4)'!$I$31=TRUE,$J$10="L",$N$10=""),'Sprachen &amp; Rückgabewerte(4)'!$H$60,"")</f>
        <v/>
      </c>
      <c r="M13" s="59"/>
      <c r="N13" s="60"/>
      <c r="O13" s="60"/>
      <c r="P13" s="659" t="str">
        <f>IF(AND('Sprachen &amp; Rückgabewerte(4)'!$I$31=TRUE,$N$10="L",$R$10=""),'Sprachen &amp; Rückgabewerte(4)'!$H$60,"")</f>
        <v/>
      </c>
      <c r="Q13" s="59"/>
      <c r="R13" s="60"/>
      <c r="S13" s="60"/>
      <c r="T13" s="659" t="str">
        <f>IF(AND('Sprachen &amp; Rückgabewerte(4)'!$I$31=TRUE,$R$10="L",$V$10=""),'Sprachen &amp; Rückgabewerte(4)'!$H$60,"")</f>
        <v/>
      </c>
      <c r="U13" s="59"/>
      <c r="V13" s="60"/>
      <c r="W13" s="60"/>
      <c r="X13" s="659" t="str">
        <f>IF(AND('Sprachen &amp; Rückgabewerte(4)'!$I$31=TRUE,$V$10="L",$Z$10=""),'Sprachen &amp; Rückgabewerte(4)'!$H$60,"")</f>
        <v/>
      </c>
      <c r="Y13" s="59"/>
      <c r="Z13" s="60"/>
      <c r="AA13" s="60"/>
      <c r="AB13" s="659" t="str">
        <f>IF(AND('Sprachen &amp; Rückgabewerte(4)'!$I$31=TRUE,$Z$10="L",$AD$10=""),'Sprachen &amp; Rückgabewerte(4)'!$H$60,"")</f>
        <v/>
      </c>
      <c r="AC13" s="59"/>
      <c r="AD13" s="60"/>
      <c r="AE13" s="60"/>
      <c r="AF13" s="659" t="str">
        <f>IF(AND('Sprachen &amp; Rückgabewerte(4)'!$I$31=TRUE,$AD$10="L",$AH$10=""),'Sprachen &amp; Rückgabewerte(4)'!$H$60,"")</f>
        <v/>
      </c>
      <c r="AG13" s="59"/>
      <c r="AH13" s="60"/>
      <c r="AI13" s="60"/>
      <c r="AJ13" s="659" t="str">
        <f>IF(AND('Sprachen &amp; Rückgabewerte(4)'!$I$31=TRUE,$AH$10="L",$AL$10=""),'Sprachen &amp; Rückgabewerte(4)'!$H$60,"")</f>
        <v/>
      </c>
      <c r="AK13" s="59"/>
      <c r="AL13" s="60"/>
      <c r="AM13" s="60"/>
      <c r="AN13" s="659" t="str">
        <f>IF(AND('Sprachen &amp; Rückgabewerte(4)'!$I$31=TRUE,$AL$10="L",$AP$10=""),'Sprachen &amp; Rückgabewerte(4)'!$H$60,"")</f>
        <v/>
      </c>
      <c r="AO13" s="59"/>
      <c r="AP13" s="60"/>
      <c r="AQ13" s="60"/>
      <c r="AR13" s="659" t="str">
        <f>IF(AND('Sprachen &amp; Rückgabewerte(4)'!$I$31=TRUE,$AP$10="L"),'Sprachen &amp; Rückgabewerte(4)'!$H$60,"")</f>
        <v/>
      </c>
      <c r="AS13" s="150"/>
      <c r="AT13" s="114"/>
      <c r="AU13" s="114"/>
      <c r="AW13" s="242"/>
      <c r="AX13" s="60"/>
      <c r="AY13" s="60"/>
      <c r="AZ13" s="60"/>
      <c r="BA13" s="60"/>
      <c r="BB13" s="244"/>
    </row>
    <row r="14" spans="1:64" ht="13.5" customHeight="1" x14ac:dyDescent="0.2">
      <c r="B14" s="59"/>
      <c r="C14" s="59"/>
      <c r="D14" s="60"/>
      <c r="E14" s="657"/>
      <c r="F14" s="653" t="str">
        <f>IF(F10='Sprachen &amp; Rückgabewerte(4)'!$B$9,'Sprachen &amp; Rückgabewerte(4)'!$C$9,IF(F10='Sprachen &amp; Rückgabewerte(4)'!$B$10,'Sprachen &amp; Rückgabewerte(4)'!$C$10,IF(F10='Sprachen &amp; Rückgabewerte(4)'!$B$11,'Sprachen &amp; Rückgabewerte(4)'!$C$11,IF(F10='Sprachen &amp; Rückgabewerte(4)'!$B$12,'Sprachen &amp; Rückgabewerte(4)'!$C$12,IF(F10='Sprachen &amp; Rückgabewerte(4)'!$B$13,'Sprachen &amp; Rückgabewerte(4)'!$C$13,IF(F10='Sprachen &amp; Rückgabewerte(4)'!$B$14,'Sprachen &amp; Rückgabewerte(4)'!$C$14,""))))))</f>
        <v/>
      </c>
      <c r="G14" s="653"/>
      <c r="H14" s="659"/>
      <c r="I14" s="59"/>
      <c r="J14" s="653" t="str">
        <f>IF(J10='Sprachen &amp; Rückgabewerte(4)'!$B$9,'Sprachen &amp; Rückgabewerte(4)'!$C$9,IF(J10='Sprachen &amp; Rückgabewerte(4)'!$B$10,'Sprachen &amp; Rückgabewerte(4)'!$C$10,IF(J10='Sprachen &amp; Rückgabewerte(4)'!$B$11,'Sprachen &amp; Rückgabewerte(4)'!$C$11,IF(J10='Sprachen &amp; Rückgabewerte(4)'!$B$12,'Sprachen &amp; Rückgabewerte(4)'!$C$12,IF(J10='Sprachen &amp; Rückgabewerte(4)'!$B$13,'Sprachen &amp; Rückgabewerte(4)'!$C$13,IF(J10='Sprachen &amp; Rückgabewerte(4)'!$B$14,'Sprachen &amp; Rückgabewerte(4)'!$C$14,""))))))</f>
        <v/>
      </c>
      <c r="K14" s="653"/>
      <c r="L14" s="659"/>
      <c r="M14" s="59"/>
      <c r="N14" s="653" t="str">
        <f>IF(N10='Sprachen &amp; Rückgabewerte(4)'!$B$9,'Sprachen &amp; Rückgabewerte(4)'!$C$9,IF(N10='Sprachen &amp; Rückgabewerte(4)'!$B$10,'Sprachen &amp; Rückgabewerte(4)'!$C$10,IF(N10='Sprachen &amp; Rückgabewerte(4)'!$B$11,'Sprachen &amp; Rückgabewerte(4)'!$C$11,IF(N10='Sprachen &amp; Rückgabewerte(4)'!$B$12,'Sprachen &amp; Rückgabewerte(4)'!$C$12,IF(N10='Sprachen &amp; Rückgabewerte(4)'!$B$13,'Sprachen &amp; Rückgabewerte(4)'!$C$13,IF(N10='Sprachen &amp; Rückgabewerte(4)'!$B$14,'Sprachen &amp; Rückgabewerte(4)'!$C$14,""))))))</f>
        <v/>
      </c>
      <c r="O14" s="653"/>
      <c r="P14" s="659"/>
      <c r="Q14" s="59"/>
      <c r="R14" s="653" t="str">
        <f>IF(R10='Sprachen &amp; Rückgabewerte(4)'!$B$9,'Sprachen &amp; Rückgabewerte(4)'!$C$9,IF(R10='Sprachen &amp; Rückgabewerte(4)'!$B$10,'Sprachen &amp; Rückgabewerte(4)'!$C$10,IF(R10='Sprachen &amp; Rückgabewerte(4)'!$B$11,'Sprachen &amp; Rückgabewerte(4)'!$C$11,IF(R10='Sprachen &amp; Rückgabewerte(4)'!$B$12,'Sprachen &amp; Rückgabewerte(4)'!$C$12,IF(R10='Sprachen &amp; Rückgabewerte(4)'!$B$13,'Sprachen &amp; Rückgabewerte(4)'!$C$13,IF(R10='Sprachen &amp; Rückgabewerte(4)'!$B$14,'Sprachen &amp; Rückgabewerte(4)'!$C$14,""))))))</f>
        <v/>
      </c>
      <c r="S14" s="653"/>
      <c r="T14" s="659"/>
      <c r="U14" s="59"/>
      <c r="V14" s="653" t="str">
        <f>IF(V10='Sprachen &amp; Rückgabewerte(4)'!$B$9,'Sprachen &amp; Rückgabewerte(4)'!$C$9,IF(V10='Sprachen &amp; Rückgabewerte(4)'!$B$10,'Sprachen &amp; Rückgabewerte(4)'!$C$10,IF(V10='Sprachen &amp; Rückgabewerte(4)'!$B$11,'Sprachen &amp; Rückgabewerte(4)'!$C$11,IF(V10='Sprachen &amp; Rückgabewerte(4)'!$B$12,'Sprachen &amp; Rückgabewerte(4)'!$C$12,IF(V10='Sprachen &amp; Rückgabewerte(4)'!$B$13,'Sprachen &amp; Rückgabewerte(4)'!$C$13,IF(V10='Sprachen &amp; Rückgabewerte(4)'!$B$14,'Sprachen &amp; Rückgabewerte(4)'!$C$14,""))))))</f>
        <v/>
      </c>
      <c r="W14" s="653"/>
      <c r="X14" s="659"/>
      <c r="Y14" s="59"/>
      <c r="Z14" s="653" t="str">
        <f>IF(Z10='Sprachen &amp; Rückgabewerte(4)'!$B$9,'Sprachen &amp; Rückgabewerte(4)'!$C$9,IF(Z10='Sprachen &amp; Rückgabewerte(4)'!$B$10,'Sprachen &amp; Rückgabewerte(4)'!$C$10,IF(Z10='Sprachen &amp; Rückgabewerte(4)'!$B$11,'Sprachen &amp; Rückgabewerte(4)'!$C$11,IF(Z10='Sprachen &amp; Rückgabewerte(4)'!$B$12,'Sprachen &amp; Rückgabewerte(4)'!$C$12,IF(Z10='Sprachen &amp; Rückgabewerte(4)'!$B$13,'Sprachen &amp; Rückgabewerte(4)'!$C$13,IF(Z10='Sprachen &amp; Rückgabewerte(4)'!$B$14,'Sprachen &amp; Rückgabewerte(4)'!$C$14,""))))))</f>
        <v/>
      </c>
      <c r="AA14" s="653"/>
      <c r="AB14" s="659"/>
      <c r="AC14" s="59"/>
      <c r="AD14" s="653" t="str">
        <f>IF(AD10='Sprachen &amp; Rückgabewerte(4)'!$B$9,'Sprachen &amp; Rückgabewerte(4)'!$C$9,IF(AD10='Sprachen &amp; Rückgabewerte(4)'!$B$10,'Sprachen &amp; Rückgabewerte(4)'!$C$10,IF(AD10='Sprachen &amp; Rückgabewerte(4)'!$B$11,'Sprachen &amp; Rückgabewerte(4)'!$C$11,IF(AD10='Sprachen &amp; Rückgabewerte(4)'!$B$12,'Sprachen &amp; Rückgabewerte(4)'!$C$12,IF(AD10='Sprachen &amp; Rückgabewerte(4)'!$B$13,'Sprachen &amp; Rückgabewerte(4)'!$C$13,IF(AD10='Sprachen &amp; Rückgabewerte(4)'!$B$14,'Sprachen &amp; Rückgabewerte(4)'!$C$14,""))))))</f>
        <v/>
      </c>
      <c r="AE14" s="653"/>
      <c r="AF14" s="659"/>
      <c r="AG14" s="59"/>
      <c r="AH14" s="653" t="str">
        <f>IF(AH10='Sprachen &amp; Rückgabewerte(4)'!$B$9,'Sprachen &amp; Rückgabewerte(4)'!$C$9,IF(AH10='Sprachen &amp; Rückgabewerte(4)'!$B$10,'Sprachen &amp; Rückgabewerte(4)'!$C$10,IF(AH10='Sprachen &amp; Rückgabewerte(4)'!$B$11,'Sprachen &amp; Rückgabewerte(4)'!$C$11,IF(AH10='Sprachen &amp; Rückgabewerte(4)'!$B$12,'Sprachen &amp; Rückgabewerte(4)'!$C$12,IF(AH10='Sprachen &amp; Rückgabewerte(4)'!$B$13,'Sprachen &amp; Rückgabewerte(4)'!$C$13,IF(AH10='Sprachen &amp; Rückgabewerte(4)'!$B$14,'Sprachen &amp; Rückgabewerte(4)'!$C$14,""))))))</f>
        <v/>
      </c>
      <c r="AI14" s="653"/>
      <c r="AJ14" s="659"/>
      <c r="AK14" s="59"/>
      <c r="AL14" s="653" t="str">
        <f>IF(AL10='Sprachen &amp; Rückgabewerte(4)'!$B$9,'Sprachen &amp; Rückgabewerte(4)'!$C$9,IF(AL10='Sprachen &amp; Rückgabewerte(4)'!$B$10,'Sprachen &amp; Rückgabewerte(4)'!$C$10,IF(AL10='Sprachen &amp; Rückgabewerte(4)'!$B$11,'Sprachen &amp; Rückgabewerte(4)'!$C$11,IF(AL10='Sprachen &amp; Rückgabewerte(4)'!$B$12,'Sprachen &amp; Rückgabewerte(4)'!$C$12,IF(AL10='Sprachen &amp; Rückgabewerte(4)'!$B$13,'Sprachen &amp; Rückgabewerte(4)'!$C$13,IF(AL10='Sprachen &amp; Rückgabewerte(4)'!$B$14,'Sprachen &amp; Rückgabewerte(4)'!$C$14,""))))))</f>
        <v/>
      </c>
      <c r="AM14" s="653"/>
      <c r="AN14" s="659"/>
      <c r="AO14" s="59"/>
      <c r="AP14" s="653" t="str">
        <f>IF(AP10='Sprachen &amp; Rückgabewerte(4)'!$B$9,'Sprachen &amp; Rückgabewerte(4)'!$C$9,IF(AP10='Sprachen &amp; Rückgabewerte(4)'!$B$10,'Sprachen &amp; Rückgabewerte(4)'!$C$10,IF(AP10='Sprachen &amp; Rückgabewerte(4)'!$B$11,'Sprachen &amp; Rückgabewerte(4)'!$C$11,IF(AP10='Sprachen &amp; Rückgabewerte(4)'!$B$12,'Sprachen &amp; Rückgabewerte(4)'!$C$12,IF(AP10='Sprachen &amp; Rückgabewerte(4)'!$B$13,'Sprachen &amp; Rückgabewerte(4)'!$C$13,IF(AP10='Sprachen &amp; Rückgabewerte(4)'!$B$14,'Sprachen &amp; Rückgabewerte(4)'!$C$14,""))))))</f>
        <v/>
      </c>
      <c r="AQ14" s="653"/>
      <c r="AR14" s="659"/>
      <c r="AS14" s="149"/>
      <c r="AT14" s="114"/>
      <c r="AU14" s="114"/>
      <c r="AW14" s="242"/>
      <c r="AX14" s="155" t="str">
        <f>'Sprachen &amp; Rückgabewerte(4)'!H131</f>
        <v>Bemerkungen:</v>
      </c>
      <c r="AY14" s="60"/>
      <c r="AZ14" s="60"/>
      <c r="BA14" s="60"/>
      <c r="BB14" s="244"/>
    </row>
    <row r="15" spans="1:64" ht="13.5" customHeight="1" x14ac:dyDescent="0.2">
      <c r="B15" s="59"/>
      <c r="C15" s="59"/>
      <c r="D15" s="60"/>
      <c r="E15" s="657"/>
      <c r="F15" s="653"/>
      <c r="G15" s="653"/>
      <c r="H15" s="659"/>
      <c r="I15" s="59"/>
      <c r="J15" s="653"/>
      <c r="K15" s="653"/>
      <c r="L15" s="659"/>
      <c r="M15" s="59"/>
      <c r="N15" s="653"/>
      <c r="O15" s="653"/>
      <c r="P15" s="659"/>
      <c r="Q15" s="59"/>
      <c r="R15" s="653"/>
      <c r="S15" s="653"/>
      <c r="T15" s="659"/>
      <c r="U15" s="59"/>
      <c r="V15" s="653"/>
      <c r="W15" s="653"/>
      <c r="X15" s="659"/>
      <c r="Y15" s="59"/>
      <c r="Z15" s="653"/>
      <c r="AA15" s="653"/>
      <c r="AB15" s="659"/>
      <c r="AC15" s="59"/>
      <c r="AD15" s="653"/>
      <c r="AE15" s="653"/>
      <c r="AF15" s="659"/>
      <c r="AG15" s="59"/>
      <c r="AH15" s="653"/>
      <c r="AI15" s="653"/>
      <c r="AJ15" s="659"/>
      <c r="AK15" s="59"/>
      <c r="AL15" s="653"/>
      <c r="AM15" s="653"/>
      <c r="AN15" s="659"/>
      <c r="AO15" s="59"/>
      <c r="AP15" s="653"/>
      <c r="AQ15" s="653"/>
      <c r="AR15" s="659"/>
      <c r="AS15" s="60"/>
      <c r="AT15" s="114"/>
      <c r="AU15" s="114"/>
      <c r="AW15" s="242"/>
      <c r="AX15" s="639" t="s">
        <v>506</v>
      </c>
      <c r="AY15" s="640"/>
      <c r="AZ15" s="640"/>
      <c r="BA15" s="641"/>
      <c r="BB15" s="244"/>
    </row>
    <row r="16" spans="1:64" ht="13.5" customHeight="1" x14ac:dyDescent="0.2">
      <c r="B16" s="59"/>
      <c r="C16" s="59"/>
      <c r="D16" s="60"/>
      <c r="E16" s="657"/>
      <c r="F16" s="652"/>
      <c r="G16" s="652"/>
      <c r="H16" s="659"/>
      <c r="I16" s="59"/>
      <c r="J16" s="652"/>
      <c r="K16" s="652"/>
      <c r="L16" s="659"/>
      <c r="M16" s="59"/>
      <c r="N16" s="652"/>
      <c r="O16" s="652"/>
      <c r="P16" s="659"/>
      <c r="Q16" s="59"/>
      <c r="R16" s="652"/>
      <c r="S16" s="652"/>
      <c r="T16" s="659"/>
      <c r="U16" s="59"/>
      <c r="V16" s="652"/>
      <c r="W16" s="652"/>
      <c r="X16" s="659"/>
      <c r="Y16" s="59"/>
      <c r="Z16" s="652"/>
      <c r="AA16" s="652"/>
      <c r="AB16" s="659"/>
      <c r="AC16" s="59"/>
      <c r="AD16" s="652"/>
      <c r="AE16" s="652"/>
      <c r="AF16" s="659"/>
      <c r="AG16" s="59"/>
      <c r="AH16" s="652"/>
      <c r="AI16" s="652"/>
      <c r="AJ16" s="659"/>
      <c r="AK16" s="59"/>
      <c r="AL16" s="652"/>
      <c r="AM16" s="652"/>
      <c r="AN16" s="659"/>
      <c r="AO16" s="59"/>
      <c r="AP16" s="652"/>
      <c r="AQ16" s="652"/>
      <c r="AR16" s="659"/>
      <c r="AS16" s="60"/>
      <c r="AT16" s="114"/>
      <c r="AU16" s="114"/>
      <c r="AW16" s="246"/>
      <c r="AX16" s="642"/>
      <c r="AY16" s="643"/>
      <c r="AZ16" s="643"/>
      <c r="BA16" s="644"/>
      <c r="BB16" s="244"/>
    </row>
    <row r="17" spans="1:54" ht="13.5" customHeight="1" x14ac:dyDescent="0.2">
      <c r="B17" s="59"/>
      <c r="C17" s="59"/>
      <c r="D17" s="60"/>
      <c r="E17" s="657"/>
      <c r="F17" s="652"/>
      <c r="G17" s="652"/>
      <c r="H17" s="659"/>
      <c r="I17" s="59"/>
      <c r="J17" s="652"/>
      <c r="K17" s="652"/>
      <c r="L17" s="659"/>
      <c r="M17" s="59"/>
      <c r="N17" s="652"/>
      <c r="O17" s="652"/>
      <c r="P17" s="659"/>
      <c r="Q17" s="59"/>
      <c r="R17" s="652"/>
      <c r="S17" s="652"/>
      <c r="T17" s="659"/>
      <c r="U17" s="59"/>
      <c r="V17" s="652"/>
      <c r="W17" s="652"/>
      <c r="X17" s="659"/>
      <c r="Y17" s="59"/>
      <c r="Z17" s="652"/>
      <c r="AA17" s="652"/>
      <c r="AB17" s="659"/>
      <c r="AC17" s="59"/>
      <c r="AD17" s="652"/>
      <c r="AE17" s="652"/>
      <c r="AF17" s="659"/>
      <c r="AG17" s="59"/>
      <c r="AH17" s="652"/>
      <c r="AI17" s="652"/>
      <c r="AJ17" s="659"/>
      <c r="AK17" s="59"/>
      <c r="AL17" s="652"/>
      <c r="AM17" s="652"/>
      <c r="AN17" s="659"/>
      <c r="AO17" s="59"/>
      <c r="AP17" s="652"/>
      <c r="AQ17" s="652"/>
      <c r="AR17" s="659"/>
      <c r="AS17" s="60"/>
      <c r="AT17" s="114"/>
      <c r="AU17" s="114"/>
      <c r="AW17" s="246"/>
      <c r="AX17" s="642"/>
      <c r="AY17" s="643"/>
      <c r="AZ17" s="643"/>
      <c r="BA17" s="644"/>
      <c r="BB17" s="244"/>
    </row>
    <row r="18" spans="1:54" ht="13.5" customHeight="1" x14ac:dyDescent="0.2">
      <c r="B18" s="59"/>
      <c r="C18" s="59"/>
      <c r="D18" s="60"/>
      <c r="E18" s="657"/>
      <c r="F18" s="430"/>
      <c r="G18" s="430"/>
      <c r="H18" s="659"/>
      <c r="I18" s="59"/>
      <c r="J18" s="430"/>
      <c r="K18" s="430"/>
      <c r="L18" s="659"/>
      <c r="M18" s="59"/>
      <c r="N18" s="430"/>
      <c r="O18" s="430"/>
      <c r="P18" s="659"/>
      <c r="Q18" s="59"/>
      <c r="R18" s="430"/>
      <c r="S18" s="430"/>
      <c r="T18" s="659"/>
      <c r="U18" s="59"/>
      <c r="V18" s="430"/>
      <c r="W18" s="430"/>
      <c r="X18" s="659"/>
      <c r="Y18" s="59"/>
      <c r="Z18" s="430"/>
      <c r="AA18" s="430"/>
      <c r="AB18" s="659"/>
      <c r="AC18" s="59"/>
      <c r="AD18" s="430"/>
      <c r="AE18" s="430"/>
      <c r="AF18" s="659"/>
      <c r="AG18" s="59"/>
      <c r="AH18" s="430"/>
      <c r="AI18" s="430"/>
      <c r="AJ18" s="659"/>
      <c r="AK18" s="59"/>
      <c r="AL18" s="430"/>
      <c r="AM18" s="430"/>
      <c r="AN18" s="659"/>
      <c r="AO18" s="59"/>
      <c r="AP18" s="430"/>
      <c r="AQ18" s="430"/>
      <c r="AR18" s="659"/>
      <c r="AS18" s="60"/>
      <c r="AT18" s="114"/>
      <c r="AU18" s="114"/>
      <c r="AW18" s="246"/>
      <c r="AX18" s="645"/>
      <c r="AY18" s="646"/>
      <c r="AZ18" s="646"/>
      <c r="BA18" s="647"/>
      <c r="BB18" s="244"/>
    </row>
    <row r="19" spans="1:54" ht="13.5" customHeight="1" x14ac:dyDescent="0.2">
      <c r="B19" s="59"/>
      <c r="C19" s="59"/>
      <c r="D19" s="60"/>
      <c r="E19" s="658"/>
      <c r="F19" s="83"/>
      <c r="G19" s="83"/>
      <c r="H19" s="660"/>
      <c r="I19" s="67"/>
      <c r="J19" s="83"/>
      <c r="K19" s="83"/>
      <c r="L19" s="660"/>
      <c r="M19" s="67"/>
      <c r="N19" s="83"/>
      <c r="O19" s="83"/>
      <c r="P19" s="660"/>
      <c r="Q19" s="67"/>
      <c r="R19" s="83"/>
      <c r="S19" s="83"/>
      <c r="T19" s="660"/>
      <c r="U19" s="67"/>
      <c r="V19" s="83"/>
      <c r="W19" s="83"/>
      <c r="X19" s="660"/>
      <c r="Y19" s="67"/>
      <c r="Z19" s="83"/>
      <c r="AA19" s="83"/>
      <c r="AB19" s="660"/>
      <c r="AC19" s="67"/>
      <c r="AD19" s="83"/>
      <c r="AE19" s="83"/>
      <c r="AF19" s="660"/>
      <c r="AG19" s="67"/>
      <c r="AH19" s="83"/>
      <c r="AI19" s="83"/>
      <c r="AJ19" s="660"/>
      <c r="AK19" s="67"/>
      <c r="AL19" s="83"/>
      <c r="AM19" s="83"/>
      <c r="AN19" s="660"/>
      <c r="AO19" s="67"/>
      <c r="AP19" s="83"/>
      <c r="AQ19" s="83"/>
      <c r="AR19" s="660"/>
      <c r="AS19" s="60"/>
      <c r="AT19" s="114"/>
      <c r="AU19" s="114"/>
      <c r="AW19" s="246"/>
      <c r="AX19" s="629" t="str">
        <f>IF('Sprachen &amp; Rückgabewerte(4)'!U83=FALSE,'Sprachen &amp; Rückgabewerte(4)'!H155,'Sprachen &amp; Rückgabewerte(4)'!H156)</f>
        <v>Bestellformular unvollständig!</v>
      </c>
      <c r="AY19" s="629"/>
      <c r="AZ19" s="629"/>
      <c r="BA19" s="629"/>
      <c r="BB19" s="244"/>
    </row>
    <row r="20" spans="1:54" ht="13.5" customHeight="1" thickBot="1" x14ac:dyDescent="0.25">
      <c r="B20" s="59"/>
      <c r="C20" s="59"/>
      <c r="D20" s="60"/>
      <c r="E20" s="60"/>
      <c r="F20" s="90" t="str">
        <f>'Sprachen &amp; Rückgabewerte(4)'!$H$124</f>
        <v>Ecke:</v>
      </c>
      <c r="G20" s="648"/>
      <c r="H20" s="648"/>
      <c r="I20" s="649"/>
      <c r="J20" s="649"/>
      <c r="K20" s="649"/>
      <c r="L20" s="649"/>
      <c r="M20" s="649"/>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8"/>
      <c r="AP20" s="648"/>
      <c r="AQ20" s="60"/>
      <c r="AR20" s="61"/>
      <c r="AS20" s="60"/>
      <c r="AT20" s="114"/>
      <c r="AU20" s="114"/>
      <c r="AW20" s="247"/>
      <c r="AX20" s="630"/>
      <c r="AY20" s="630"/>
      <c r="AZ20" s="630"/>
      <c r="BA20" s="630"/>
      <c r="BB20" s="250"/>
    </row>
    <row r="21" spans="1:54" ht="13.5" customHeight="1" thickTop="1" thickBot="1" x14ac:dyDescent="0.25">
      <c r="B21" s="59"/>
      <c r="C21" s="59"/>
      <c r="D21" s="60"/>
      <c r="E21" s="63"/>
      <c r="F21" s="90" t="str">
        <f>IF(OR(G20='Sprachen &amp; Rückgabewerte(4)'!$H$106,G20='Sprachen &amp; Rückgabewerte(4)'!$H$107,K20='Sprachen &amp; Rückgabewerte(4)'!$H$106,K20='Sprachen &amp; Rückgabewerte(4)'!$H$107,O20='Sprachen &amp; Rückgabewerte(4)'!$H$106,O20='Sprachen &amp; Rückgabewerte(4)'!$H$107,S20='Sprachen &amp; Rückgabewerte(4)'!$H$106,S20='Sprachen &amp; Rückgabewerte(4)'!$H$107,W20='Sprachen &amp; Rückgabewerte(4)'!$H$106,W20='Sprachen &amp; Rückgabewerte(4)'!$H$107,AA20='Sprachen &amp; Rückgabewerte(4)'!$H$106,AA20='Sprachen &amp; Rückgabewerte(4)'!$H$107,AE20='Sprachen &amp; Rückgabewerte(4)'!$H$106,AE20='Sprachen &amp; Rückgabewerte(4)'!$H$107,AI20='Sprachen &amp; Rückgabewerte(4)'!$H$106,AI20='Sprachen &amp; Rückgabewerte(4)'!$H$107,AM20='Sprachen &amp; Rückgabewerte(4)'!$H$106,AM20='Sprachen &amp; Rückgabewerte(4)'!$H$107),'Sprachen &amp; Rückgabewerte(4)'!$H$108,"")</f>
        <v/>
      </c>
      <c r="G21" s="64"/>
      <c r="H21" s="625"/>
      <c r="I21" s="625"/>
      <c r="J21" s="65"/>
      <c r="K21" s="65"/>
      <c r="L21" s="625"/>
      <c r="M21" s="625"/>
      <c r="N21" s="627"/>
      <c r="O21" s="627"/>
      <c r="P21" s="625"/>
      <c r="Q21" s="625"/>
      <c r="R21" s="628"/>
      <c r="S21" s="628"/>
      <c r="T21" s="625"/>
      <c r="U21" s="625"/>
      <c r="V21" s="627"/>
      <c r="W21" s="627"/>
      <c r="X21" s="625"/>
      <c r="Y21" s="625"/>
      <c r="Z21" s="627"/>
      <c r="AA21" s="627"/>
      <c r="AB21" s="625"/>
      <c r="AC21" s="625"/>
      <c r="AD21" s="627"/>
      <c r="AE21" s="627"/>
      <c r="AF21" s="625"/>
      <c r="AG21" s="625"/>
      <c r="AH21" s="627"/>
      <c r="AI21" s="627"/>
      <c r="AJ21" s="625"/>
      <c r="AK21" s="625"/>
      <c r="AL21" s="627"/>
      <c r="AM21" s="627"/>
      <c r="AN21" s="625"/>
      <c r="AO21" s="625"/>
      <c r="AP21" s="60"/>
      <c r="AQ21" s="60"/>
      <c r="AR21" s="61"/>
      <c r="AS21" s="60"/>
      <c r="AT21" s="114"/>
      <c r="AU21" s="114"/>
      <c r="AW21" s="151"/>
      <c r="AY21" s="189"/>
      <c r="AZ21" s="189"/>
      <c r="BA21" s="189"/>
    </row>
    <row r="22" spans="1:54" ht="9.75" customHeight="1" thickTop="1" x14ac:dyDescent="0.2">
      <c r="B22" s="59"/>
      <c r="C22" s="59"/>
      <c r="D22" s="60"/>
      <c r="E22" s="626"/>
      <c r="F22" s="626"/>
      <c r="G22" s="626"/>
      <c r="H22" s="626"/>
      <c r="I22" s="626"/>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0"/>
      <c r="AT22" s="114"/>
      <c r="AU22" s="114"/>
      <c r="AW22" s="239"/>
      <c r="AX22" s="637" t="str">
        <f>'Sprachen &amp; Rückgabewerte(4)'!H157</f>
        <v>B2B-Login Projektnr:</v>
      </c>
      <c r="AY22" s="637"/>
      <c r="AZ22" s="637"/>
      <c r="BA22" s="637"/>
      <c r="BB22" s="241"/>
    </row>
    <row r="23" spans="1:54" ht="9.9499999999999993" customHeight="1" x14ac:dyDescent="0.2">
      <c r="B23" s="59"/>
      <c r="C23" s="59"/>
      <c r="D23" s="60"/>
      <c r="E23" s="593"/>
      <c r="F23" s="593"/>
      <c r="G23" s="593"/>
      <c r="H23" s="593"/>
      <c r="I23" s="593"/>
      <c r="J23" s="593"/>
      <c r="K23" s="593"/>
      <c r="L23" s="593"/>
      <c r="M23" s="593"/>
      <c r="N23" s="593"/>
      <c r="O23" s="593"/>
      <c r="P23" s="593"/>
      <c r="Q23" s="593"/>
      <c r="R23" s="593"/>
      <c r="S23" s="593"/>
      <c r="T23" s="593"/>
      <c r="U23" s="593"/>
      <c r="V23" s="593"/>
      <c r="W23" s="593"/>
      <c r="X23" s="593"/>
      <c r="Y23" s="593"/>
      <c r="Z23" s="593"/>
      <c r="AA23" s="593"/>
      <c r="AB23" s="593"/>
      <c r="AC23" s="593"/>
      <c r="AD23" s="593"/>
      <c r="AE23" s="593"/>
      <c r="AF23" s="593"/>
      <c r="AG23" s="593"/>
      <c r="AH23" s="593"/>
      <c r="AI23" s="593"/>
      <c r="AJ23" s="593"/>
      <c r="AK23" s="593"/>
      <c r="AL23" s="593"/>
      <c r="AM23" s="593"/>
      <c r="AN23" s="593"/>
      <c r="AO23" s="593"/>
      <c r="AP23" s="593"/>
      <c r="AQ23" s="593"/>
      <c r="AR23" s="593"/>
      <c r="AS23" s="66"/>
      <c r="AT23" s="114"/>
      <c r="AU23" s="114"/>
      <c r="AW23" s="242"/>
      <c r="AX23" s="638"/>
      <c r="AY23" s="638"/>
      <c r="AZ23" s="638"/>
      <c r="BA23" s="638"/>
      <c r="BB23" s="244"/>
    </row>
    <row r="24" spans="1:54" ht="9.9499999999999993" customHeight="1" x14ac:dyDescent="0.2">
      <c r="B24" s="59"/>
      <c r="C24" s="59"/>
      <c r="D24" s="60"/>
      <c r="E24" s="593"/>
      <c r="F24" s="593"/>
      <c r="G24" s="593"/>
      <c r="H24" s="593"/>
      <c r="I24" s="593"/>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c r="AS24" s="66"/>
      <c r="AT24" s="114"/>
      <c r="AU24" s="114"/>
      <c r="AW24" s="242"/>
      <c r="AX24" s="638"/>
      <c r="AY24" s="638"/>
      <c r="AZ24" s="638"/>
      <c r="BA24" s="638"/>
      <c r="BB24" s="244"/>
    </row>
    <row r="25" spans="1:54" ht="9.9499999999999993" customHeight="1" x14ac:dyDescent="0.2">
      <c r="B25" s="59"/>
      <c r="C25" s="59"/>
      <c r="D25" s="60"/>
      <c r="E25" s="593"/>
      <c r="F25" s="593"/>
      <c r="G25" s="593"/>
      <c r="H25" s="593"/>
      <c r="I25" s="593"/>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3"/>
      <c r="AK25" s="593"/>
      <c r="AL25" s="593"/>
      <c r="AM25" s="593"/>
      <c r="AN25" s="593"/>
      <c r="AO25" s="593"/>
      <c r="AP25" s="593"/>
      <c r="AQ25" s="593"/>
      <c r="AR25" s="593"/>
      <c r="AS25" s="66"/>
      <c r="AT25" s="114"/>
      <c r="AU25" s="114"/>
      <c r="AW25" s="242"/>
      <c r="AX25" s="631"/>
      <c r="AY25" s="632"/>
      <c r="AZ25" s="633"/>
      <c r="BA25" s="189"/>
      <c r="BB25" s="244"/>
    </row>
    <row r="26" spans="1:54" ht="9.9499999999999993" customHeight="1" x14ac:dyDescent="0.2">
      <c r="B26" s="59"/>
      <c r="C26" s="59"/>
      <c r="D26" s="60"/>
      <c r="E26" s="593"/>
      <c r="F26" s="593"/>
      <c r="G26" s="593"/>
      <c r="H26" s="593"/>
      <c r="I26" s="593"/>
      <c r="J26" s="593"/>
      <c r="K26" s="593"/>
      <c r="L26" s="593"/>
      <c r="M26" s="593"/>
      <c r="N26" s="593"/>
      <c r="O26" s="593"/>
      <c r="P26" s="593"/>
      <c r="Q26" s="593"/>
      <c r="R26" s="593"/>
      <c r="S26" s="593"/>
      <c r="T26" s="593"/>
      <c r="U26" s="593"/>
      <c r="V26" s="593"/>
      <c r="W26" s="593"/>
      <c r="X26" s="593"/>
      <c r="Y26" s="593"/>
      <c r="Z26" s="593"/>
      <c r="AA26" s="593"/>
      <c r="AB26" s="593"/>
      <c r="AC26" s="593"/>
      <c r="AD26" s="593"/>
      <c r="AE26" s="593"/>
      <c r="AF26" s="593"/>
      <c r="AG26" s="593"/>
      <c r="AH26" s="593"/>
      <c r="AI26" s="593"/>
      <c r="AJ26" s="593"/>
      <c r="AK26" s="593"/>
      <c r="AL26" s="593"/>
      <c r="AM26" s="593"/>
      <c r="AN26" s="593"/>
      <c r="AO26" s="593"/>
      <c r="AP26" s="593"/>
      <c r="AQ26" s="593"/>
      <c r="AR26" s="593"/>
      <c r="AS26" s="66"/>
      <c r="AT26" s="114"/>
      <c r="AU26" s="114"/>
      <c r="AW26" s="242"/>
      <c r="AX26" s="634"/>
      <c r="AY26" s="635"/>
      <c r="AZ26" s="636"/>
      <c r="BA26" s="189"/>
      <c r="BB26" s="244"/>
    </row>
    <row r="27" spans="1:54" ht="15.75" customHeight="1" thickBot="1" x14ac:dyDescent="0.25">
      <c r="B27" s="59"/>
      <c r="C27" s="59"/>
      <c r="D27" s="60"/>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6"/>
      <c r="AT27" s="114"/>
      <c r="AU27" s="114"/>
      <c r="AW27" s="242"/>
      <c r="AX27" s="318"/>
      <c r="AY27" s="189"/>
      <c r="AZ27" s="189"/>
      <c r="BA27" s="189"/>
      <c r="BB27" s="244"/>
    </row>
    <row r="28" spans="1:54" ht="18" customHeight="1" thickBot="1" x14ac:dyDescent="0.25">
      <c r="A28" s="157" t="str">
        <f>IF('Sprachen &amp; Rückgabewerte(4)'!$I$13=TRUE,'Sprachen &amp; Rückgabewerte(4)'!$H$58,"")</f>
        <v/>
      </c>
      <c r="B28" s="227"/>
      <c r="C28" s="59"/>
      <c r="D28" s="83"/>
      <c r="E28" s="594"/>
      <c r="F28" s="595"/>
      <c r="G28" s="595"/>
      <c r="H28" s="596"/>
      <c r="I28" s="594"/>
      <c r="J28" s="595"/>
      <c r="K28" s="595"/>
      <c r="L28" s="596"/>
      <c r="M28" s="594"/>
      <c r="N28" s="595"/>
      <c r="O28" s="595"/>
      <c r="P28" s="596"/>
      <c r="Q28" s="594"/>
      <c r="R28" s="595"/>
      <c r="S28" s="595"/>
      <c r="T28" s="596"/>
      <c r="U28" s="594"/>
      <c r="V28" s="595"/>
      <c r="W28" s="595"/>
      <c r="X28" s="596"/>
      <c r="Y28" s="594"/>
      <c r="Z28" s="595"/>
      <c r="AA28" s="595"/>
      <c r="AB28" s="596"/>
      <c r="AC28" s="594"/>
      <c r="AD28" s="595"/>
      <c r="AE28" s="595"/>
      <c r="AF28" s="596"/>
      <c r="AG28" s="594"/>
      <c r="AH28" s="595"/>
      <c r="AI28" s="595"/>
      <c r="AJ28" s="596"/>
      <c r="AK28" s="594"/>
      <c r="AL28" s="595"/>
      <c r="AM28" s="595"/>
      <c r="AN28" s="596"/>
      <c r="AO28" s="594"/>
      <c r="AP28" s="595"/>
      <c r="AQ28" s="595"/>
      <c r="AR28" s="596"/>
      <c r="AS28" s="67"/>
      <c r="AT28" s="114"/>
      <c r="AU28" s="114"/>
      <c r="AW28" s="258"/>
      <c r="AX28" s="248"/>
      <c r="AY28" s="249"/>
      <c r="AZ28" s="249"/>
      <c r="BA28" s="249"/>
      <c r="BB28" s="250"/>
    </row>
    <row r="29" spans="1:54" ht="7.5" customHeight="1" x14ac:dyDescent="0.2">
      <c r="B29" s="59"/>
      <c r="C29" s="59"/>
      <c r="D29" s="60"/>
      <c r="E29" s="68"/>
      <c r="F29" s="69"/>
      <c r="G29" s="69"/>
      <c r="H29" s="70"/>
      <c r="I29" s="69"/>
      <c r="J29" s="69"/>
      <c r="K29" s="69"/>
      <c r="L29" s="70"/>
      <c r="M29" s="69"/>
      <c r="N29" s="69"/>
      <c r="O29" s="69"/>
      <c r="P29" s="70"/>
      <c r="Q29" s="69"/>
      <c r="R29" s="69"/>
      <c r="S29" s="69"/>
      <c r="T29" s="70"/>
      <c r="U29" s="69"/>
      <c r="V29" s="69"/>
      <c r="W29" s="69"/>
      <c r="X29" s="70"/>
      <c r="Y29" s="69"/>
      <c r="Z29" s="69"/>
      <c r="AA29" s="69"/>
      <c r="AB29" s="70"/>
      <c r="AC29" s="69"/>
      <c r="AD29" s="69"/>
      <c r="AE29" s="69"/>
      <c r="AF29" s="70"/>
      <c r="AG29" s="69"/>
      <c r="AH29" s="69"/>
      <c r="AI29" s="69"/>
      <c r="AJ29" s="70"/>
      <c r="AK29" s="68"/>
      <c r="AL29" s="69"/>
      <c r="AM29" s="69"/>
      <c r="AN29" s="70"/>
      <c r="AO29" s="68"/>
      <c r="AP29" s="69"/>
      <c r="AQ29" s="69"/>
      <c r="AR29" s="70"/>
      <c r="AS29" s="60"/>
      <c r="AT29" s="114"/>
      <c r="AU29" s="114"/>
      <c r="AY29" s="189"/>
      <c r="AZ29" s="189"/>
      <c r="BA29" s="189"/>
    </row>
    <row r="30" spans="1:54" ht="10.5" customHeight="1" x14ac:dyDescent="0.2">
      <c r="B30" s="59"/>
      <c r="C30" s="67"/>
      <c r="D30" s="83"/>
      <c r="E30" s="432"/>
      <c r="F30" s="432"/>
      <c r="G30" s="432"/>
      <c r="H30" s="432"/>
      <c r="I30" s="432"/>
      <c r="J30" s="432"/>
      <c r="K30" s="432"/>
      <c r="L30" s="432"/>
      <c r="M30" s="432"/>
      <c r="N30" s="432"/>
      <c r="O30" s="432"/>
      <c r="P30" s="432"/>
      <c r="Q30" s="432"/>
      <c r="R30" s="432"/>
      <c r="S30" s="432"/>
      <c r="T30" s="432"/>
      <c r="U30" s="432"/>
      <c r="V30" s="432"/>
      <c r="W30" s="432"/>
      <c r="X30" s="432"/>
      <c r="Y30" s="432"/>
      <c r="Z30" s="432"/>
      <c r="AA30" s="432"/>
      <c r="AB30" s="432"/>
      <c r="AC30" s="432"/>
      <c r="AD30" s="432"/>
      <c r="AE30" s="432"/>
      <c r="AF30" s="432"/>
      <c r="AG30" s="432"/>
      <c r="AH30" s="432"/>
      <c r="AI30" s="432"/>
      <c r="AJ30" s="432"/>
      <c r="AK30" s="432"/>
      <c r="AL30" s="432"/>
      <c r="AM30" s="432"/>
      <c r="AN30" s="432"/>
      <c r="AO30" s="432"/>
      <c r="AP30" s="432"/>
      <c r="AQ30" s="432"/>
      <c r="AR30" s="432"/>
      <c r="AS30" s="83"/>
      <c r="AT30" s="115"/>
      <c r="AU30" s="114"/>
      <c r="AW30" s="619" t="str">
        <f>IF('Sprachen &amp; Rückgabewerte(4)'!$I$19=TRUE,'Sprachen &amp; Rückgabewerte(4)'!$H$137,"")</f>
        <v/>
      </c>
      <c r="AX30" s="620"/>
      <c r="AY30" s="620"/>
      <c r="AZ30" s="620"/>
      <c r="BA30" s="621"/>
    </row>
    <row r="31" spans="1:54" ht="11.25" customHeight="1" x14ac:dyDescent="0.2">
      <c r="B31" s="59"/>
      <c r="C31" s="60"/>
      <c r="D31" s="60"/>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0"/>
      <c r="AL31" s="60"/>
      <c r="AM31" s="62"/>
      <c r="AN31" s="60"/>
      <c r="AO31" s="60"/>
      <c r="AP31" s="60"/>
      <c r="AQ31" s="60"/>
      <c r="AR31" s="60"/>
      <c r="AS31" s="60"/>
      <c r="AT31" s="60"/>
      <c r="AU31" s="114"/>
      <c r="AW31" s="622"/>
      <c r="AX31" s="623"/>
      <c r="AY31" s="623"/>
      <c r="AZ31" s="623"/>
      <c r="BA31" s="624"/>
    </row>
    <row r="32" spans="1:54" ht="12.75" customHeight="1" x14ac:dyDescent="0.2">
      <c r="B32" s="59"/>
      <c r="C32" s="111"/>
      <c r="D32" s="81"/>
      <c r="E32" s="81"/>
      <c r="F32" s="81"/>
      <c r="G32" s="81"/>
      <c r="H32" s="81"/>
      <c r="I32" s="81"/>
      <c r="J32" s="81"/>
      <c r="K32" s="81"/>
      <c r="L32" s="81"/>
      <c r="M32" s="81"/>
      <c r="N32" s="81"/>
      <c r="O32" s="81"/>
      <c r="P32" s="81"/>
      <c r="Q32" s="81"/>
      <c r="R32" s="81"/>
      <c r="S32" s="81"/>
      <c r="T32" s="81"/>
      <c r="U32" s="81"/>
      <c r="V32" s="81"/>
      <c r="W32" s="81"/>
      <c r="X32" s="81"/>
      <c r="Y32" s="81"/>
      <c r="Z32" s="81"/>
      <c r="AA32" s="81"/>
      <c r="AB32" s="113"/>
      <c r="AC32" s="60"/>
      <c r="AD32" s="111"/>
      <c r="AE32" s="120" t="str">
        <f>'Sprachen &amp; Rückgabewerte(4)'!$H$134</f>
        <v>Features</v>
      </c>
      <c r="AF32" s="120"/>
      <c r="AG32" s="81"/>
      <c r="AH32" s="81"/>
      <c r="AI32" s="81"/>
      <c r="AJ32" s="81"/>
      <c r="AK32" s="81"/>
      <c r="AL32" s="81"/>
      <c r="AM32" s="138"/>
      <c r="AN32" s="81"/>
      <c r="AO32" s="81"/>
      <c r="AP32" s="81"/>
      <c r="AQ32" s="81"/>
      <c r="AR32" s="81"/>
      <c r="AS32" s="81"/>
      <c r="AT32" s="113"/>
      <c r="AU32" s="204"/>
      <c r="AV32" s="113"/>
      <c r="AW32" s="622"/>
      <c r="AX32" s="623"/>
      <c r="AY32" s="623"/>
      <c r="AZ32" s="623"/>
      <c r="BA32" s="624"/>
    </row>
    <row r="33" spans="2:53" ht="12.75" customHeight="1" x14ac:dyDescent="0.2">
      <c r="B33" s="59"/>
      <c r="C33" s="59"/>
      <c r="D33" s="71"/>
      <c r="E33" s="433"/>
      <c r="F33" s="431" t="str">
        <f>'Sprachen &amp; Rückgabewerte(4)'!$H$13</f>
        <v>Teilung Achsmasse</v>
      </c>
      <c r="G33" s="71"/>
      <c r="H33" s="71"/>
      <c r="I33" s="71"/>
      <c r="J33" s="71"/>
      <c r="K33" s="71"/>
      <c r="L33" s="71"/>
      <c r="M33" s="71"/>
      <c r="N33" s="71"/>
      <c r="O33" s="71"/>
      <c r="P33" s="71"/>
      <c r="Q33" s="71"/>
      <c r="R33" s="71"/>
      <c r="S33" s="71"/>
      <c r="T33" s="71"/>
      <c r="U33" s="71"/>
      <c r="V33" s="71"/>
      <c r="W33" s="71"/>
      <c r="X33" s="71"/>
      <c r="Y33" s="71"/>
      <c r="Z33" s="71"/>
      <c r="AA33" s="71"/>
      <c r="AB33" s="122"/>
      <c r="AC33" s="71"/>
      <c r="AD33" s="121"/>
      <c r="AE33" s="71"/>
      <c r="AH33" s="71"/>
      <c r="AI33" s="71"/>
      <c r="AJ33" s="71"/>
      <c r="AK33" s="71"/>
      <c r="AL33" s="71"/>
      <c r="AM33" s="71"/>
      <c r="AN33" s="433"/>
      <c r="AO33" s="60"/>
      <c r="AQ33" s="71"/>
      <c r="AR33" s="71"/>
      <c r="AS33" s="431"/>
      <c r="AT33" s="114"/>
      <c r="AU33" s="114"/>
      <c r="AW33" s="190" t="str">
        <f>IF(AND(F$10&gt;0,'Sprachen &amp; Rückgabewerte(4)'!$I$19=TRUE),CONCATENATE("Pos. ",'Pos. 4'!$B$2,".1"),"")</f>
        <v/>
      </c>
      <c r="AX33" s="715"/>
      <c r="AY33" s="716"/>
      <c r="AZ33" s="189"/>
      <c r="BA33" s="191"/>
    </row>
    <row r="34" spans="2:53" ht="12.75" customHeight="1" x14ac:dyDescent="0.2">
      <c r="B34" s="59"/>
      <c r="C34" s="59"/>
      <c r="D34" s="71"/>
      <c r="E34" s="433"/>
      <c r="F34" s="72" t="str">
        <f>'Sprachen &amp; Rückgabewerte(4)'!$H$14</f>
        <v>alle Gläser gleiche Breite (Empfehlung)</v>
      </c>
      <c r="G34" s="71"/>
      <c r="H34" s="71"/>
      <c r="I34" s="71"/>
      <c r="J34" s="71"/>
      <c r="K34" s="71"/>
      <c r="L34" s="71"/>
      <c r="M34" s="71"/>
      <c r="N34" s="71"/>
      <c r="O34" s="71"/>
      <c r="P34" s="71"/>
      <c r="Q34" s="71"/>
      <c r="R34" s="71"/>
      <c r="S34" s="71"/>
      <c r="T34" s="71"/>
      <c r="U34" s="71"/>
      <c r="V34" s="71"/>
      <c r="W34" s="71"/>
      <c r="X34" s="71"/>
      <c r="Y34" s="71"/>
      <c r="Z34" s="71"/>
      <c r="AA34" s="71"/>
      <c r="AB34" s="122"/>
      <c r="AC34" s="71"/>
      <c r="AD34" s="121"/>
      <c r="AE34" s="71"/>
      <c r="AF34" s="71" t="str">
        <f>'Sprachen &amp; Rückgabewerte(4)'!$H$15</f>
        <v>Standard</v>
      </c>
      <c r="AH34" s="71"/>
      <c r="AI34" s="71"/>
      <c r="AJ34" s="71"/>
      <c r="AK34" s="71"/>
      <c r="AL34" s="71"/>
      <c r="AM34" s="71"/>
      <c r="AN34" s="433"/>
      <c r="AO34" s="71"/>
      <c r="AP34" s="71"/>
      <c r="AQ34" s="71"/>
      <c r="AR34" s="71"/>
      <c r="AS34" s="431"/>
      <c r="AT34" s="114"/>
      <c r="AU34" s="114"/>
      <c r="AW34" s="190" t="str">
        <f>IF(AND(J10&gt;0,'Sprachen &amp; Rückgabewerte(4)'!$I$19=TRUE),CONCATENATE("Pos. ",'Pos. 4'!$B$2,".2"),"")</f>
        <v/>
      </c>
      <c r="AX34" s="715"/>
      <c r="AY34" s="716"/>
      <c r="AZ34" s="189"/>
      <c r="BA34" s="191"/>
    </row>
    <row r="35" spans="2:53" ht="12.75" customHeight="1" x14ac:dyDescent="0.2">
      <c r="B35" s="59"/>
      <c r="C35" s="59"/>
      <c r="D35" s="71"/>
      <c r="E35" s="71"/>
      <c r="F35" s="71"/>
      <c r="G35" s="71"/>
      <c r="H35" s="71"/>
      <c r="I35" s="71"/>
      <c r="J35" s="71"/>
      <c r="K35" s="71"/>
      <c r="L35" s="71"/>
      <c r="M35" s="71"/>
      <c r="N35" s="71"/>
      <c r="O35" s="71"/>
      <c r="P35" s="71"/>
      <c r="Q35" s="71"/>
      <c r="R35" s="71"/>
      <c r="S35" s="71"/>
      <c r="T35" s="71"/>
      <c r="U35" s="71"/>
      <c r="V35" s="71"/>
      <c r="W35" s="71"/>
      <c r="X35" s="71"/>
      <c r="Y35" s="71"/>
      <c r="Z35" s="71"/>
      <c r="AA35" s="71"/>
      <c r="AB35" s="122"/>
      <c r="AC35" s="71"/>
      <c r="AD35" s="121"/>
      <c r="AE35" s="71"/>
      <c r="AF35" s="71" t="str">
        <f>'Sprachen &amp; Rückgabewerte(4)'!$H$17</f>
        <v>Positionsüberwachung (P)</v>
      </c>
      <c r="AH35" s="71"/>
      <c r="AI35" s="71"/>
      <c r="AJ35" s="71"/>
      <c r="AK35" s="71"/>
      <c r="AL35" s="71"/>
      <c r="AM35" s="71"/>
      <c r="AN35" s="433"/>
      <c r="AO35" s="71"/>
      <c r="AP35" s="71"/>
      <c r="AQ35" s="71"/>
      <c r="AR35" s="71"/>
      <c r="AS35" s="73"/>
      <c r="AT35" s="114"/>
      <c r="AU35" s="114"/>
      <c r="AW35" s="190" t="str">
        <f>IF(AND(N10&gt;0,'Sprachen &amp; Rückgabewerte(4)'!$I$19=TRUE),CONCATENATE("Pos. ",'Pos. 4'!$B$2,".3"),"")</f>
        <v/>
      </c>
      <c r="AX35" s="715"/>
      <c r="AY35" s="716"/>
      <c r="AZ35" s="189"/>
      <c r="BA35" s="191"/>
    </row>
    <row r="36" spans="2:53" ht="12.75" customHeight="1" x14ac:dyDescent="0.2">
      <c r="B36" s="59"/>
      <c r="C36" s="59"/>
      <c r="D36" s="71"/>
      <c r="E36" s="71"/>
      <c r="F36" s="71"/>
      <c r="G36" s="71"/>
      <c r="H36" s="71"/>
      <c r="I36" s="71"/>
      <c r="J36" s="71"/>
      <c r="K36" s="71"/>
      <c r="L36" s="71"/>
      <c r="M36" s="71"/>
      <c r="N36" s="71"/>
      <c r="O36" s="71"/>
      <c r="P36" s="71"/>
      <c r="Q36" s="71"/>
      <c r="R36" s="71"/>
      <c r="S36" s="71"/>
      <c r="T36" s="71"/>
      <c r="U36" s="71"/>
      <c r="V36" s="71"/>
      <c r="W36" s="71"/>
      <c r="X36" s="71"/>
      <c r="Y36" s="71"/>
      <c r="Z36" s="71"/>
      <c r="AA36" s="71"/>
      <c r="AB36" s="122"/>
      <c r="AC36" s="71"/>
      <c r="AD36" s="121"/>
      <c r="AE36" s="71"/>
      <c r="AF36" s="71" t="str">
        <f>'Sprachen &amp; Rückgabewerte(4)'!$H$18</f>
        <v xml:space="preserve">Riegelüberwachung (R) </v>
      </c>
      <c r="AH36" s="71"/>
      <c r="AI36" s="71"/>
      <c r="AJ36" s="71"/>
      <c r="AK36" s="71"/>
      <c r="AL36" s="71"/>
      <c r="AM36" s="71"/>
      <c r="AN36" s="433"/>
      <c r="AO36" s="71"/>
      <c r="AP36" s="71"/>
      <c r="AQ36" s="71"/>
      <c r="AR36" s="71"/>
      <c r="AS36" s="73"/>
      <c r="AT36" s="114"/>
      <c r="AU36" s="114"/>
      <c r="AW36" s="190" t="str">
        <f>IF(AND(R10&gt;0,'Sprachen &amp; Rückgabewerte(4)'!$I$19=TRUE),CONCATENATE("Pos. ",'Pos. 4'!$B$2,".4"),"")</f>
        <v/>
      </c>
      <c r="AX36" s="715"/>
      <c r="AY36" s="716"/>
      <c r="AZ36" s="189"/>
      <c r="BA36" s="191"/>
    </row>
    <row r="37" spans="2:53" ht="12.75" customHeight="1" x14ac:dyDescent="0.2">
      <c r="B37" s="59"/>
      <c r="C37" s="59"/>
      <c r="D37" s="71"/>
      <c r="E37" s="71"/>
      <c r="F37" s="71"/>
      <c r="G37" s="71"/>
      <c r="H37" s="71"/>
      <c r="I37" s="71"/>
      <c r="J37" s="71"/>
      <c r="K37" s="71"/>
      <c r="L37" s="71"/>
      <c r="M37" s="71"/>
      <c r="N37" s="71"/>
      <c r="O37" s="71"/>
      <c r="P37" s="71"/>
      <c r="Q37" s="71"/>
      <c r="R37" s="71"/>
      <c r="S37" s="71"/>
      <c r="T37" s="71"/>
      <c r="U37" s="71"/>
      <c r="V37" s="71"/>
      <c r="W37" s="71"/>
      <c r="X37" s="71"/>
      <c r="Y37" s="71"/>
      <c r="Z37" s="71"/>
      <c r="AA37" s="71"/>
      <c r="AB37" s="122"/>
      <c r="AC37" s="71"/>
      <c r="AD37" s="121"/>
      <c r="AE37" s="71"/>
      <c r="AF37" s="71" t="str">
        <f>'Sprachen &amp; Rückgabewerte(4)'!$H$25</f>
        <v>Pool</v>
      </c>
      <c r="AH37" s="71"/>
      <c r="AI37" s="71"/>
      <c r="AJ37" s="71"/>
      <c r="AK37" s="71"/>
      <c r="AL37" s="71"/>
      <c r="AM37" s="71"/>
      <c r="AN37" s="433"/>
      <c r="AO37" s="71"/>
      <c r="AP37" s="71"/>
      <c r="AQ37" s="71"/>
      <c r="AR37" s="71"/>
      <c r="AS37" s="73"/>
      <c r="AT37" s="114"/>
      <c r="AU37" s="114"/>
      <c r="AW37" s="190" t="str">
        <f>IF(AND(V10&gt;0,'Sprachen &amp; Rückgabewerte(4)'!$I$19=TRUE),CONCATENATE("Pos. ",'Pos. 4'!$B$2,".5"),"")</f>
        <v/>
      </c>
      <c r="AX37" s="715"/>
      <c r="AY37" s="716"/>
      <c r="AZ37" s="189"/>
      <c r="BA37" s="191"/>
    </row>
    <row r="38" spans="2:53" ht="12.75" customHeight="1" x14ac:dyDescent="0.2">
      <c r="B38" s="59"/>
      <c r="C38" s="59"/>
      <c r="D38" s="71"/>
      <c r="E38" s="71"/>
      <c r="F38" s="71"/>
      <c r="G38" s="71"/>
      <c r="H38" s="71"/>
      <c r="I38" s="71"/>
      <c r="J38" s="71"/>
      <c r="K38" s="71"/>
      <c r="L38" s="71"/>
      <c r="M38" s="71"/>
      <c r="N38" s="71"/>
      <c r="O38" s="71"/>
      <c r="P38" s="71"/>
      <c r="Q38" s="71"/>
      <c r="R38" s="71"/>
      <c r="S38" s="71"/>
      <c r="T38" s="71"/>
      <c r="U38" s="71"/>
      <c r="V38" s="71"/>
      <c r="W38" s="71"/>
      <c r="X38" s="71"/>
      <c r="Y38" s="71"/>
      <c r="Z38" s="71"/>
      <c r="AA38" s="71"/>
      <c r="AB38" s="122"/>
      <c r="AC38" s="71"/>
      <c r="AD38" s="121"/>
      <c r="AE38" s="71"/>
      <c r="AF38" s="618" t="str">
        <f>'Sprachen &amp; Rückgabewerte(4)'!$H$20</f>
        <v>Elektrischer Antrieb, Anzahl</v>
      </c>
      <c r="AG38" s="618"/>
      <c r="AH38" s="618"/>
      <c r="AI38" s="618"/>
      <c r="AJ38" s="618"/>
      <c r="AK38" s="618"/>
      <c r="AL38" s="618"/>
      <c r="AM38" s="617">
        <f>IF('Sprachen &amp; Rückgabewerte(4)'!I20=FALSE,0,COUNTIF(F13:AQ19,"E"))</f>
        <v>0</v>
      </c>
      <c r="AN38" s="617"/>
      <c r="AO38" s="71" t="str">
        <f>'Sprachen &amp; Rückgabewerte(4)'!$H$21</f>
        <v>Stk.</v>
      </c>
      <c r="AQ38" s="71"/>
      <c r="AR38" s="71"/>
      <c r="AS38" s="431"/>
      <c r="AT38" s="114"/>
      <c r="AU38" s="114"/>
      <c r="AW38" s="190" t="str">
        <f>IF(AND(Z10&gt;0,'Sprachen &amp; Rückgabewerte(4)'!$I$19=TRUE),CONCATENATE("Pos. ",'Pos. 4'!$B$2,".6"),"")</f>
        <v/>
      </c>
      <c r="AX38" s="715"/>
      <c r="AY38" s="716"/>
      <c r="AZ38" s="60"/>
      <c r="BA38" s="114"/>
    </row>
    <row r="39" spans="2:53" ht="12.75" customHeight="1" x14ac:dyDescent="0.2">
      <c r="B39" s="59"/>
      <c r="C39" s="59"/>
      <c r="D39" s="71"/>
      <c r="E39" s="71"/>
      <c r="F39" s="71"/>
      <c r="G39" s="71"/>
      <c r="H39" s="71"/>
      <c r="I39" s="71"/>
      <c r="J39" s="71"/>
      <c r="K39" s="71"/>
      <c r="L39" s="71"/>
      <c r="M39" s="71"/>
      <c r="N39" s="71"/>
      <c r="O39" s="71"/>
      <c r="P39" s="71"/>
      <c r="Q39" s="71"/>
      <c r="R39" s="71"/>
      <c r="S39" s="71"/>
      <c r="T39" s="71"/>
      <c r="U39" s="71"/>
      <c r="V39" s="71"/>
      <c r="W39" s="71"/>
      <c r="X39" s="71"/>
      <c r="Y39" s="71"/>
      <c r="Z39" s="71"/>
      <c r="AA39" s="71"/>
      <c r="AB39" s="122"/>
      <c r="AC39" s="71"/>
      <c r="AD39" s="121"/>
      <c r="AE39" s="71"/>
      <c r="AF39" s="71" t="str">
        <f>'Sprachen &amp; Rückgabewerte(4)'!$H$22</f>
        <v>geforderte Klassen:</v>
      </c>
      <c r="AH39" s="71"/>
      <c r="AI39" s="71"/>
      <c r="AJ39" s="71"/>
      <c r="AK39" s="71"/>
      <c r="AL39" s="601"/>
      <c r="AM39" s="602"/>
      <c r="AN39" s="602"/>
      <c r="AO39" s="602"/>
      <c r="AP39" s="602"/>
      <c r="AQ39" s="602"/>
      <c r="AR39" s="602"/>
      <c r="AS39" s="603"/>
      <c r="AT39" s="114"/>
      <c r="AU39" s="114"/>
      <c r="AW39" s="190" t="str">
        <f>IF(AND(AD10&gt;0,'Sprachen &amp; Rückgabewerte(4)'!$I$19=TRUE),CONCATENATE("Pos. ",'Pos. 4'!$B$2,".7"),"")</f>
        <v/>
      </c>
      <c r="AX39" s="715"/>
      <c r="AY39" s="716"/>
      <c r="AZ39" s="60"/>
      <c r="BA39" s="114"/>
    </row>
    <row r="40" spans="2:53" ht="12.75" customHeight="1" x14ac:dyDescent="0.2">
      <c r="B40" s="59"/>
      <c r="C40" s="59"/>
      <c r="D40" s="71"/>
      <c r="E40" s="430"/>
      <c r="F40" s="72" t="str">
        <f>'Sprachen &amp; Rückgabewerte(4)'!H30</f>
        <v>nach rechts</v>
      </c>
      <c r="G40" s="71"/>
      <c r="H40" s="71"/>
      <c r="I40" s="71"/>
      <c r="J40" s="71"/>
      <c r="K40" s="71"/>
      <c r="L40" s="71"/>
      <c r="M40" s="71"/>
      <c r="N40" s="74" t="str">
        <f>'Sprachen &amp; Rückgabewerte(4)'!H31</f>
        <v>nach links</v>
      </c>
      <c r="O40" s="430"/>
      <c r="P40" s="74"/>
      <c r="Q40" s="433"/>
      <c r="R40" s="71"/>
      <c r="S40" s="71"/>
      <c r="T40" s="71"/>
      <c r="U40" s="71"/>
      <c r="V40" s="71"/>
      <c r="W40" s="71"/>
      <c r="X40" s="71"/>
      <c r="Y40" s="71"/>
      <c r="Z40" s="597" t="s">
        <v>179</v>
      </c>
      <c r="AA40" s="71"/>
      <c r="AB40" s="122"/>
      <c r="AC40" s="71"/>
      <c r="AD40" s="123"/>
      <c r="AE40" s="124"/>
      <c r="AF40" s="124"/>
      <c r="AG40" s="604"/>
      <c r="AH40" s="604"/>
      <c r="AI40" s="604"/>
      <c r="AJ40" s="604"/>
      <c r="AK40" s="604"/>
      <c r="AL40" s="604"/>
      <c r="AM40" s="604"/>
      <c r="AN40" s="604"/>
      <c r="AO40" s="604"/>
      <c r="AP40" s="604"/>
      <c r="AQ40" s="604"/>
      <c r="AR40" s="604"/>
      <c r="AS40" s="124"/>
      <c r="AT40" s="115"/>
      <c r="AU40" s="114"/>
      <c r="AW40" s="190" t="str">
        <f>IF(AND(AH10&gt;0,'Sprachen &amp; Rückgabewerte(4)'!$I$19=TRUE),CONCATENATE("Pos. ",'Pos. 4'!$B$2,".8"),"")</f>
        <v/>
      </c>
      <c r="AX40" s="715"/>
      <c r="AY40" s="716"/>
      <c r="AZ40" s="60"/>
      <c r="BA40" s="114"/>
    </row>
    <row r="41" spans="2:53" ht="12.75" customHeight="1" x14ac:dyDescent="0.2">
      <c r="B41" s="59"/>
      <c r="C41" s="59"/>
      <c r="D41" s="71"/>
      <c r="E41" s="430"/>
      <c r="F41" s="72"/>
      <c r="G41" s="71"/>
      <c r="H41" s="71"/>
      <c r="I41" s="71"/>
      <c r="J41" s="71"/>
      <c r="K41" s="71"/>
      <c r="L41" s="71"/>
      <c r="M41" s="71"/>
      <c r="N41" s="74"/>
      <c r="O41" s="430"/>
      <c r="P41" s="74"/>
      <c r="Q41" s="433"/>
      <c r="R41" s="71"/>
      <c r="S41" s="71"/>
      <c r="T41" s="71"/>
      <c r="U41" s="71"/>
      <c r="V41" s="71"/>
      <c r="W41" s="71"/>
      <c r="X41" s="71"/>
      <c r="Y41" s="71"/>
      <c r="Z41" s="598"/>
      <c r="AA41" s="71"/>
      <c r="AB41" s="122"/>
      <c r="AC41" s="71"/>
      <c r="AD41" s="71"/>
      <c r="AE41" s="71"/>
      <c r="AF41" s="71"/>
      <c r="AG41" s="75"/>
      <c r="AH41" s="75"/>
      <c r="AI41" s="75"/>
      <c r="AJ41" s="75"/>
      <c r="AK41" s="75"/>
      <c r="AL41" s="75"/>
      <c r="AM41" s="75"/>
      <c r="AN41" s="75"/>
      <c r="AO41" s="75"/>
      <c r="AP41" s="75"/>
      <c r="AQ41" s="75"/>
      <c r="AR41" s="75"/>
      <c r="AS41" s="71"/>
      <c r="AT41" s="60"/>
      <c r="AU41" s="114"/>
      <c r="AW41" s="190" t="str">
        <f>IF(AND(AL10&gt;0,'Sprachen &amp; Rückgabewerte(4)'!$I$19=TRUE),CONCATENATE("Pos. ",'Pos. 4'!$B$2,".9"),"")</f>
        <v/>
      </c>
      <c r="AX41" s="715"/>
      <c r="AY41" s="716"/>
      <c r="AZ41" s="60"/>
      <c r="BA41" s="114"/>
    </row>
    <row r="42" spans="2:53" ht="12.75" customHeight="1" x14ac:dyDescent="0.2">
      <c r="B42" s="59"/>
      <c r="C42" s="59"/>
      <c r="D42" s="71"/>
      <c r="E42" s="71"/>
      <c r="F42" s="71"/>
      <c r="G42" s="71"/>
      <c r="H42" s="71"/>
      <c r="I42" s="71"/>
      <c r="J42" s="71"/>
      <c r="K42" s="71"/>
      <c r="L42" s="71"/>
      <c r="M42" s="71"/>
      <c r="N42" s="71"/>
      <c r="O42" s="71"/>
      <c r="P42" s="71"/>
      <c r="Q42" s="71"/>
      <c r="R42" s="71"/>
      <c r="S42" s="71"/>
      <c r="T42" s="71"/>
      <c r="U42" s="71"/>
      <c r="V42" s="71"/>
      <c r="W42" s="71"/>
      <c r="X42" s="71"/>
      <c r="Y42" s="71"/>
      <c r="Z42" s="590"/>
      <c r="AA42" s="71"/>
      <c r="AB42" s="122"/>
      <c r="AC42" s="76"/>
      <c r="AD42" s="118"/>
      <c r="AE42" s="120" t="str">
        <f>'Sprachen &amp; Rückgabewerte(4)'!$H$35</f>
        <v>Oberfläche:</v>
      </c>
      <c r="AF42" s="120"/>
      <c r="AG42" s="119"/>
      <c r="AH42" s="119"/>
      <c r="AI42" s="119"/>
      <c r="AJ42" s="119"/>
      <c r="AK42" s="119"/>
      <c r="AL42" s="119"/>
      <c r="AM42" s="139"/>
      <c r="AN42" s="119"/>
      <c r="AO42" s="119"/>
      <c r="AP42" s="119"/>
      <c r="AQ42" s="119"/>
      <c r="AR42" s="119"/>
      <c r="AS42" s="119"/>
      <c r="AT42" s="113"/>
      <c r="AU42" s="114"/>
      <c r="AW42" s="190" t="str">
        <f>IF(AND(AP10&gt;0,'Sprachen &amp; Rückgabewerte(4)'!$I$19=TRUE),CONCATENATE("Pos. ",'Pos. 4'!$B$2,".10"),"")</f>
        <v/>
      </c>
      <c r="AX42" s="715"/>
      <c r="AY42" s="716"/>
      <c r="AZ42" s="60"/>
      <c r="BA42" s="114"/>
    </row>
    <row r="43" spans="2:53" ht="12.75" customHeight="1" x14ac:dyDescent="0.2">
      <c r="B43" s="59"/>
      <c r="C43" s="59"/>
      <c r="D43" s="71"/>
      <c r="E43" s="71"/>
      <c r="F43" s="71"/>
      <c r="G43" s="71"/>
      <c r="H43" s="71"/>
      <c r="I43" s="71"/>
      <c r="J43" s="71"/>
      <c r="K43" s="71"/>
      <c r="L43" s="71"/>
      <c r="M43" s="71"/>
      <c r="N43" s="71"/>
      <c r="O43" s="71"/>
      <c r="P43" s="71"/>
      <c r="Q43" s="71"/>
      <c r="R43" s="71"/>
      <c r="S43" s="71"/>
      <c r="T43" s="71"/>
      <c r="U43" s="71"/>
      <c r="V43" s="71"/>
      <c r="W43" s="71"/>
      <c r="X43" s="71"/>
      <c r="Y43" s="71"/>
      <c r="Z43" s="591"/>
      <c r="AA43" s="71"/>
      <c r="AB43" s="122"/>
      <c r="AC43" s="76"/>
      <c r="AD43" s="121"/>
      <c r="AE43" s="71"/>
      <c r="AF43" s="180" t="str">
        <f>'Sprachen &amp; Rückgabewerte(4)'!H36</f>
        <v>eloxiert (Qualanod):</v>
      </c>
      <c r="AG43" s="71"/>
      <c r="AH43" s="71"/>
      <c r="AI43" s="71"/>
      <c r="AJ43" s="71"/>
      <c r="AK43" s="71"/>
      <c r="AL43" s="71"/>
      <c r="AM43" s="561"/>
      <c r="AN43" s="561"/>
      <c r="AO43" s="561"/>
      <c r="AP43" s="561"/>
      <c r="AQ43" s="561"/>
      <c r="AR43" s="561"/>
      <c r="AS43" s="561"/>
      <c r="AT43" s="114"/>
      <c r="AU43" s="114"/>
      <c r="AW43" s="205">
        <f>COUNTBLANK(AW33:AW42)</f>
        <v>10</v>
      </c>
      <c r="AX43" s="206">
        <f>COUNTBLANK(AX33:AX42)</f>
        <v>10</v>
      </c>
      <c r="AY43" s="206">
        <f>AW43-AX43</f>
        <v>0</v>
      </c>
      <c r="AZ43" s="83"/>
      <c r="BA43" s="115"/>
    </row>
    <row r="44" spans="2:53" ht="12.75" customHeight="1" x14ac:dyDescent="0.2">
      <c r="B44" s="59"/>
      <c r="C44" s="59"/>
      <c r="D44" s="71"/>
      <c r="E44" s="71"/>
      <c r="F44" s="71"/>
      <c r="G44" s="71"/>
      <c r="H44" s="71"/>
      <c r="I44" s="71"/>
      <c r="J44" s="71"/>
      <c r="K44" s="71"/>
      <c r="L44" s="71"/>
      <c r="M44" s="71"/>
      <c r="N44" s="71"/>
      <c r="O44" s="71"/>
      <c r="P44" s="686" t="str">
        <f>'Sprachen &amp; Rückgabewerte(4)'!$H$33</f>
        <v>Griffhöhe:</v>
      </c>
      <c r="Q44" s="686"/>
      <c r="R44" s="686"/>
      <c r="S44" s="686"/>
      <c r="T44" s="71"/>
      <c r="U44" s="71"/>
      <c r="V44" s="71"/>
      <c r="W44" s="71"/>
      <c r="X44" s="71"/>
      <c r="Y44" s="71"/>
      <c r="Z44" s="591"/>
      <c r="AA44" s="71"/>
      <c r="AB44" s="122"/>
      <c r="AC44" s="76"/>
      <c r="AD44" s="121"/>
      <c r="AE44" s="71"/>
      <c r="AF44" s="433"/>
      <c r="AG44" s="72"/>
      <c r="AH44" s="71"/>
      <c r="AI44" s="71"/>
      <c r="AJ44" s="71"/>
      <c r="AK44" s="71"/>
      <c r="AL44" s="71"/>
      <c r="AM44" s="431"/>
      <c r="AN44" s="433"/>
      <c r="AO44" s="570"/>
      <c r="AP44" s="570"/>
      <c r="AQ44" s="570"/>
      <c r="AR44" s="570"/>
      <c r="AS44" s="570"/>
      <c r="AT44" s="114"/>
      <c r="AU44" s="114"/>
    </row>
    <row r="45" spans="2:53" ht="12.75" customHeight="1" x14ac:dyDescent="0.2">
      <c r="B45" s="59"/>
      <c r="C45" s="59"/>
      <c r="D45" s="71"/>
      <c r="E45" s="71"/>
      <c r="F45" s="71"/>
      <c r="G45" s="71"/>
      <c r="H45" s="71"/>
      <c r="I45" s="71"/>
      <c r="J45" s="71"/>
      <c r="K45" s="71"/>
      <c r="L45" s="71"/>
      <c r="M45" s="71"/>
      <c r="N45" s="71"/>
      <c r="O45" s="71"/>
      <c r="P45" s="686"/>
      <c r="Q45" s="686"/>
      <c r="R45" s="686"/>
      <c r="S45" s="686"/>
      <c r="T45" s="692"/>
      <c r="U45" s="693"/>
      <c r="V45" s="72" t="s">
        <v>179</v>
      </c>
      <c r="W45" s="71"/>
      <c r="X45" s="71"/>
      <c r="Y45" s="71"/>
      <c r="Z45" s="592"/>
      <c r="AA45" s="71"/>
      <c r="AB45" s="122"/>
      <c r="AC45" s="76"/>
      <c r="AD45" s="121"/>
      <c r="AE45" s="71"/>
      <c r="AF45" s="431" t="str">
        <f>'Sprachen &amp; Rückgabewerte(4)'!$H$39</f>
        <v>pulverbeschichtet:</v>
      </c>
      <c r="AG45" s="152"/>
      <c r="AH45" s="152"/>
      <c r="AI45" s="152"/>
      <c r="AJ45" s="152"/>
      <c r="AK45" s="152"/>
      <c r="AL45" s="152"/>
      <c r="AM45" s="614"/>
      <c r="AN45" s="615"/>
      <c r="AO45" s="615"/>
      <c r="AP45" s="615"/>
      <c r="AQ45" s="615"/>
      <c r="AR45" s="615"/>
      <c r="AS45" s="616"/>
      <c r="AT45" s="114"/>
      <c r="AU45" s="204"/>
      <c r="AV45" s="113"/>
      <c r="AW45" s="111"/>
      <c r="AX45" s="113"/>
    </row>
    <row r="46" spans="2:53" ht="12.75" customHeight="1" x14ac:dyDescent="0.2">
      <c r="B46" s="59"/>
      <c r="C46" s="59"/>
      <c r="D46" s="71"/>
      <c r="E46" s="71"/>
      <c r="F46" s="71"/>
      <c r="G46" s="71"/>
      <c r="H46" s="71"/>
      <c r="I46" s="681"/>
      <c r="J46" s="681"/>
      <c r="K46" s="681"/>
      <c r="L46" s="163" t="s">
        <v>193</v>
      </c>
      <c r="M46" s="71"/>
      <c r="N46" s="71"/>
      <c r="O46" s="71"/>
      <c r="P46" s="71"/>
      <c r="Q46" s="71"/>
      <c r="R46" s="71"/>
      <c r="S46" s="71"/>
      <c r="T46" s="71"/>
      <c r="U46" s="71"/>
      <c r="V46" s="71"/>
      <c r="W46" s="71"/>
      <c r="X46" s="71"/>
      <c r="Y46" s="71"/>
      <c r="Z46" s="690" t="str">
        <f>'Sprachen &amp; Rückgabewerte(4)'!$H$34</f>
        <v xml:space="preserve">Höhe = </v>
      </c>
      <c r="AA46" s="71"/>
      <c r="AB46" s="122"/>
      <c r="AC46" s="76"/>
      <c r="AD46" s="121"/>
      <c r="AE46" s="71"/>
      <c r="AF46" s="431" t="str">
        <f>'Sprachen &amp; Rückgabewerte(4)'!$H$40</f>
        <v>Vorbehandlung:</v>
      </c>
      <c r="AG46" s="431"/>
      <c r="AH46" s="71"/>
      <c r="AI46" s="71"/>
      <c r="AJ46" s="71"/>
      <c r="AK46" s="71"/>
      <c r="AL46" s="71"/>
      <c r="AM46" s="611"/>
      <c r="AN46" s="612"/>
      <c r="AO46" s="612"/>
      <c r="AP46" s="612"/>
      <c r="AQ46" s="612"/>
      <c r="AR46" s="612"/>
      <c r="AS46" s="613"/>
      <c r="AT46" s="114"/>
      <c r="AU46" s="114"/>
      <c r="AW46" s="236" t="str">
        <f>'Sprachen &amp; Rückgabewerte(4)'!$H$150</f>
        <v>Farbe Panele:</v>
      </c>
      <c r="AX46" s="114"/>
    </row>
    <row r="47" spans="2:53" ht="12.75" customHeight="1" x14ac:dyDescent="0.2">
      <c r="B47" s="59"/>
      <c r="C47" s="59"/>
      <c r="D47" s="71"/>
      <c r="E47" s="71"/>
      <c r="F47" s="71"/>
      <c r="G47" s="71"/>
      <c r="H47" s="71"/>
      <c r="I47" s="681"/>
      <c r="J47" s="681"/>
      <c r="K47" s="681"/>
      <c r="L47" s="163" t="s">
        <v>193</v>
      </c>
      <c r="M47" s="71"/>
      <c r="N47" s="71"/>
      <c r="O47" s="430"/>
      <c r="P47" s="71"/>
      <c r="Q47" s="71"/>
      <c r="R47" s="71"/>
      <c r="S47" s="71"/>
      <c r="T47" s="71"/>
      <c r="U47" s="71"/>
      <c r="V47" s="71"/>
      <c r="W47" s="71"/>
      <c r="X47" s="71"/>
      <c r="Y47" s="71"/>
      <c r="Z47" s="691"/>
      <c r="AA47" s="430"/>
      <c r="AB47" s="122"/>
      <c r="AC47" s="77"/>
      <c r="AD47" s="121"/>
      <c r="AE47" s="71"/>
      <c r="AF47" s="431" t="str">
        <f>'Sprachen &amp; Rückgabewerte(4)'!$H$176</f>
        <v>Pulverlack Klasse:</v>
      </c>
      <c r="AG47" s="71"/>
      <c r="AH47" s="71"/>
      <c r="AI47" s="71"/>
      <c r="AJ47" s="71"/>
      <c r="AK47" s="71"/>
      <c r="AL47" s="71"/>
      <c r="AM47" s="607"/>
      <c r="AN47" s="608"/>
      <c r="AO47" s="608"/>
      <c r="AP47" s="608"/>
      <c r="AQ47" s="608"/>
      <c r="AR47" s="608"/>
      <c r="AS47" s="609"/>
      <c r="AT47" s="114"/>
      <c r="AU47" s="114"/>
      <c r="AW47" s="59"/>
      <c r="AX47" s="114"/>
    </row>
    <row r="48" spans="2:53" ht="12.75" customHeight="1" x14ac:dyDescent="0.2">
      <c r="B48" s="59"/>
      <c r="C48" s="59"/>
      <c r="D48" s="71"/>
      <c r="E48" s="71"/>
      <c r="F48" s="71"/>
      <c r="G48" s="71"/>
      <c r="H48" s="71"/>
      <c r="I48" s="685"/>
      <c r="J48" s="685"/>
      <c r="K48" s="685"/>
      <c r="L48" s="163" t="s">
        <v>193</v>
      </c>
      <c r="M48" s="71"/>
      <c r="N48" s="71"/>
      <c r="O48" s="430"/>
      <c r="P48" s="71"/>
      <c r="Q48" s="71"/>
      <c r="R48" s="71"/>
      <c r="S48" s="71"/>
      <c r="T48" s="71"/>
      <c r="U48" s="71"/>
      <c r="V48" s="71"/>
      <c r="W48" s="71"/>
      <c r="X48" s="71"/>
      <c r="Y48" s="71"/>
      <c r="Z48" s="691"/>
      <c r="AA48" s="430"/>
      <c r="AB48" s="122"/>
      <c r="AC48" s="77"/>
      <c r="AD48" s="121"/>
      <c r="AE48" s="71"/>
      <c r="AF48" s="605" t="str">
        <f>'Sprachen &amp; Rückgabewerte(4)'!$H$91</f>
        <v>Farbe Laufschiene + Schraubenarretierungen:</v>
      </c>
      <c r="AG48" s="605"/>
      <c r="AH48" s="605"/>
      <c r="AI48" s="605"/>
      <c r="AJ48" s="605"/>
      <c r="AK48" s="605"/>
      <c r="AL48" s="605"/>
      <c r="AM48" s="60"/>
      <c r="AN48" s="60"/>
      <c r="AO48" s="431"/>
      <c r="AP48" s="71"/>
      <c r="AQ48" s="71"/>
      <c r="AR48" s="71"/>
      <c r="AS48" s="71"/>
      <c r="AT48" s="114"/>
      <c r="AU48" s="114"/>
      <c r="AW48" s="559"/>
      <c r="AX48" s="560"/>
    </row>
    <row r="49" spans="2:50" ht="12.75" customHeight="1" x14ac:dyDescent="0.2">
      <c r="B49" s="59"/>
      <c r="C49" s="59"/>
      <c r="D49" s="71"/>
      <c r="E49" s="71"/>
      <c r="F49" s="71"/>
      <c r="G49" s="71"/>
      <c r="H49" s="74" t="str">
        <f>'Sprachen &amp; Rückgabewerte(4)'!$H$32</f>
        <v>Breite =</v>
      </c>
      <c r="I49" s="682"/>
      <c r="J49" s="683"/>
      <c r="K49" s="684"/>
      <c r="L49" s="72" t="s">
        <v>179</v>
      </c>
      <c r="M49" s="71"/>
      <c r="N49" s="71"/>
      <c r="O49" s="430"/>
      <c r="P49" s="71"/>
      <c r="Q49" s="71"/>
      <c r="R49" s="71"/>
      <c r="S49" s="71"/>
      <c r="T49" s="71"/>
      <c r="U49" s="71"/>
      <c r="V49" s="71"/>
      <c r="W49" s="71"/>
      <c r="X49" s="71"/>
      <c r="Y49" s="71"/>
      <c r="Z49" s="691"/>
      <c r="AA49" s="430"/>
      <c r="AB49" s="122"/>
      <c r="AC49" s="77"/>
      <c r="AD49" s="121"/>
      <c r="AE49" s="71"/>
      <c r="AF49" s="605"/>
      <c r="AG49" s="605"/>
      <c r="AH49" s="605"/>
      <c r="AI49" s="605"/>
      <c r="AJ49" s="605"/>
      <c r="AK49" s="605"/>
      <c r="AL49" s="605"/>
      <c r="AM49" s="687"/>
      <c r="AN49" s="688"/>
      <c r="AO49" s="688"/>
      <c r="AP49" s="689"/>
      <c r="AQ49" s="71"/>
      <c r="AR49" s="71"/>
      <c r="AS49" s="71"/>
      <c r="AT49" s="114"/>
      <c r="AU49" s="114"/>
      <c r="AW49" s="67"/>
      <c r="AX49" s="115"/>
    </row>
    <row r="50" spans="2:50" ht="12.75" customHeight="1" x14ac:dyDescent="0.2">
      <c r="B50" s="59"/>
      <c r="C50" s="59"/>
      <c r="D50" s="71"/>
      <c r="E50" s="71"/>
      <c r="F50" s="71"/>
      <c r="G50" s="71"/>
      <c r="H50" s="60"/>
      <c r="I50" s="60"/>
      <c r="J50" s="60"/>
      <c r="K50" s="60"/>
      <c r="L50" s="60"/>
      <c r="M50" s="71"/>
      <c r="N50" s="71"/>
      <c r="O50" s="71"/>
      <c r="P50" s="71"/>
      <c r="Q50" s="71"/>
      <c r="R50" s="71"/>
      <c r="S50" s="71"/>
      <c r="T50" s="71"/>
      <c r="U50" s="71"/>
      <c r="V50" s="71"/>
      <c r="W50" s="71"/>
      <c r="X50" s="71"/>
      <c r="Y50" s="71"/>
      <c r="Z50" s="691"/>
      <c r="AA50" s="71"/>
      <c r="AB50" s="122"/>
      <c r="AC50" s="77"/>
      <c r="AD50" s="123"/>
      <c r="AE50" s="124"/>
      <c r="AF50" s="606"/>
      <c r="AG50" s="606"/>
      <c r="AH50" s="606"/>
      <c r="AI50" s="606"/>
      <c r="AJ50" s="606"/>
      <c r="AK50" s="606"/>
      <c r="AL50" s="606"/>
      <c r="AM50" s="140"/>
      <c r="AN50" s="124"/>
      <c r="AO50" s="124"/>
      <c r="AP50" s="124"/>
      <c r="AQ50" s="124"/>
      <c r="AR50" s="124"/>
      <c r="AS50" s="124"/>
      <c r="AT50" s="115"/>
      <c r="AU50" s="114"/>
    </row>
    <row r="51" spans="2:50" ht="12.75" customHeight="1" x14ac:dyDescent="0.2">
      <c r="B51" s="59"/>
      <c r="C51" s="59"/>
      <c r="D51" s="71"/>
      <c r="E51" s="71"/>
      <c r="F51" s="71"/>
      <c r="G51" s="71"/>
      <c r="H51" s="60"/>
      <c r="I51" s="60"/>
      <c r="J51" s="60"/>
      <c r="K51" s="60"/>
      <c r="L51" s="60"/>
      <c r="M51" s="71"/>
      <c r="N51" s="71"/>
      <c r="O51" s="71"/>
      <c r="P51" s="71"/>
      <c r="Q51" s="71"/>
      <c r="R51" s="71"/>
      <c r="S51" s="71"/>
      <c r="T51" s="71"/>
      <c r="U51" s="71"/>
      <c r="V51" s="71"/>
      <c r="W51" s="71"/>
      <c r="X51" s="71"/>
      <c r="Y51" s="71"/>
      <c r="Z51" s="691"/>
      <c r="AA51" s="71"/>
      <c r="AB51" s="122"/>
      <c r="AC51" s="77"/>
      <c r="AD51" s="71"/>
      <c r="AE51" s="71"/>
      <c r="AF51" s="71"/>
      <c r="AG51" s="71"/>
      <c r="AH51" s="71"/>
      <c r="AI51" s="71"/>
      <c r="AJ51" s="71"/>
      <c r="AK51" s="71"/>
      <c r="AL51" s="71"/>
      <c r="AM51" s="431"/>
      <c r="AN51" s="71"/>
      <c r="AO51" s="71"/>
      <c r="AP51" s="71"/>
      <c r="AQ51" s="71"/>
      <c r="AR51" s="71"/>
      <c r="AS51" s="71"/>
      <c r="AT51" s="60"/>
      <c r="AU51" s="114"/>
    </row>
    <row r="52" spans="2:50" ht="12.75" customHeight="1" x14ac:dyDescent="0.2">
      <c r="B52" s="59"/>
      <c r="C52" s="59"/>
      <c r="D52" s="71"/>
      <c r="E52" s="71"/>
      <c r="F52" s="71"/>
      <c r="G52" s="71"/>
      <c r="H52" s="71"/>
      <c r="I52" s="74"/>
      <c r="J52" s="71"/>
      <c r="K52" s="71"/>
      <c r="L52" s="72"/>
      <c r="M52" s="71"/>
      <c r="N52" s="71"/>
      <c r="O52" s="71"/>
      <c r="P52" s="71"/>
      <c r="Q52" s="71"/>
      <c r="R52" s="71"/>
      <c r="S52" s="71"/>
      <c r="T52" s="71"/>
      <c r="U52" s="71"/>
      <c r="V52" s="71"/>
      <c r="W52" s="71"/>
      <c r="X52" s="71"/>
      <c r="Y52" s="71"/>
      <c r="Z52" s="691"/>
      <c r="AA52" s="71"/>
      <c r="AB52" s="122"/>
      <c r="AC52" s="77"/>
      <c r="AD52" s="118"/>
      <c r="AE52" s="120" t="str">
        <f>'Sprachen &amp; Rückgabewerte(4)'!$H$42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59"/>
      <c r="C53" s="59"/>
      <c r="D53" s="71"/>
      <c r="E53" s="71"/>
      <c r="F53" s="71"/>
      <c r="G53" s="71"/>
      <c r="H53" s="60"/>
      <c r="I53" s="60"/>
      <c r="J53" s="60"/>
      <c r="K53" s="60"/>
      <c r="L53" s="71"/>
      <c r="M53" s="72"/>
      <c r="N53" s="71"/>
      <c r="O53" s="71"/>
      <c r="P53" s="71"/>
      <c r="Q53" s="71"/>
      <c r="R53" s="71"/>
      <c r="S53" s="71"/>
      <c r="T53" s="71"/>
      <c r="U53" s="71"/>
      <c r="V53" s="71"/>
      <c r="W53" s="71"/>
      <c r="X53" s="71"/>
      <c r="Y53" s="71"/>
      <c r="Z53" s="691"/>
      <c r="AA53" s="71"/>
      <c r="AB53" s="122"/>
      <c r="AC53" s="77"/>
      <c r="AD53" s="121"/>
      <c r="AE53" s="567"/>
      <c r="AF53" s="568"/>
      <c r="AG53" s="569"/>
      <c r="AH53" s="71" t="str">
        <f>'Sprachen &amp; Rückgabewerte(4)'!$W$1</f>
        <v>Ug=</v>
      </c>
      <c r="AI53" s="610">
        <f>LOOKUP($AE$53,'Sprachen &amp; Rückgabewerte(4)'!$V$3:$V$35,'Sprachen &amp; Rückgabewerte(4)'!W3:W35)</f>
        <v>0</v>
      </c>
      <c r="AJ53" s="610"/>
      <c r="AK53" s="694" t="str">
        <f>'Sprachen &amp; Rückgabewerte(4)'!$X$1</f>
        <v>Lt=</v>
      </c>
      <c r="AL53" s="694"/>
      <c r="AM53" s="695">
        <f>LOOKUP(AE53,'Sprachen &amp; Rückgabewerte(4)'!V3:V35,'Sprachen &amp; Rückgabewerte(4)'!X3:X35)</f>
        <v>0</v>
      </c>
      <c r="AN53" s="695"/>
      <c r="AO53" s="210" t="str">
        <f>'Sprachen &amp; Rückgabewerte(4)'!$Y$1</f>
        <v>g=</v>
      </c>
      <c r="AP53" s="695">
        <f>LOOKUP(AE53,'Sprachen &amp; Rückgabewerte(4)'!V3:V35,'Sprachen &amp; Rückgabewerte(4)'!Y3:Y35)</f>
        <v>0</v>
      </c>
      <c r="AQ53" s="695"/>
      <c r="AR53" s="71"/>
      <c r="AS53" s="71"/>
      <c r="AT53" s="114"/>
      <c r="AU53" s="114"/>
    </row>
    <row r="54" spans="2:50" ht="12.75" customHeight="1" x14ac:dyDescent="0.2">
      <c r="B54" s="59"/>
      <c r="C54" s="59"/>
      <c r="D54" s="71"/>
      <c r="E54" s="71"/>
      <c r="F54" s="71"/>
      <c r="G54" s="71"/>
      <c r="H54" s="71"/>
      <c r="I54" s="71"/>
      <c r="J54" s="71"/>
      <c r="K54" s="71"/>
      <c r="L54" s="71"/>
      <c r="M54" s="71"/>
      <c r="N54" s="71"/>
      <c r="O54" s="71"/>
      <c r="P54" s="71"/>
      <c r="Q54" s="71"/>
      <c r="R54" s="71"/>
      <c r="S54" s="71"/>
      <c r="T54" s="71"/>
      <c r="U54" s="71"/>
      <c r="V54" s="71"/>
      <c r="W54" s="71"/>
      <c r="X54" s="71"/>
      <c r="Y54" s="71"/>
      <c r="Z54" s="691"/>
      <c r="AA54" s="71"/>
      <c r="AB54" s="122"/>
      <c r="AC54" s="71"/>
      <c r="AD54" s="121"/>
      <c r="AE54" s="71"/>
      <c r="AF54" s="71"/>
      <c r="AG54" s="71"/>
      <c r="AH54" s="72" t="str">
        <f>IF(AT52=1,'Sprachen &amp; Rückgabewerte(4)'!H158,LOOKUP(AE53,'Sprachen &amp; Rückgabewerte(4)'!V3:V35,'Sprachen &amp; Rückgabewerte(4)'!Z3:Z35))</f>
        <v>Glastyp wählen</v>
      </c>
      <c r="AI54" s="71"/>
      <c r="AJ54" s="71"/>
      <c r="AK54" s="71"/>
      <c r="AL54" s="71"/>
      <c r="AM54" s="431"/>
      <c r="AN54" s="78"/>
      <c r="AO54" s="78"/>
      <c r="AP54" s="71"/>
      <c r="AQ54" s="71"/>
      <c r="AR54" s="71"/>
      <c r="AS54" s="71"/>
      <c r="AT54" s="114"/>
      <c r="AU54" s="114"/>
    </row>
    <row r="55" spans="2:50" ht="12.75" customHeight="1" x14ac:dyDescent="0.2">
      <c r="B55" s="59"/>
      <c r="C55" s="59"/>
      <c r="D55" s="71"/>
      <c r="E55" s="71"/>
      <c r="F55" s="71"/>
      <c r="G55" s="71"/>
      <c r="H55" s="71"/>
      <c r="I55" s="71"/>
      <c r="J55" s="71"/>
      <c r="K55" s="71"/>
      <c r="L55" s="71"/>
      <c r="M55" s="71"/>
      <c r="N55" s="71"/>
      <c r="O55" s="71"/>
      <c r="P55" s="71"/>
      <c r="Q55" s="71"/>
      <c r="R55" s="71"/>
      <c r="S55" s="71"/>
      <c r="T55" s="71"/>
      <c r="U55" s="71"/>
      <c r="V55" s="71"/>
      <c r="W55" s="71"/>
      <c r="X55" s="71"/>
      <c r="Y55" s="71"/>
      <c r="Z55" s="71"/>
      <c r="AA55" s="71"/>
      <c r="AB55" s="122"/>
      <c r="AC55" s="71"/>
      <c r="AD55" s="121"/>
      <c r="AE55" s="210"/>
      <c r="AF55" s="210"/>
      <c r="AG55" s="210"/>
      <c r="AH55" s="210"/>
      <c r="AI55" s="210"/>
      <c r="AJ55" s="210"/>
      <c r="AK55" s="210"/>
      <c r="AL55" s="210"/>
      <c r="AM55" s="210"/>
      <c r="AN55" s="210"/>
      <c r="AO55" s="328"/>
      <c r="AP55" s="328"/>
      <c r="AQ55" s="71"/>
      <c r="AR55" s="79"/>
      <c r="AS55" s="71"/>
      <c r="AT55" s="114"/>
      <c r="AU55" s="114"/>
    </row>
    <row r="56" spans="2:50" ht="12.75" customHeight="1" x14ac:dyDescent="0.2">
      <c r="B56" s="59"/>
      <c r="C56" s="59"/>
      <c r="D56" s="71"/>
      <c r="E56" s="71"/>
      <c r="F56" s="71"/>
      <c r="G56" s="71"/>
      <c r="H56" s="71"/>
      <c r="I56" s="71"/>
      <c r="J56" s="71"/>
      <c r="K56" s="71"/>
      <c r="L56" s="71"/>
      <c r="M56" s="71"/>
      <c r="N56" s="71"/>
      <c r="O56" s="71"/>
      <c r="P56" s="71"/>
      <c r="Q56" s="71"/>
      <c r="R56" s="71"/>
      <c r="S56" s="71"/>
      <c r="T56" s="71"/>
      <c r="U56" s="71"/>
      <c r="V56" s="71"/>
      <c r="W56" s="71"/>
      <c r="X56" s="71"/>
      <c r="Y56" s="71"/>
      <c r="Z56" s="71"/>
      <c r="AA56" s="71"/>
      <c r="AB56" s="122"/>
      <c r="AC56" s="71"/>
      <c r="AD56" s="121"/>
      <c r="AE56" s="71"/>
      <c r="AF56" s="132"/>
      <c r="AG56" s="71"/>
      <c r="AH56" s="71"/>
      <c r="AI56" s="71"/>
      <c r="AJ56" s="71"/>
      <c r="AK56" s="71"/>
      <c r="AL56" s="71"/>
      <c r="AM56" s="71"/>
      <c r="AN56" s="132"/>
      <c r="AQ56" s="71"/>
      <c r="AS56" s="79"/>
      <c r="AT56" s="114"/>
      <c r="AU56" s="114"/>
    </row>
    <row r="57" spans="2:50" ht="12.75" customHeight="1" x14ac:dyDescent="0.2">
      <c r="B57" s="59"/>
      <c r="C57" s="59"/>
      <c r="D57" s="71"/>
      <c r="E57" s="71"/>
      <c r="F57" s="71"/>
      <c r="G57" s="71"/>
      <c r="H57" s="71"/>
      <c r="I57" s="71"/>
      <c r="J57" s="71"/>
      <c r="K57" s="71"/>
      <c r="L57" s="71"/>
      <c r="M57" s="71"/>
      <c r="N57" s="71"/>
      <c r="O57" s="71"/>
      <c r="P57" s="71"/>
      <c r="Q57" s="71"/>
      <c r="R57" s="71"/>
      <c r="S57" s="71"/>
      <c r="T57" s="71"/>
      <c r="U57" s="71"/>
      <c r="V57" s="71"/>
      <c r="W57" s="71"/>
      <c r="X57" s="71"/>
      <c r="Y57" s="71"/>
      <c r="Z57" s="71"/>
      <c r="AA57" s="71"/>
      <c r="AB57" s="122"/>
      <c r="AC57" s="71"/>
      <c r="AD57" s="121"/>
      <c r="AE57" s="71"/>
      <c r="AF57" s="132" t="str">
        <f>'Sprachen &amp; Rückgabewerte(4)'!$H$45</f>
        <v>Speziell:</v>
      </c>
      <c r="AG57" s="71"/>
      <c r="AH57" s="71"/>
      <c r="AI57" s="577"/>
      <c r="AJ57" s="578"/>
      <c r="AK57" s="578"/>
      <c r="AL57" s="578"/>
      <c r="AM57" s="578"/>
      <c r="AN57" s="578"/>
      <c r="AO57" s="578"/>
      <c r="AP57" s="578"/>
      <c r="AQ57" s="578"/>
      <c r="AR57" s="578"/>
      <c r="AS57" s="579"/>
      <c r="AT57" s="114"/>
      <c r="AU57" s="114"/>
    </row>
    <row r="58" spans="2:50" ht="12.75" customHeight="1" x14ac:dyDescent="0.2">
      <c r="B58" s="59"/>
      <c r="C58" s="59"/>
      <c r="D58" s="71"/>
      <c r="E58" s="71"/>
      <c r="F58" s="71"/>
      <c r="G58" s="71"/>
      <c r="H58" s="71"/>
      <c r="I58" s="74"/>
      <c r="J58" s="72"/>
      <c r="K58" s="72"/>
      <c r="L58" s="72"/>
      <c r="M58" s="72"/>
      <c r="N58" s="72"/>
      <c r="O58" s="71"/>
      <c r="P58" s="71"/>
      <c r="Q58" s="71"/>
      <c r="R58" s="71"/>
      <c r="S58" s="71"/>
      <c r="T58" s="71"/>
      <c r="U58" s="71"/>
      <c r="V58" s="71"/>
      <c r="W58" s="71"/>
      <c r="X58" s="71"/>
      <c r="Y58" s="71"/>
      <c r="Z58" s="71"/>
      <c r="AA58" s="71"/>
      <c r="AB58" s="122"/>
      <c r="AC58" s="71"/>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59"/>
      <c r="C59" s="59"/>
      <c r="D59" s="71"/>
      <c r="E59" s="71"/>
      <c r="F59" s="71"/>
      <c r="G59" s="71"/>
      <c r="H59" s="71"/>
      <c r="I59" s="74"/>
      <c r="J59" s="72"/>
      <c r="K59" s="72"/>
      <c r="L59" s="72"/>
      <c r="M59" s="72"/>
      <c r="N59" s="72"/>
      <c r="O59" s="71"/>
      <c r="P59" s="71"/>
      <c r="Q59" s="71"/>
      <c r="R59" s="71"/>
      <c r="S59" s="71"/>
      <c r="T59" s="71"/>
      <c r="U59" s="71"/>
      <c r="V59" s="71"/>
      <c r="W59" s="71"/>
      <c r="X59" s="71"/>
      <c r="Y59" s="71"/>
      <c r="Z59" s="71"/>
      <c r="AA59" s="71"/>
      <c r="AB59" s="122"/>
      <c r="AC59" s="71"/>
      <c r="AD59" s="71"/>
      <c r="AE59" s="71"/>
      <c r="AF59" s="71"/>
      <c r="AG59" s="71"/>
      <c r="AH59" s="71"/>
      <c r="AI59" s="78"/>
      <c r="AJ59" s="78"/>
      <c r="AK59" s="78"/>
      <c r="AL59" s="78"/>
      <c r="AM59" s="78"/>
      <c r="AN59" s="78"/>
      <c r="AO59" s="78"/>
      <c r="AP59" s="78"/>
      <c r="AQ59" s="78"/>
      <c r="AR59" s="78"/>
      <c r="AS59" s="78"/>
      <c r="AT59" s="60"/>
      <c r="AU59" s="114"/>
    </row>
    <row r="60" spans="2:50" ht="12.75" customHeight="1" x14ac:dyDescent="0.2">
      <c r="B60" s="59"/>
      <c r="C60" s="67"/>
      <c r="D60" s="124"/>
      <c r="E60" s="124"/>
      <c r="F60" s="183" t="str">
        <f>'Sprachen &amp; Rückgabewerte(4)'!$H$110</f>
        <v>KABA (22)</v>
      </c>
      <c r="G60" s="124"/>
      <c r="H60" s="124"/>
      <c r="I60" s="124"/>
      <c r="J60" s="124"/>
      <c r="K60" s="124"/>
      <c r="L60" s="183" t="str">
        <f>'Sprachen &amp; Rückgabewerte(4)'!$H$111</f>
        <v>PZ / Euro (17)</v>
      </c>
      <c r="M60" s="124"/>
      <c r="N60" s="124"/>
      <c r="O60" s="124"/>
      <c r="P60" s="124"/>
      <c r="Q60" s="124"/>
      <c r="R60" s="124"/>
      <c r="S60" s="124"/>
      <c r="T60" s="124"/>
      <c r="U60" s="124"/>
      <c r="V60" s="124"/>
      <c r="W60" s="124"/>
      <c r="X60" s="124"/>
      <c r="Y60" s="124"/>
      <c r="Z60" s="124"/>
      <c r="AA60" s="154"/>
      <c r="AB60" s="125"/>
      <c r="AC60" s="71"/>
      <c r="AD60" s="118"/>
      <c r="AE60" s="120" t="str">
        <f>'Sprachen &amp; Rückgabewerte(4)'!$H$64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59"/>
      <c r="C61" s="60"/>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121"/>
      <c r="AE61" s="71"/>
      <c r="AF61" s="80"/>
      <c r="AG61" s="71"/>
      <c r="AH61" s="71"/>
      <c r="AI61" s="71"/>
      <c r="AJ61" s="71"/>
      <c r="AK61" s="71"/>
      <c r="AL61" s="71"/>
      <c r="AM61" s="431"/>
      <c r="AN61" s="71"/>
      <c r="AO61" s="71"/>
      <c r="AP61" s="71"/>
      <c r="AQ61" s="71"/>
      <c r="AR61" s="71"/>
      <c r="AS61" s="71"/>
      <c r="AT61" s="114"/>
      <c r="AU61" s="114"/>
    </row>
    <row r="62" spans="2:50" ht="12.75" customHeight="1" x14ac:dyDescent="0.2">
      <c r="B62" s="59"/>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33"/>
      <c r="AC62" s="71"/>
      <c r="AD62" s="121"/>
      <c r="AE62" s="71"/>
      <c r="AF62" s="80"/>
      <c r="AG62" s="71"/>
      <c r="AH62" s="71"/>
      <c r="AI62" s="71"/>
      <c r="AJ62" s="71"/>
      <c r="AK62" s="71"/>
      <c r="AL62" s="71"/>
      <c r="AM62" s="431"/>
      <c r="AN62" s="71"/>
      <c r="AO62" s="71"/>
      <c r="AP62" s="71"/>
      <c r="AQ62" s="71"/>
      <c r="AR62" s="71"/>
      <c r="AS62" s="71"/>
      <c r="AT62" s="114"/>
      <c r="AU62" s="114"/>
    </row>
    <row r="63" spans="2:50" ht="12.75" customHeight="1" x14ac:dyDescent="0.2">
      <c r="B63" s="59"/>
      <c r="C63" s="59"/>
      <c r="D63" s="71"/>
      <c r="E63" s="71"/>
      <c r="F63" s="60"/>
      <c r="G63" s="71"/>
      <c r="H63" s="71"/>
      <c r="I63" s="71"/>
      <c r="J63" s="71"/>
      <c r="K63" s="71"/>
      <c r="L63" s="60"/>
      <c r="M63" s="71"/>
      <c r="N63" s="71"/>
      <c r="O63" s="71"/>
      <c r="P63" s="71"/>
      <c r="Q63" s="71"/>
      <c r="R63" s="71"/>
      <c r="S63" s="71"/>
      <c r="T63" s="71"/>
      <c r="U63" s="71"/>
      <c r="V63" s="71"/>
      <c r="W63" s="71"/>
      <c r="X63" s="71"/>
      <c r="Y63" s="71"/>
      <c r="Z63" s="71"/>
      <c r="AA63" s="71"/>
      <c r="AB63" s="122"/>
      <c r="AC63" s="71"/>
      <c r="AD63" s="121"/>
      <c r="AE63" s="71"/>
      <c r="AF63" s="71"/>
      <c r="AG63" s="71"/>
      <c r="AH63" s="71"/>
      <c r="AI63" s="71"/>
      <c r="AJ63" s="71"/>
      <c r="AK63" s="71"/>
      <c r="AL63" s="71"/>
      <c r="AM63" s="431"/>
      <c r="AN63" s="71"/>
      <c r="AO63" s="71"/>
      <c r="AP63" s="71"/>
      <c r="AQ63" s="71"/>
      <c r="AR63" s="71"/>
      <c r="AS63" s="71"/>
      <c r="AT63" s="114"/>
      <c r="AU63" s="114"/>
    </row>
    <row r="64" spans="2:50" ht="12.75" customHeight="1" x14ac:dyDescent="0.2">
      <c r="B64" s="59"/>
      <c r="C64" s="59"/>
      <c r="D64" s="71"/>
      <c r="E64" s="72"/>
      <c r="F64" s="72"/>
      <c r="G64" s="71"/>
      <c r="H64" s="71"/>
      <c r="I64" s="71"/>
      <c r="J64" s="71"/>
      <c r="K64" s="71"/>
      <c r="L64" s="72"/>
      <c r="M64" s="71"/>
      <c r="N64" s="71"/>
      <c r="O64" s="71"/>
      <c r="P64" s="71"/>
      <c r="Q64" s="71"/>
      <c r="R64" s="71"/>
      <c r="S64" s="71"/>
      <c r="T64" s="71"/>
      <c r="U64" s="71"/>
      <c r="V64" s="71"/>
      <c r="W64" s="71"/>
      <c r="X64" s="71"/>
      <c r="Y64" s="71"/>
      <c r="Z64" s="71"/>
      <c r="AA64" s="71"/>
      <c r="AB64" s="122"/>
      <c r="AC64" s="71"/>
      <c r="AD64" s="121"/>
      <c r="AE64" s="71"/>
      <c r="AF64" s="71"/>
      <c r="AG64" s="71"/>
      <c r="AH64" s="71"/>
      <c r="AI64" s="71"/>
      <c r="AJ64" s="71"/>
      <c r="AK64" s="71"/>
      <c r="AL64" s="71"/>
      <c r="AM64" s="431"/>
      <c r="AN64" s="71"/>
      <c r="AO64" s="71"/>
      <c r="AP64" s="71"/>
      <c r="AQ64" s="71"/>
      <c r="AR64" s="71"/>
      <c r="AS64" s="71"/>
      <c r="AT64" s="114"/>
      <c r="AU64" s="114"/>
    </row>
    <row r="65" spans="2:50" ht="12.75" customHeight="1" x14ac:dyDescent="0.2">
      <c r="B65" s="59"/>
      <c r="C65" s="59"/>
      <c r="D65" s="71"/>
      <c r="E65" s="71"/>
      <c r="F65" s="71"/>
      <c r="G65" s="71"/>
      <c r="H65" s="71"/>
      <c r="I65" s="71"/>
      <c r="J65" s="71"/>
      <c r="K65" s="71"/>
      <c r="L65" s="71"/>
      <c r="M65" s="71"/>
      <c r="N65" s="71"/>
      <c r="O65" s="71"/>
      <c r="P65" s="71"/>
      <c r="Q65" s="71"/>
      <c r="R65" s="71"/>
      <c r="S65" s="71"/>
      <c r="T65" s="71"/>
      <c r="U65" s="71"/>
      <c r="V65" s="71"/>
      <c r="W65" s="71"/>
      <c r="X65" s="71"/>
      <c r="Y65" s="71"/>
      <c r="Z65" s="71"/>
      <c r="AA65" s="71"/>
      <c r="AB65" s="122"/>
      <c r="AC65" s="71"/>
      <c r="AD65" s="121"/>
      <c r="AE65" s="71"/>
      <c r="AF65" s="71"/>
      <c r="AG65" s="71"/>
      <c r="AH65" s="71"/>
      <c r="AI65" s="71"/>
      <c r="AJ65" s="71"/>
      <c r="AK65" s="71"/>
      <c r="AL65" s="71"/>
      <c r="AM65" s="71"/>
      <c r="AN65" s="71"/>
      <c r="AO65" s="71"/>
      <c r="AP65" s="71"/>
      <c r="AQ65" s="71"/>
      <c r="AR65" s="71"/>
      <c r="AS65" s="71"/>
      <c r="AT65" s="114"/>
      <c r="AU65" s="114"/>
    </row>
    <row r="66" spans="2:50" ht="12.75" customHeight="1" x14ac:dyDescent="0.2">
      <c r="B66" s="59"/>
      <c r="C66" s="59"/>
      <c r="D66" s="71"/>
      <c r="E66" s="71"/>
      <c r="F66" s="71"/>
      <c r="G66" s="71"/>
      <c r="H66" s="71"/>
      <c r="I66" s="71"/>
      <c r="J66" s="71"/>
      <c r="K66" s="71"/>
      <c r="L66" s="71"/>
      <c r="M66" s="71"/>
      <c r="N66" s="71"/>
      <c r="O66" s="71"/>
      <c r="P66" s="71"/>
      <c r="Q66" s="71"/>
      <c r="R66" s="71"/>
      <c r="S66" s="71"/>
      <c r="T66" s="71"/>
      <c r="U66" s="71"/>
      <c r="V66" s="71"/>
      <c r="W66" s="71"/>
      <c r="X66" s="71"/>
      <c r="Y66" s="71"/>
      <c r="Z66" s="71"/>
      <c r="AA66" s="71"/>
      <c r="AB66" s="122"/>
      <c r="AC66" s="71"/>
      <c r="AD66" s="121"/>
      <c r="AE66" s="71"/>
      <c r="AF66" s="71"/>
      <c r="AG66" s="71"/>
      <c r="AH66" s="71"/>
      <c r="AI66" s="71"/>
      <c r="AJ66" s="71"/>
      <c r="AK66" s="71"/>
      <c r="AL66" s="71"/>
      <c r="AM66" s="71"/>
      <c r="AN66" s="71"/>
      <c r="AO66" s="71"/>
      <c r="AP66" s="71"/>
      <c r="AQ66" s="71"/>
      <c r="AR66" s="71"/>
      <c r="AS66" s="71"/>
      <c r="AT66" s="114"/>
      <c r="AU66" s="114"/>
    </row>
    <row r="67" spans="2:50" ht="12.75" customHeight="1" x14ac:dyDescent="0.2">
      <c r="B67" s="59"/>
      <c r="C67" s="59"/>
      <c r="D67" s="71"/>
      <c r="E67" s="71"/>
      <c r="F67" s="71"/>
      <c r="G67" s="71"/>
      <c r="H67" s="71"/>
      <c r="I67" s="71"/>
      <c r="J67" s="71"/>
      <c r="K67" s="71"/>
      <c r="L67" s="71"/>
      <c r="M67" s="71"/>
      <c r="N67" s="71"/>
      <c r="O67" s="71"/>
      <c r="P67" s="71"/>
      <c r="Q67" s="71"/>
      <c r="R67" s="71"/>
      <c r="S67" s="71"/>
      <c r="T67" s="71"/>
      <c r="U67" s="71"/>
      <c r="V67" s="71"/>
      <c r="W67" s="71"/>
      <c r="X67" s="71"/>
      <c r="Y67" s="71"/>
      <c r="Z67" s="71"/>
      <c r="AA67" s="71"/>
      <c r="AB67" s="122"/>
      <c r="AC67" s="71"/>
      <c r="AD67" s="121"/>
      <c r="AE67" s="71"/>
      <c r="AF67" s="71"/>
      <c r="AG67" s="71"/>
      <c r="AH67" s="71"/>
      <c r="AI67" s="71"/>
      <c r="AJ67" s="71"/>
      <c r="AK67" s="71"/>
      <c r="AL67" s="71"/>
      <c r="AM67" s="71"/>
      <c r="AN67" s="71"/>
      <c r="AO67" s="71"/>
      <c r="AP67" s="71"/>
      <c r="AQ67" s="71"/>
      <c r="AR67" s="71"/>
      <c r="AS67" s="71"/>
      <c r="AT67" s="114"/>
      <c r="AU67" s="114"/>
    </row>
    <row r="68" spans="2:50" ht="12.75" customHeight="1" x14ac:dyDescent="0.2">
      <c r="B68" s="59"/>
      <c r="C68" s="59"/>
      <c r="D68" s="71"/>
      <c r="E68" s="71"/>
      <c r="F68" s="71"/>
      <c r="G68" s="71"/>
      <c r="H68" s="71"/>
      <c r="I68" s="71"/>
      <c r="J68" s="71"/>
      <c r="K68" s="71"/>
      <c r="L68" s="71"/>
      <c r="M68" s="71"/>
      <c r="N68" s="71"/>
      <c r="O68" s="71"/>
      <c r="P68" s="71"/>
      <c r="Q68" s="71"/>
      <c r="R68" s="71"/>
      <c r="S68" s="71"/>
      <c r="T68" s="71"/>
      <c r="U68" s="71"/>
      <c r="V68" s="71"/>
      <c r="W68" s="71"/>
      <c r="X68" s="71"/>
      <c r="Y68" s="71"/>
      <c r="Z68" s="71"/>
      <c r="AA68" s="71"/>
      <c r="AB68" s="122"/>
      <c r="AC68" s="71"/>
      <c r="AD68" s="121"/>
      <c r="AE68" s="71"/>
      <c r="AF68" s="71"/>
      <c r="AG68" s="71"/>
      <c r="AH68" s="71"/>
      <c r="AI68" s="71"/>
      <c r="AJ68" s="71"/>
      <c r="AK68" s="71"/>
      <c r="AL68" s="71"/>
      <c r="AM68" s="71"/>
      <c r="AN68" s="71"/>
      <c r="AO68" s="71"/>
      <c r="AP68" s="71"/>
      <c r="AQ68" s="71"/>
      <c r="AR68" s="71"/>
      <c r="AS68" s="71"/>
      <c r="AT68" s="114"/>
      <c r="AU68" s="114"/>
    </row>
    <row r="69" spans="2:50" ht="12.75" customHeight="1" x14ac:dyDescent="0.2">
      <c r="B69" s="59"/>
      <c r="C69" s="59"/>
      <c r="D69" s="71"/>
      <c r="E69" s="71"/>
      <c r="F69" s="71"/>
      <c r="G69" s="71"/>
      <c r="H69" s="71"/>
      <c r="I69" s="71"/>
      <c r="J69" s="71"/>
      <c r="K69" s="71"/>
      <c r="L69" s="71"/>
      <c r="M69" s="71"/>
      <c r="N69" s="71"/>
      <c r="O69" s="71"/>
      <c r="P69" s="71"/>
      <c r="Q69" s="71"/>
      <c r="R69" s="71"/>
      <c r="S69" s="71"/>
      <c r="T69" s="71"/>
      <c r="U69" s="71"/>
      <c r="V69" s="71"/>
      <c r="W69" s="71"/>
      <c r="X69" s="71"/>
      <c r="Y69" s="71"/>
      <c r="Z69" s="71"/>
      <c r="AA69" s="71"/>
      <c r="AB69" s="122"/>
      <c r="AC69" s="71"/>
      <c r="AD69" s="121"/>
      <c r="AE69" s="71"/>
      <c r="AF69" s="71"/>
      <c r="AG69" s="71"/>
      <c r="AH69" s="71"/>
      <c r="AI69" s="71"/>
      <c r="AJ69" s="71"/>
      <c r="AK69" s="71"/>
      <c r="AL69" s="71"/>
      <c r="AM69" s="71"/>
      <c r="AN69" s="71"/>
      <c r="AO69" s="71"/>
      <c r="AP69" s="71"/>
      <c r="AQ69" s="71"/>
      <c r="AR69" s="71"/>
      <c r="AS69" s="71"/>
      <c r="AT69" s="114"/>
      <c r="AU69" s="114"/>
    </row>
    <row r="70" spans="2:50" ht="12.75" customHeight="1" x14ac:dyDescent="0.2">
      <c r="B70" s="59"/>
      <c r="C70" s="59"/>
      <c r="D70" s="71"/>
      <c r="E70" s="71"/>
      <c r="F70" s="71"/>
      <c r="G70" s="71"/>
      <c r="H70" s="71"/>
      <c r="I70" s="71"/>
      <c r="J70" s="71"/>
      <c r="K70" s="71"/>
      <c r="L70" s="71"/>
      <c r="M70" s="71"/>
      <c r="N70" s="71"/>
      <c r="O70" s="71"/>
      <c r="P70" s="71"/>
      <c r="Q70" s="71"/>
      <c r="R70" s="71"/>
      <c r="S70" s="71"/>
      <c r="T70" s="71"/>
      <c r="U70" s="71"/>
      <c r="V70" s="71"/>
      <c r="W70" s="71"/>
      <c r="X70" s="71"/>
      <c r="Y70" s="71"/>
      <c r="Z70" s="71"/>
      <c r="AA70" s="71"/>
      <c r="AB70" s="122"/>
      <c r="AC70" s="71"/>
      <c r="AD70" s="121"/>
      <c r="AE70" s="556"/>
      <c r="AF70" s="557"/>
      <c r="AG70" s="557"/>
      <c r="AH70" s="557"/>
      <c r="AI70" s="557"/>
      <c r="AJ70" s="557"/>
      <c r="AK70" s="557"/>
      <c r="AL70" s="558"/>
      <c r="AM70" s="71"/>
      <c r="AN70" s="580"/>
      <c r="AO70" s="581"/>
      <c r="AP70" s="581"/>
      <c r="AQ70" s="581"/>
      <c r="AR70" s="581"/>
      <c r="AS70" s="582"/>
      <c r="AT70" s="114"/>
      <c r="AU70" s="114"/>
    </row>
    <row r="71" spans="2:50" ht="12.75" customHeight="1" x14ac:dyDescent="0.2">
      <c r="B71" s="59"/>
      <c r="C71" s="59"/>
      <c r="D71" s="71"/>
      <c r="E71" s="71"/>
      <c r="F71" s="72" t="str">
        <f>'Sprachen &amp; Rückgabewerte(4)'!$B$41</f>
        <v>120101/120101</v>
      </c>
      <c r="G71" s="71"/>
      <c r="H71" s="71"/>
      <c r="I71" s="71"/>
      <c r="J71" s="71"/>
      <c r="K71" s="71"/>
      <c r="L71" s="72" t="str">
        <f>'Sprachen &amp; Rückgabewerte(4)'!$B$42</f>
        <v>120101/120401</v>
      </c>
      <c r="M71" s="60"/>
      <c r="N71" s="71"/>
      <c r="O71" s="71"/>
      <c r="P71" s="71"/>
      <c r="Q71" s="71"/>
      <c r="R71" s="72" t="str">
        <f>'Sprachen &amp; Rückgabewerte(4)'!$B$43</f>
        <v>120401/120401</v>
      </c>
      <c r="S71" s="71"/>
      <c r="T71" s="71"/>
      <c r="U71" s="71"/>
      <c r="V71" s="71"/>
      <c r="W71" s="71"/>
      <c r="X71" s="72" t="str">
        <f>'Sprachen &amp; Rückgabewerte(4)'!$B$44</f>
        <v>121101/121101</v>
      </c>
      <c r="Y71" s="60"/>
      <c r="Z71" s="71"/>
      <c r="AA71" s="71"/>
      <c r="AB71" s="122"/>
      <c r="AC71" s="71"/>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59"/>
      <c r="C72" s="59"/>
      <c r="D72" s="71"/>
      <c r="E72" s="71"/>
      <c r="F72" s="665"/>
      <c r="G72" s="666"/>
      <c r="H72" s="666"/>
      <c r="I72" s="667"/>
      <c r="J72" s="71"/>
      <c r="K72" s="71"/>
      <c r="L72" s="665"/>
      <c r="M72" s="666"/>
      <c r="N72" s="666"/>
      <c r="O72" s="667"/>
      <c r="P72" s="71"/>
      <c r="Q72" s="71"/>
      <c r="R72" s="665"/>
      <c r="S72" s="666"/>
      <c r="T72" s="666"/>
      <c r="U72" s="667"/>
      <c r="V72" s="71"/>
      <c r="W72" s="71"/>
      <c r="X72" s="665"/>
      <c r="Y72" s="666"/>
      <c r="Z72" s="666"/>
      <c r="AA72" s="667"/>
      <c r="AB72" s="122"/>
      <c r="AC72" s="71"/>
      <c r="AD72" s="71"/>
      <c r="AE72" s="71"/>
      <c r="AF72" s="71"/>
      <c r="AG72" s="71"/>
      <c r="AH72" s="71"/>
      <c r="AI72" s="71"/>
      <c r="AJ72" s="71"/>
      <c r="AK72" s="71"/>
      <c r="AL72" s="71"/>
      <c r="AM72" s="71"/>
      <c r="AN72" s="71"/>
      <c r="AO72" s="71"/>
      <c r="AP72" s="71"/>
      <c r="AQ72" s="71"/>
      <c r="AR72" s="71"/>
      <c r="AS72" s="71"/>
      <c r="AT72" s="60"/>
      <c r="AU72" s="114"/>
    </row>
    <row r="73" spans="2:50" ht="12.75" customHeight="1" x14ac:dyDescent="0.2">
      <c r="B73" s="59"/>
      <c r="C73" s="59"/>
      <c r="D73" s="71"/>
      <c r="E73" s="71"/>
      <c r="F73" s="71"/>
      <c r="G73" s="71"/>
      <c r="H73" s="71"/>
      <c r="I73" s="71"/>
      <c r="J73" s="71"/>
      <c r="K73" s="71"/>
      <c r="L73" s="71"/>
      <c r="M73" s="71"/>
      <c r="N73" s="71"/>
      <c r="O73" s="71"/>
      <c r="P73" s="71"/>
      <c r="Q73" s="71"/>
      <c r="R73" s="71"/>
      <c r="S73" s="71"/>
      <c r="T73" s="71"/>
      <c r="U73" s="71"/>
      <c r="V73" s="71"/>
      <c r="W73" s="71"/>
      <c r="X73" s="71"/>
      <c r="Y73" s="71"/>
      <c r="Z73" s="71"/>
      <c r="AA73" s="71"/>
      <c r="AB73" s="332"/>
      <c r="AC73" s="71"/>
      <c r="AD73" s="118"/>
      <c r="AE73" s="120" t="str">
        <f>'Sprachen &amp; Rückgabewerte(4)'!$H$70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59"/>
      <c r="C74" s="59"/>
      <c r="D74" s="71"/>
      <c r="E74" s="71"/>
      <c r="F74" s="71"/>
      <c r="G74" s="71"/>
      <c r="H74" s="71"/>
      <c r="I74" s="71"/>
      <c r="J74" s="71"/>
      <c r="K74" s="71"/>
      <c r="L74" s="71"/>
      <c r="M74" s="71"/>
      <c r="N74" s="71"/>
      <c r="O74" s="71"/>
      <c r="P74" s="71"/>
      <c r="Q74" s="71"/>
      <c r="R74" s="71"/>
      <c r="S74" s="71"/>
      <c r="T74" s="71"/>
      <c r="U74" s="71"/>
      <c r="V74" s="71"/>
      <c r="W74" s="71"/>
      <c r="X74" s="71"/>
      <c r="Y74" s="71"/>
      <c r="Z74" s="71"/>
      <c r="AA74" s="71"/>
      <c r="AB74" s="122"/>
      <c r="AC74" s="71"/>
      <c r="AD74" s="121"/>
      <c r="AE74" s="71"/>
      <c r="AF74" s="71" t="str">
        <f>'Sprachen &amp; Rückgabewerte(4)'!$H$71</f>
        <v>Universalschrauben (A2):</v>
      </c>
      <c r="AG74" s="71"/>
      <c r="AH74" s="71"/>
      <c r="AI74" s="71"/>
      <c r="AJ74" s="71"/>
      <c r="AK74" s="71"/>
      <c r="AL74" s="71"/>
      <c r="AM74" s="71" t="str">
        <f>'Sprachen &amp; Rückgabewerte(4)'!H72</f>
        <v>L=52mm</v>
      </c>
      <c r="AN74" s="380"/>
      <c r="AO74" s="382"/>
      <c r="AP74" s="383"/>
      <c r="AQ74" s="141" t="str">
        <f>'Sprachen &amp; Rückgabewerte(4)'!$H$180</f>
        <v>VE</v>
      </c>
      <c r="AR74" s="71"/>
      <c r="AS74" s="71"/>
      <c r="AT74" s="114"/>
      <c r="AU74" s="114"/>
    </row>
    <row r="75" spans="2:50" ht="12.75" customHeight="1" thickBot="1" x14ac:dyDescent="0.25">
      <c r="B75" s="59"/>
      <c r="C75" s="59"/>
      <c r="D75" s="71"/>
      <c r="E75" s="71"/>
      <c r="F75" s="71"/>
      <c r="G75" s="71"/>
      <c r="H75" s="71"/>
      <c r="I75" s="71"/>
      <c r="J75" s="71"/>
      <c r="K75" s="71"/>
      <c r="L75" s="71"/>
      <c r="M75" s="71"/>
      <c r="N75" s="71"/>
      <c r="O75" s="71"/>
      <c r="P75" s="71"/>
      <c r="Q75" s="71"/>
      <c r="R75" s="71"/>
      <c r="S75" s="71"/>
      <c r="T75" s="71"/>
      <c r="U75" s="71"/>
      <c r="V75" s="71"/>
      <c r="W75" s="71"/>
      <c r="X75" s="71"/>
      <c r="Y75" s="71"/>
      <c r="Z75" s="71"/>
      <c r="AA75" s="71"/>
      <c r="AB75" s="122"/>
      <c r="AC75" s="71"/>
      <c r="AD75" s="121"/>
      <c r="AE75" s="71"/>
      <c r="AF75" s="71"/>
      <c r="AG75" s="78" t="str">
        <f>'Sprachen &amp; Rückgabewerte(4)'!H75</f>
        <v>(VE à 100 Stk.)</v>
      </c>
      <c r="AH75" s="71"/>
      <c r="AI75" s="71"/>
      <c r="AJ75" s="71"/>
      <c r="AK75" s="71"/>
      <c r="AL75" s="71"/>
      <c r="AM75" s="71" t="str">
        <f>'Sprachen &amp; Rückgabewerte(4)'!H73</f>
        <v>L=82mm</v>
      </c>
      <c r="AN75" s="381"/>
      <c r="AO75" s="71"/>
      <c r="AP75" s="383"/>
      <c r="AQ75" s="141" t="str">
        <f>'Sprachen &amp; Rückgabewerte(4)'!$H$180</f>
        <v>VE</v>
      </c>
      <c r="AR75" s="71"/>
      <c r="AS75" s="71"/>
      <c r="AT75" s="114"/>
      <c r="AU75" s="114"/>
    </row>
    <row r="76" spans="2:50" ht="12.75" customHeight="1" x14ac:dyDescent="0.2">
      <c r="B76" s="59"/>
      <c r="C76" s="59"/>
      <c r="D76" s="71"/>
      <c r="E76" s="71"/>
      <c r="F76" s="71"/>
      <c r="G76" s="71"/>
      <c r="H76" s="71"/>
      <c r="I76" s="71"/>
      <c r="J76" s="71"/>
      <c r="K76" s="71"/>
      <c r="L76" s="71"/>
      <c r="M76" s="71"/>
      <c r="N76" s="71"/>
      <c r="O76" s="71"/>
      <c r="P76" s="71"/>
      <c r="Q76" s="71"/>
      <c r="R76" s="71"/>
      <c r="S76" s="71"/>
      <c r="T76" s="71"/>
      <c r="U76" s="71"/>
      <c r="V76" s="71"/>
      <c r="W76" s="71"/>
      <c r="X76" s="71"/>
      <c r="Y76" s="71"/>
      <c r="Z76" s="71"/>
      <c r="AA76" s="71"/>
      <c r="AB76" s="122"/>
      <c r="AC76" s="71"/>
      <c r="AD76" s="121"/>
      <c r="AE76" s="71"/>
      <c r="AF76" s="71"/>
      <c r="AG76" s="71"/>
      <c r="AH76" s="71"/>
      <c r="AI76" s="71"/>
      <c r="AJ76" s="71"/>
      <c r="AK76" s="71"/>
      <c r="AL76" s="71"/>
      <c r="AM76" s="71" t="str">
        <f>'Sprachen &amp; Rückgabewerte(4)'!H74</f>
        <v>L=112mm</v>
      </c>
      <c r="AN76" s="431"/>
      <c r="AO76" s="71"/>
      <c r="AP76" s="383"/>
      <c r="AQ76" s="141" t="str">
        <f>'Sprachen &amp; Rückgabewerte(4)'!$H$180</f>
        <v>VE</v>
      </c>
      <c r="AR76" s="71"/>
      <c r="AS76" s="71"/>
      <c r="AT76" s="114"/>
      <c r="AU76" s="114"/>
      <c r="AW76" s="587"/>
      <c r="AX76" s="587"/>
    </row>
    <row r="77" spans="2:50" ht="12.75" customHeight="1" x14ac:dyDescent="0.2">
      <c r="B77" s="59"/>
      <c r="C77" s="59"/>
      <c r="D77" s="71"/>
      <c r="E77" s="71"/>
      <c r="F77" s="71"/>
      <c r="G77" s="71"/>
      <c r="H77" s="71"/>
      <c r="I77" s="71"/>
      <c r="J77" s="71"/>
      <c r="K77" s="71"/>
      <c r="L77" s="71"/>
      <c r="M77" s="71"/>
      <c r="N77" s="71"/>
      <c r="O77" s="71"/>
      <c r="P77" s="71"/>
      <c r="Q77" s="71"/>
      <c r="R77" s="71"/>
      <c r="S77" s="71"/>
      <c r="T77" s="71"/>
      <c r="U77" s="71"/>
      <c r="V77" s="71"/>
      <c r="W77" s="71"/>
      <c r="X77" s="71"/>
      <c r="Y77" s="71"/>
      <c r="Z77" s="71"/>
      <c r="AA77" s="71"/>
      <c r="AB77" s="122"/>
      <c r="AC77" s="71"/>
      <c r="AD77" s="121"/>
      <c r="AE77" s="80" t="str">
        <f>'Sprachen &amp; Rückgabewerte(4)'!$H$76</f>
        <v>Sockelbefestigung:</v>
      </c>
      <c r="AF77" s="80"/>
      <c r="AG77" s="71"/>
      <c r="AH77" s="71"/>
      <c r="AI77" s="71"/>
      <c r="AJ77" s="71"/>
      <c r="AK77" s="71"/>
      <c r="AL77" s="71"/>
      <c r="AM77" s="71"/>
      <c r="AN77" s="71"/>
      <c r="AO77" s="71"/>
      <c r="AP77" s="71"/>
      <c r="AQ77" s="71"/>
      <c r="AR77" s="71"/>
      <c r="AS77" s="71"/>
      <c r="AT77" s="114"/>
      <c r="AU77" s="114"/>
      <c r="AW77" s="588"/>
      <c r="AX77" s="588"/>
    </row>
    <row r="78" spans="2:50" ht="12.75" customHeight="1" x14ac:dyDescent="0.2">
      <c r="B78" s="59"/>
      <c r="C78" s="59"/>
      <c r="D78" s="71"/>
      <c r="E78" s="71"/>
      <c r="F78" s="71"/>
      <c r="G78" s="71"/>
      <c r="H78" s="71"/>
      <c r="I78" s="71"/>
      <c r="J78" s="71"/>
      <c r="K78" s="71"/>
      <c r="L78" s="71"/>
      <c r="M78" s="71"/>
      <c r="N78" s="71"/>
      <c r="O78" s="71"/>
      <c r="P78" s="71"/>
      <c r="Q78" s="71"/>
      <c r="R78" s="71"/>
      <c r="S78" s="71"/>
      <c r="T78" s="71"/>
      <c r="U78" s="71"/>
      <c r="V78" s="71"/>
      <c r="W78" s="71"/>
      <c r="X78" s="71"/>
      <c r="Y78" s="71"/>
      <c r="Z78" s="71"/>
      <c r="AA78" s="71"/>
      <c r="AB78" s="122"/>
      <c r="AC78" s="71"/>
      <c r="AD78" s="121"/>
      <c r="AE78" s="71" t="str">
        <f>'Sprachen &amp; Rückgabewerte(4)'!$H$77</f>
        <v>Verstellschrauben M10 x</v>
      </c>
      <c r="AF78" s="71"/>
      <c r="AG78" s="71"/>
      <c r="AH78" s="71"/>
      <c r="AI78" s="71"/>
      <c r="AJ78" s="71"/>
      <c r="AK78" s="71"/>
      <c r="AL78" s="71"/>
      <c r="AM78" s="71"/>
      <c r="AN78" s="563"/>
      <c r="AO78" s="563"/>
      <c r="AP78" s="563"/>
      <c r="AQ78" s="71"/>
      <c r="AR78" s="71"/>
      <c r="AS78" s="71"/>
      <c r="AT78" s="114"/>
      <c r="AU78" s="114"/>
      <c r="AW78" s="588"/>
      <c r="AX78" s="588"/>
    </row>
    <row r="79" spans="2:50" ht="12.75" customHeight="1" x14ac:dyDescent="0.2">
      <c r="B79" s="59"/>
      <c r="C79" s="59"/>
      <c r="D79" s="71"/>
      <c r="E79" s="71"/>
      <c r="F79" s="71"/>
      <c r="G79" s="71"/>
      <c r="H79" s="71"/>
      <c r="I79" s="71"/>
      <c r="J79" s="71"/>
      <c r="K79" s="71"/>
      <c r="L79" s="71"/>
      <c r="M79" s="71"/>
      <c r="N79" s="71"/>
      <c r="O79" s="71"/>
      <c r="P79" s="71"/>
      <c r="Q79" s="71"/>
      <c r="R79" s="71"/>
      <c r="S79" s="71"/>
      <c r="T79" s="71"/>
      <c r="U79" s="71"/>
      <c r="V79" s="71"/>
      <c r="W79" s="71"/>
      <c r="X79" s="71"/>
      <c r="Y79" s="71"/>
      <c r="Z79" s="71"/>
      <c r="AA79" s="71"/>
      <c r="AB79" s="122"/>
      <c r="AC79" s="71"/>
      <c r="AD79" s="121"/>
      <c r="AE79" s="71" t="str">
        <f>'Sprachen &amp; Rückgabewerte(4)'!$H$52</f>
        <v>Standardgrundplatten:</v>
      </c>
      <c r="AF79" s="71"/>
      <c r="AG79" s="71"/>
      <c r="AH79" s="71"/>
      <c r="AI79" s="71"/>
      <c r="AJ79" s="71"/>
      <c r="AK79" s="71"/>
      <c r="AL79" s="71"/>
      <c r="AM79" s="71"/>
      <c r="AN79" s="563"/>
      <c r="AO79" s="563"/>
      <c r="AP79" s="563"/>
      <c r="AQ79" s="71"/>
      <c r="AR79" s="71"/>
      <c r="AS79" s="71"/>
      <c r="AT79" s="114"/>
      <c r="AU79" s="114"/>
      <c r="AW79" s="588"/>
      <c r="AX79" s="588"/>
    </row>
    <row r="80" spans="2:50" ht="12" customHeight="1" thickBot="1" x14ac:dyDescent="0.25">
      <c r="B80" s="59"/>
      <c r="C80" s="59"/>
      <c r="D80" s="71"/>
      <c r="E80" s="71"/>
      <c r="F80" s="71"/>
      <c r="G80" s="71"/>
      <c r="H80" s="71"/>
      <c r="I80" s="71"/>
      <c r="J80" s="71"/>
      <c r="K80" s="71"/>
      <c r="L80" s="71"/>
      <c r="M80" s="71"/>
      <c r="N80" s="71"/>
      <c r="O80" s="71"/>
      <c r="P80" s="71"/>
      <c r="Q80" s="71"/>
      <c r="R80" s="71"/>
      <c r="S80" s="71"/>
      <c r="T80" s="71"/>
      <c r="U80" s="71"/>
      <c r="V80" s="71"/>
      <c r="W80" s="71"/>
      <c r="X80" s="71"/>
      <c r="Y80" s="71"/>
      <c r="Z80" s="71"/>
      <c r="AA80" s="71"/>
      <c r="AB80" s="122"/>
      <c r="AC80" s="71"/>
      <c r="AD80" s="121"/>
      <c r="AE80" s="188" t="str">
        <f>'Sprachen &amp; Rückgabewerte(4)'!$H$84</f>
        <v>Rahmenzusammenbau:</v>
      </c>
      <c r="AF80" s="71"/>
      <c r="AG80" s="71"/>
      <c r="AH80" s="71"/>
      <c r="AI80" s="71"/>
      <c r="AJ80" s="71"/>
      <c r="AK80" s="71"/>
      <c r="AL80" s="71"/>
      <c r="AM80" s="71"/>
      <c r="AN80" s="564"/>
      <c r="AO80" s="565"/>
      <c r="AP80" s="565"/>
      <c r="AQ80" s="565"/>
      <c r="AR80" s="565"/>
      <c r="AS80" s="566"/>
      <c r="AT80" s="325"/>
      <c r="AU80" s="115"/>
      <c r="AV80" s="326"/>
      <c r="AW80" s="589"/>
      <c r="AX80" s="589"/>
    </row>
    <row r="81" spans="2:50" ht="12.75" customHeight="1" x14ac:dyDescent="0.2">
      <c r="B81" s="59"/>
      <c r="C81" s="59"/>
      <c r="D81" s="71"/>
      <c r="E81" s="71"/>
      <c r="F81" s="71"/>
      <c r="G81" s="71"/>
      <c r="H81" s="71"/>
      <c r="I81" s="71"/>
      <c r="J81" s="71"/>
      <c r="K81" s="71"/>
      <c r="L81" s="71"/>
      <c r="M81" s="71"/>
      <c r="N81" s="71"/>
      <c r="O81" s="71"/>
      <c r="P81" s="71"/>
      <c r="Q81" s="71"/>
      <c r="R81" s="71"/>
      <c r="S81" s="71"/>
      <c r="T81" s="71"/>
      <c r="U81" s="71"/>
      <c r="V81" s="71"/>
      <c r="W81" s="71"/>
      <c r="X81" s="71"/>
      <c r="Y81" s="71"/>
      <c r="Z81" s="71"/>
      <c r="AA81" s="71"/>
      <c r="AB81" s="122"/>
      <c r="AC81" s="71"/>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59"/>
      <c r="C82" s="59"/>
      <c r="D82" s="71"/>
      <c r="E82" s="71"/>
      <c r="F82" s="71"/>
      <c r="G82" s="71"/>
      <c r="H82" s="71"/>
      <c r="I82" s="71"/>
      <c r="J82" s="71"/>
      <c r="K82" s="71"/>
      <c r="L82" s="71"/>
      <c r="M82" s="71"/>
      <c r="N82" s="71"/>
      <c r="O82" s="71"/>
      <c r="P82" s="71"/>
      <c r="Q82" s="71"/>
      <c r="R82" s="71"/>
      <c r="S82" s="71"/>
      <c r="T82" s="71"/>
      <c r="U82" s="71"/>
      <c r="V82" s="71"/>
      <c r="W82" s="71"/>
      <c r="X82" s="71"/>
      <c r="Y82" s="71"/>
      <c r="Z82" s="71"/>
      <c r="AA82" s="71"/>
      <c r="AB82" s="122"/>
      <c r="AC82" s="71"/>
      <c r="AD82" s="71"/>
      <c r="AE82" s="71"/>
      <c r="AF82" s="71"/>
      <c r="AG82" s="71"/>
      <c r="AH82" s="71"/>
      <c r="AI82" s="71"/>
      <c r="AJ82" s="71"/>
      <c r="AK82" s="71"/>
      <c r="AL82" s="71"/>
      <c r="AM82" s="71"/>
      <c r="AN82" s="71"/>
      <c r="AO82" s="71"/>
      <c r="AP82" s="71"/>
      <c r="AQ82" s="71"/>
      <c r="AR82" s="71"/>
      <c r="AS82" s="71"/>
      <c r="AT82" s="60"/>
      <c r="AU82" s="114"/>
    </row>
    <row r="83" spans="2:50" ht="12.75" customHeight="1" x14ac:dyDescent="0.2">
      <c r="B83" s="59"/>
      <c r="C83" s="59"/>
      <c r="D83" s="71"/>
      <c r="E83" s="71"/>
      <c r="F83" s="71"/>
      <c r="G83" s="71"/>
      <c r="H83" s="71"/>
      <c r="I83" s="71"/>
      <c r="J83" s="71"/>
      <c r="K83" s="71"/>
      <c r="L83" s="71"/>
      <c r="M83" s="71"/>
      <c r="N83" s="71"/>
      <c r="O83" s="71"/>
      <c r="P83" s="71"/>
      <c r="Q83" s="71"/>
      <c r="R83" s="71"/>
      <c r="S83" s="71"/>
      <c r="T83" s="71"/>
      <c r="U83" s="71"/>
      <c r="V83" s="71"/>
      <c r="W83" s="71"/>
      <c r="X83" s="71"/>
      <c r="Y83" s="71"/>
      <c r="Z83" s="71"/>
      <c r="AA83" s="71"/>
      <c r="AB83" s="122"/>
      <c r="AC83" s="71"/>
      <c r="AD83" s="118"/>
      <c r="AE83" s="120" t="str">
        <f>'Sprachen &amp; Rückgabewerte(4)'!$H$87</f>
        <v>Logistik:</v>
      </c>
      <c r="AF83" s="120"/>
      <c r="AG83" s="119"/>
      <c r="AH83" s="119"/>
      <c r="AI83" s="119"/>
      <c r="AJ83" s="119"/>
      <c r="AK83" s="119"/>
      <c r="AL83" s="119"/>
      <c r="AM83" s="119"/>
      <c r="AN83" s="120" t="str">
        <f>'Sprachen &amp; Rückgabewerte(4)'!$H$49</f>
        <v>Zubehör:</v>
      </c>
      <c r="AO83" s="119"/>
      <c r="AP83" s="119"/>
      <c r="AQ83" s="119"/>
      <c r="AR83" s="119"/>
      <c r="AS83" s="119"/>
      <c r="AT83" s="113"/>
      <c r="AU83" s="114"/>
    </row>
    <row r="84" spans="2:50" ht="12.75" customHeight="1" x14ac:dyDescent="0.2">
      <c r="B84" s="59"/>
      <c r="C84" s="59"/>
      <c r="D84" s="71"/>
      <c r="E84" s="71"/>
      <c r="F84" s="71"/>
      <c r="G84" s="71"/>
      <c r="H84" s="72" t="str">
        <f>'Sprachen &amp; Rückgabewerte(4)'!$B$45</f>
        <v>321901/321901</v>
      </c>
      <c r="I84" s="71"/>
      <c r="J84" s="71"/>
      <c r="K84" s="71"/>
      <c r="L84" s="71"/>
      <c r="M84" s="71"/>
      <c r="N84" s="60"/>
      <c r="O84" s="72" t="str">
        <f>'Sprachen &amp; Rückgabewerte(4)'!$B$46</f>
        <v>321901/322301</v>
      </c>
      <c r="P84" s="71"/>
      <c r="Q84" s="71"/>
      <c r="R84" s="71"/>
      <c r="S84" s="71"/>
      <c r="T84" s="71"/>
      <c r="U84" s="60"/>
      <c r="V84" s="72" t="str">
        <f>'Sprachen &amp; Rückgabewerte(4)'!$B$47</f>
        <v>322301/322301</v>
      </c>
      <c r="W84" s="71"/>
      <c r="X84" s="71"/>
      <c r="Y84" s="71"/>
      <c r="Z84" s="71"/>
      <c r="AA84" s="71"/>
      <c r="AB84" s="122"/>
      <c r="AC84" s="71"/>
      <c r="AD84" s="121"/>
      <c r="AE84" s="544"/>
      <c r="AF84" s="571"/>
      <c r="AG84" s="571"/>
      <c r="AH84" s="571"/>
      <c r="AI84" s="571"/>
      <c r="AJ84" s="571"/>
      <c r="AK84" s="571"/>
      <c r="AL84" s="545"/>
      <c r="AM84" s="71"/>
      <c r="AN84" s="71"/>
      <c r="AO84" s="71" t="str">
        <f>'Sprachen &amp; Rückgabewerte(4)'!$H$50</f>
        <v>Rinne (siehe unten)</v>
      </c>
      <c r="AP84" s="71"/>
      <c r="AQ84" s="71"/>
      <c r="AR84" s="71"/>
      <c r="AS84" s="71"/>
      <c r="AT84" s="114"/>
      <c r="AU84" s="204"/>
      <c r="AV84" s="204"/>
    </row>
    <row r="85" spans="2:50" ht="12.75" customHeight="1" x14ac:dyDescent="0.2">
      <c r="B85" s="59"/>
      <c r="C85" s="59"/>
      <c r="D85" s="71"/>
      <c r="E85" s="71"/>
      <c r="F85" s="71"/>
      <c r="G85" s="71"/>
      <c r="H85" s="665"/>
      <c r="I85" s="666"/>
      <c r="J85" s="666"/>
      <c r="K85" s="667"/>
      <c r="L85" s="71"/>
      <c r="M85" s="71"/>
      <c r="N85" s="71"/>
      <c r="O85" s="665"/>
      <c r="P85" s="666"/>
      <c r="Q85" s="666"/>
      <c r="R85" s="667"/>
      <c r="S85" s="71"/>
      <c r="T85" s="71"/>
      <c r="U85" s="71"/>
      <c r="V85" s="665"/>
      <c r="W85" s="666"/>
      <c r="X85" s="666"/>
      <c r="Y85" s="667"/>
      <c r="Z85" s="71"/>
      <c r="AA85" s="71"/>
      <c r="AB85" s="122"/>
      <c r="AC85" s="71"/>
      <c r="AD85" s="121"/>
      <c r="AE85" s="576"/>
      <c r="AF85" s="576"/>
      <c r="AG85" s="576"/>
      <c r="AH85" s="576"/>
      <c r="AI85" s="576"/>
      <c r="AJ85" s="576"/>
      <c r="AK85" s="576"/>
      <c r="AL85" s="576"/>
      <c r="AM85" s="71"/>
      <c r="AN85" s="71"/>
      <c r="AO85" s="71" t="str">
        <f>'Sprachen &amp; Rückgabewerte(4)'!$H$51</f>
        <v>Wetterschenkel</v>
      </c>
      <c r="AP85" s="71"/>
      <c r="AQ85" s="71"/>
      <c r="AR85" s="71"/>
      <c r="AS85" s="71"/>
      <c r="AT85" s="114"/>
      <c r="AU85" s="114"/>
      <c r="AV85" s="227"/>
    </row>
    <row r="86" spans="2:50" ht="12.75" customHeight="1" x14ac:dyDescent="0.2">
      <c r="B86" s="59"/>
      <c r="C86" s="59"/>
      <c r="D86" s="60"/>
      <c r="E86" s="60"/>
      <c r="F86" s="60"/>
      <c r="G86" s="60"/>
      <c r="H86" s="60"/>
      <c r="I86" s="60"/>
      <c r="J86" s="60"/>
      <c r="K86" s="60"/>
      <c r="L86" s="60"/>
      <c r="M86" s="60"/>
      <c r="N86" s="60"/>
      <c r="O86" s="60"/>
      <c r="P86" s="60"/>
      <c r="Q86" s="60"/>
      <c r="R86" s="60"/>
      <c r="S86" s="60"/>
      <c r="T86" s="60"/>
      <c r="U86" s="60"/>
      <c r="V86" s="60"/>
      <c r="W86" s="60"/>
      <c r="X86" s="60"/>
      <c r="Y86" s="60"/>
      <c r="Z86" s="60"/>
      <c r="AA86" s="60"/>
      <c r="AB86" s="114"/>
      <c r="AC86" s="60"/>
      <c r="AD86" s="59"/>
      <c r="AE86" s="60"/>
      <c r="AF86" s="60"/>
      <c r="AG86" s="60"/>
      <c r="AH86" s="60"/>
      <c r="AI86" s="60"/>
      <c r="AJ86" s="60"/>
      <c r="AK86" s="60"/>
      <c r="AL86" s="60"/>
      <c r="AM86" s="60"/>
      <c r="AN86" s="60"/>
      <c r="AO86" s="60" t="str">
        <f>IF('Sprachen &amp; Rückgabewerte(4)'!$I$51=TRUE,"L=","")</f>
        <v/>
      </c>
      <c r="AP86" s="562"/>
      <c r="AQ86" s="562"/>
      <c r="AR86" s="562"/>
      <c r="AS86" s="60" t="str">
        <f>IF('Sprachen &amp; Rückgabewerte(4)'!$I$51=TRUE,"mm","")</f>
        <v/>
      </c>
      <c r="AT86" s="114"/>
      <c r="AU86" s="114"/>
      <c r="AV86" s="227"/>
    </row>
    <row r="87" spans="2:50" ht="12.75" customHeight="1" x14ac:dyDescent="0.2">
      <c r="B87" s="59"/>
      <c r="C87" s="59"/>
      <c r="D87" s="60"/>
      <c r="E87" s="60"/>
      <c r="F87" s="60"/>
      <c r="G87" s="60"/>
      <c r="H87" s="60"/>
      <c r="I87" s="60"/>
      <c r="J87" s="60"/>
      <c r="K87" s="60"/>
      <c r="L87" s="60"/>
      <c r="M87" s="60"/>
      <c r="N87" s="60"/>
      <c r="O87" s="60"/>
      <c r="P87" s="60"/>
      <c r="Q87" s="60"/>
      <c r="R87" s="60"/>
      <c r="S87" s="60"/>
      <c r="T87" s="60"/>
      <c r="U87" s="60"/>
      <c r="V87" s="60"/>
      <c r="W87" s="60"/>
      <c r="X87" s="60"/>
      <c r="Y87" s="60"/>
      <c r="Z87" s="676"/>
      <c r="AA87" s="676"/>
      <c r="AB87" s="677"/>
      <c r="AC87" s="60"/>
      <c r="AD87" s="59"/>
      <c r="AE87" s="320" t="str">
        <f>'Sprachen &amp; Rückgabewerte(4)'!$H$47</f>
        <v>Windlast:</v>
      </c>
      <c r="AF87" s="80"/>
      <c r="AG87" s="155"/>
      <c r="AH87" s="60"/>
      <c r="AI87" s="60"/>
      <c r="AJ87" s="60"/>
      <c r="AK87" s="60"/>
      <c r="AL87" s="60"/>
      <c r="AM87" s="584"/>
      <c r="AN87" s="585"/>
      <c r="AO87" s="586"/>
      <c r="AP87" s="321" t="s">
        <v>764</v>
      </c>
      <c r="AS87" s="184"/>
      <c r="AT87" s="114"/>
      <c r="AU87" s="114"/>
      <c r="AV87" s="227"/>
    </row>
    <row r="88" spans="2:50" ht="12.75" customHeight="1" x14ac:dyDescent="0.2">
      <c r="B88" s="59"/>
      <c r="C88" s="59"/>
      <c r="D88" s="60"/>
      <c r="E88" s="60"/>
      <c r="F88" s="60"/>
      <c r="G88" s="60"/>
      <c r="H88" s="60"/>
      <c r="I88" s="60"/>
      <c r="J88" s="60"/>
      <c r="K88" s="60"/>
      <c r="L88" s="60"/>
      <c r="M88" s="60"/>
      <c r="N88" s="60"/>
      <c r="O88" s="60"/>
      <c r="P88" s="60"/>
      <c r="Q88" s="60"/>
      <c r="R88" s="60"/>
      <c r="S88" s="60"/>
      <c r="T88" s="60"/>
      <c r="U88" s="60"/>
      <c r="V88" s="60"/>
      <c r="W88" s="60"/>
      <c r="X88" s="60"/>
      <c r="Y88" s="60"/>
      <c r="Z88" s="676"/>
      <c r="AA88" s="676"/>
      <c r="AB88" s="677"/>
      <c r="AC88" s="60"/>
      <c r="AD88" s="59"/>
      <c r="AE88" s="188" t="str">
        <f>'Sprachen &amp; Rückgabewerte(4)'!$H$90</f>
        <v>Wunschtermin:</v>
      </c>
      <c r="AF88" s="319"/>
      <c r="AG88" s="319"/>
      <c r="AH88" s="319"/>
      <c r="AI88" s="319"/>
      <c r="AJ88" s="319"/>
      <c r="AK88" s="319"/>
      <c r="AL88" s="319"/>
      <c r="AM88" s="572"/>
      <c r="AN88" s="573"/>
      <c r="AO88" s="573"/>
      <c r="AP88" s="574"/>
      <c r="AQ88" s="574"/>
      <c r="AR88" s="575"/>
      <c r="AS88" s="319"/>
      <c r="AT88" s="114"/>
      <c r="AU88" s="114"/>
      <c r="AV88" s="227"/>
    </row>
    <row r="89" spans="2:50" ht="12.75" customHeight="1" x14ac:dyDescent="0.2">
      <c r="B89" s="59"/>
      <c r="C89" s="59"/>
      <c r="D89" s="60"/>
      <c r="E89" s="60"/>
      <c r="F89" s="60"/>
      <c r="G89" s="60"/>
      <c r="H89" s="60"/>
      <c r="I89" s="60"/>
      <c r="J89" s="60"/>
      <c r="K89" s="60"/>
      <c r="L89" s="60"/>
      <c r="M89" s="60"/>
      <c r="N89" s="60"/>
      <c r="O89" s="60"/>
      <c r="P89" s="60"/>
      <c r="Q89" s="60"/>
      <c r="R89" s="60"/>
      <c r="S89" s="60"/>
      <c r="T89" s="60"/>
      <c r="U89" s="60"/>
      <c r="V89" s="60"/>
      <c r="W89" s="60"/>
      <c r="X89" s="60"/>
      <c r="Y89" s="60"/>
      <c r="Z89" s="676"/>
      <c r="AA89" s="676"/>
      <c r="AB89" s="677"/>
      <c r="AC89" s="60"/>
      <c r="AD89" s="59"/>
      <c r="AF89" s="319"/>
      <c r="AG89" s="319"/>
      <c r="AH89" s="319"/>
      <c r="AI89" s="319"/>
      <c r="AJ89" s="319"/>
      <c r="AK89" s="319"/>
      <c r="AL89" s="319"/>
      <c r="AS89" s="319"/>
      <c r="AT89" s="114"/>
      <c r="AU89" s="114"/>
      <c r="AV89" s="227"/>
    </row>
    <row r="90" spans="2:50" ht="12.75" customHeight="1" x14ac:dyDescent="0.2">
      <c r="B90" s="59"/>
      <c r="C90" s="59"/>
      <c r="D90" s="60"/>
      <c r="E90" s="60"/>
      <c r="F90" s="60"/>
      <c r="G90" s="60"/>
      <c r="H90" s="60"/>
      <c r="I90" s="60"/>
      <c r="J90" s="60"/>
      <c r="K90" s="60"/>
      <c r="L90" s="60"/>
      <c r="M90" s="60"/>
      <c r="N90" s="60"/>
      <c r="O90" s="60"/>
      <c r="P90" s="60"/>
      <c r="Q90" s="60"/>
      <c r="R90" s="60"/>
      <c r="S90" s="60"/>
      <c r="T90" s="60"/>
      <c r="U90" s="60"/>
      <c r="W90" s="60"/>
      <c r="X90" s="60"/>
      <c r="Y90" s="60"/>
      <c r="Z90" s="60"/>
      <c r="AA90" s="60"/>
      <c r="AB90" s="114"/>
      <c r="AC90" s="60"/>
      <c r="AD90" s="59"/>
      <c r="AE90" s="583" t="str">
        <f>'Sprachen &amp; Rückgabewerte(4)'!$H$102</f>
        <v>Diese Bestellung ist verbindlich und muss komplett ausgefüllt werden. Änderungen werden als Mehraufwand verrechnet.</v>
      </c>
      <c r="AF90" s="583"/>
      <c r="AG90" s="583"/>
      <c r="AH90" s="583"/>
      <c r="AI90" s="583"/>
      <c r="AJ90" s="583"/>
      <c r="AK90" s="583"/>
      <c r="AL90" s="583"/>
      <c r="AM90" s="583"/>
      <c r="AN90" s="583"/>
      <c r="AO90" s="583"/>
      <c r="AP90" s="583"/>
      <c r="AQ90" s="583"/>
      <c r="AR90" s="583"/>
      <c r="AS90" s="583"/>
      <c r="AT90" s="114"/>
      <c r="AU90" s="114"/>
      <c r="AV90" s="227"/>
    </row>
    <row r="91" spans="2:50" ht="12.75" customHeight="1" x14ac:dyDescent="0.2">
      <c r="B91" s="59"/>
      <c r="C91" s="59"/>
      <c r="D91" s="60"/>
      <c r="E91" s="60"/>
      <c r="F91" s="60"/>
      <c r="G91" s="60"/>
      <c r="H91" s="60"/>
      <c r="I91" s="60"/>
      <c r="J91" s="60"/>
      <c r="K91" s="60"/>
      <c r="L91" s="60"/>
      <c r="M91" s="60"/>
      <c r="N91" s="60"/>
      <c r="O91" s="60"/>
      <c r="P91" s="60"/>
      <c r="Q91" s="60"/>
      <c r="R91" s="60"/>
      <c r="S91" s="60"/>
      <c r="T91" s="60"/>
      <c r="U91" s="60"/>
      <c r="V91" s="60"/>
      <c r="W91" s="60"/>
      <c r="X91" s="60"/>
      <c r="Y91" s="60"/>
      <c r="Z91" s="678"/>
      <c r="AA91" s="678"/>
      <c r="AB91" s="679"/>
      <c r="AC91" s="60"/>
      <c r="AD91" s="59"/>
      <c r="AE91" s="583"/>
      <c r="AF91" s="583"/>
      <c r="AG91" s="583"/>
      <c r="AH91" s="583"/>
      <c r="AI91" s="583"/>
      <c r="AJ91" s="583"/>
      <c r="AK91" s="583"/>
      <c r="AL91" s="583"/>
      <c r="AM91" s="583"/>
      <c r="AN91" s="583"/>
      <c r="AO91" s="583"/>
      <c r="AP91" s="583"/>
      <c r="AQ91" s="583"/>
      <c r="AR91" s="583"/>
      <c r="AS91" s="583"/>
      <c r="AT91" s="114"/>
      <c r="AU91" s="114"/>
      <c r="AV91" s="227"/>
    </row>
    <row r="92" spans="2:50" ht="12.75" customHeight="1" x14ac:dyDescent="0.2">
      <c r="B92" s="59"/>
      <c r="C92" s="59"/>
      <c r="D92" s="60"/>
      <c r="E92" s="60"/>
      <c r="F92" s="60"/>
      <c r="G92" s="60"/>
      <c r="H92" s="60"/>
      <c r="I92" s="60"/>
      <c r="J92" s="60"/>
      <c r="K92" s="60"/>
      <c r="L92" s="60"/>
      <c r="M92" s="60"/>
      <c r="N92" s="60"/>
      <c r="O92" s="60"/>
      <c r="P92" s="60"/>
      <c r="Q92" s="60"/>
      <c r="R92" s="60"/>
      <c r="S92" s="60"/>
      <c r="T92" s="60"/>
      <c r="U92" s="60"/>
      <c r="V92" s="60"/>
      <c r="W92" s="60"/>
      <c r="X92" s="60"/>
      <c r="Y92" s="60"/>
      <c r="Z92" s="678"/>
      <c r="AA92" s="678"/>
      <c r="AB92" s="679"/>
      <c r="AC92" s="60"/>
      <c r="AD92" s="59"/>
      <c r="AE92" s="583"/>
      <c r="AF92" s="583"/>
      <c r="AG92" s="583"/>
      <c r="AH92" s="583"/>
      <c r="AI92" s="583"/>
      <c r="AJ92" s="583"/>
      <c r="AK92" s="583"/>
      <c r="AL92" s="583"/>
      <c r="AM92" s="583"/>
      <c r="AN92" s="583"/>
      <c r="AO92" s="583"/>
      <c r="AP92" s="583"/>
      <c r="AQ92" s="583"/>
      <c r="AR92" s="583"/>
      <c r="AS92" s="583"/>
      <c r="AT92" s="114"/>
      <c r="AU92" s="114"/>
      <c r="AV92" s="227"/>
    </row>
    <row r="93" spans="2:50" ht="12.75" customHeight="1" x14ac:dyDescent="0.2">
      <c r="B93" s="59"/>
      <c r="C93" s="59"/>
      <c r="D93" s="60"/>
      <c r="E93" s="60"/>
      <c r="F93" s="60"/>
      <c r="G93" s="60"/>
      <c r="H93" s="60"/>
      <c r="I93" s="60"/>
      <c r="J93" s="60"/>
      <c r="K93" s="60"/>
      <c r="L93" s="60"/>
      <c r="M93" s="60"/>
      <c r="N93" s="60"/>
      <c r="O93" s="60"/>
      <c r="P93" s="60"/>
      <c r="Q93" s="60"/>
      <c r="R93" s="60"/>
      <c r="S93" s="60"/>
      <c r="T93" s="60"/>
      <c r="U93" s="60"/>
      <c r="V93" s="60"/>
      <c r="W93" s="60"/>
      <c r="X93" s="60"/>
      <c r="Y93" s="60"/>
      <c r="Z93" s="678"/>
      <c r="AA93" s="678"/>
      <c r="AB93" s="679"/>
      <c r="AC93" s="60"/>
      <c r="AD93" s="67"/>
      <c r="AE93" s="83"/>
      <c r="AF93" s="83"/>
      <c r="AG93" s="83"/>
      <c r="AH93" s="83"/>
      <c r="AI93" s="83"/>
      <c r="AJ93" s="83"/>
      <c r="AK93" s="83"/>
      <c r="AL93" s="83"/>
      <c r="AM93" s="83"/>
      <c r="AN93" s="83"/>
      <c r="AO93" s="83"/>
      <c r="AP93" s="83"/>
      <c r="AQ93" s="83"/>
      <c r="AR93" s="83"/>
      <c r="AS93" s="83"/>
      <c r="AT93" s="115"/>
      <c r="AU93" s="114"/>
      <c r="AV93" s="227"/>
    </row>
    <row r="94" spans="2:50" ht="12.75" customHeight="1" x14ac:dyDescent="0.2">
      <c r="B94" s="59"/>
      <c r="C94" s="59"/>
      <c r="D94" s="60"/>
      <c r="E94" s="60"/>
      <c r="F94" s="60"/>
      <c r="G94" s="60"/>
      <c r="H94" s="60"/>
      <c r="I94" s="60"/>
      <c r="J94" s="60"/>
      <c r="K94" s="60"/>
      <c r="L94" s="60"/>
      <c r="M94" s="60"/>
      <c r="N94" s="60"/>
      <c r="O94" s="60"/>
      <c r="P94" s="60"/>
      <c r="Q94" s="60"/>
      <c r="R94" s="60"/>
      <c r="S94" s="60"/>
      <c r="T94" s="60"/>
      <c r="U94" s="60"/>
      <c r="V94" s="60"/>
      <c r="W94" s="60"/>
      <c r="X94" s="60"/>
      <c r="Y94" s="60"/>
      <c r="Z94" s="60"/>
      <c r="AA94" s="60"/>
      <c r="AB94" s="114"/>
      <c r="AC94" s="60"/>
      <c r="AD94" s="60"/>
      <c r="AE94" s="60"/>
      <c r="AF94" s="60"/>
      <c r="AG94" s="60"/>
      <c r="AH94" s="60"/>
      <c r="AI94" s="60"/>
      <c r="AJ94" s="60"/>
      <c r="AK94" s="71"/>
      <c r="AL94" s="71"/>
      <c r="AM94" s="71"/>
      <c r="AN94" s="71"/>
      <c r="AO94" s="71"/>
      <c r="AP94" s="71"/>
      <c r="AQ94" s="71"/>
      <c r="AR94" s="60"/>
      <c r="AS94" s="60"/>
      <c r="AT94" s="60"/>
      <c r="AU94" s="114"/>
      <c r="AV94" s="227"/>
    </row>
    <row r="95" spans="2:50" ht="12.75" customHeight="1" x14ac:dyDescent="0.2">
      <c r="B95" s="59"/>
      <c r="C95" s="59"/>
      <c r="D95" s="60"/>
      <c r="E95" s="60"/>
      <c r="F95" s="60"/>
      <c r="G95" s="60"/>
      <c r="H95" s="156" t="str">
        <f>'Sprachen &amp; Rückgabewerte(4)'!$B$48</f>
        <v>110101/110301</v>
      </c>
      <c r="I95" s="60"/>
      <c r="J95" s="60"/>
      <c r="K95" s="60"/>
      <c r="L95" s="60"/>
      <c r="M95" s="60"/>
      <c r="N95" s="60"/>
      <c r="O95" s="156" t="str">
        <f>'Sprachen &amp; Rückgabewerte(4)'!$B$49</f>
        <v>110101/110501</v>
      </c>
      <c r="P95" s="60"/>
      <c r="Q95" s="60"/>
      <c r="R95" s="60"/>
      <c r="S95" s="60"/>
      <c r="T95" s="60"/>
      <c r="U95" s="60"/>
      <c r="V95" s="156" t="str">
        <f>'Sprachen &amp; Rückgabewerte(4)'!$H$116</f>
        <v>Ganzglas-Ecke</v>
      </c>
      <c r="W95" s="60"/>
      <c r="X95" s="60"/>
      <c r="Y95" s="60"/>
      <c r="Z95" s="60"/>
      <c r="AA95" s="60"/>
      <c r="AB95" s="114"/>
      <c r="AC95" s="60"/>
      <c r="AD95" s="111"/>
      <c r="AE95" s="119"/>
      <c r="AF95" s="119"/>
      <c r="AG95" s="119"/>
      <c r="AH95" s="119"/>
      <c r="AI95" s="119"/>
      <c r="AJ95" s="119"/>
      <c r="AK95" s="119"/>
      <c r="AL95" s="119"/>
      <c r="AM95" s="119"/>
      <c r="AN95" s="119"/>
      <c r="AO95" s="119"/>
      <c r="AP95" s="119"/>
      <c r="AQ95" s="119"/>
      <c r="AR95" s="119"/>
      <c r="AS95" s="119"/>
      <c r="AT95" s="406"/>
      <c r="AU95" s="114"/>
      <c r="AV95" s="227"/>
      <c r="AW95" s="407" t="str">
        <f>'Sprachen &amp; Rückgabewerte(4)'!H182</f>
        <v>Beratungsnummer: (z.B. P123456)</v>
      </c>
    </row>
    <row r="96" spans="2:50" ht="12.75" customHeight="1" x14ac:dyDescent="0.2">
      <c r="B96" s="59"/>
      <c r="C96" s="59"/>
      <c r="D96" s="60"/>
      <c r="E96" s="60"/>
      <c r="F96" s="60"/>
      <c r="G96" s="60"/>
      <c r="H96" s="665"/>
      <c r="I96" s="666"/>
      <c r="J96" s="666"/>
      <c r="K96" s="667"/>
      <c r="L96" s="60"/>
      <c r="M96" s="60"/>
      <c r="N96" s="60"/>
      <c r="O96" s="665"/>
      <c r="P96" s="666"/>
      <c r="Q96" s="666"/>
      <c r="R96" s="667"/>
      <c r="S96" s="60"/>
      <c r="T96" s="60"/>
      <c r="U96" s="60"/>
      <c r="V96" s="60"/>
      <c r="W96" s="60"/>
      <c r="X96" s="60"/>
      <c r="Y96" s="60"/>
      <c r="Z96" s="60"/>
      <c r="AA96" s="60"/>
      <c r="AB96" s="114"/>
      <c r="AC96" s="60"/>
      <c r="AD96" s="59"/>
      <c r="AE96" s="72" t="str">
        <f>'Sprachen &amp; Rückgabewerte(4)'!H181</f>
        <v>Sky-Frame Beratung vorhanden:</v>
      </c>
      <c r="AF96" s="71"/>
      <c r="AG96" s="71"/>
      <c r="AH96" s="71"/>
      <c r="AI96" s="71"/>
      <c r="AJ96" s="71"/>
      <c r="AK96" s="71"/>
      <c r="AL96" s="71"/>
      <c r="AM96" s="71"/>
      <c r="AN96" s="71"/>
      <c r="AO96" s="71"/>
      <c r="AP96" s="71"/>
      <c r="AQ96" s="544"/>
      <c r="AR96" s="545"/>
      <c r="AS96" s="408"/>
      <c r="AT96" s="125"/>
      <c r="AU96" s="115"/>
      <c r="AV96" s="409"/>
      <c r="AW96" s="546"/>
      <c r="AX96" s="547"/>
    </row>
    <row r="97" spans="2:48" ht="12.75" customHeight="1" x14ac:dyDescent="0.2">
      <c r="B97" s="59"/>
      <c r="C97" s="67"/>
      <c r="D97" s="83"/>
      <c r="E97" s="83"/>
      <c r="F97" s="83"/>
      <c r="G97" s="83"/>
      <c r="H97" s="83"/>
      <c r="I97" s="83"/>
      <c r="J97" s="83"/>
      <c r="K97" s="83"/>
      <c r="L97" s="83"/>
      <c r="M97" s="83"/>
      <c r="N97" s="83"/>
      <c r="O97" s="83"/>
      <c r="P97" s="83"/>
      <c r="Q97" s="83"/>
      <c r="R97" s="83"/>
      <c r="S97" s="83"/>
      <c r="T97" s="83"/>
      <c r="U97" s="83"/>
      <c r="V97" s="83"/>
      <c r="W97" s="83"/>
      <c r="X97" s="83"/>
      <c r="Y97" s="83"/>
      <c r="Z97" s="83"/>
      <c r="AA97" s="83"/>
      <c r="AB97" s="115"/>
      <c r="AC97" s="60"/>
      <c r="AD97" s="67"/>
      <c r="AE97" s="124"/>
      <c r="AF97" s="124"/>
      <c r="AG97" s="124"/>
      <c r="AH97" s="124"/>
      <c r="AI97" s="124"/>
      <c r="AJ97" s="124"/>
      <c r="AK97" s="124"/>
      <c r="AL97" s="124"/>
      <c r="AM97" s="124"/>
      <c r="AN97" s="124"/>
      <c r="AO97" s="124"/>
      <c r="AP97" s="124"/>
      <c r="AQ97" s="124"/>
      <c r="AR97" s="124"/>
      <c r="AS97" s="124"/>
      <c r="AT97" s="125"/>
      <c r="AU97" s="114"/>
      <c r="AV97" s="227"/>
    </row>
    <row r="98" spans="2:48" ht="19.5" customHeight="1" x14ac:dyDescent="0.2">
      <c r="B98" s="67"/>
      <c r="C98" s="680" t="s">
        <v>891</v>
      </c>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83"/>
      <c r="AQ98" s="83"/>
      <c r="AR98" s="83"/>
      <c r="AS98" s="83"/>
      <c r="AT98" s="158" t="s">
        <v>892</v>
      </c>
      <c r="AU98" s="115"/>
      <c r="AV98" s="227"/>
    </row>
    <row r="99" spans="2:48" ht="19.5" customHeight="1" x14ac:dyDescent="0.2">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254"/>
      <c r="AU99" s="60"/>
      <c r="AV99" s="114"/>
    </row>
    <row r="100" spans="2:48" x14ac:dyDescent="0.2">
      <c r="AV100" s="115"/>
    </row>
    <row r="101" spans="2:48" ht="13.5" thickBot="1" x14ac:dyDescent="0.25">
      <c r="B101" s="11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113"/>
    </row>
    <row r="102" spans="2:48" ht="16.5" thickTop="1" x14ac:dyDescent="0.25">
      <c r="B102" s="59"/>
      <c r="C102" s="111"/>
      <c r="D102" s="81"/>
      <c r="E102" s="272" t="str">
        <f>'Sprachen &amp; Rückgabewerte(4)'!$H$138</f>
        <v>Rinnenbestellung</v>
      </c>
      <c r="F102" s="81"/>
      <c r="G102" s="81"/>
      <c r="H102" s="81"/>
      <c r="I102" s="81"/>
      <c r="J102" s="81"/>
      <c r="K102" s="81"/>
      <c r="L102" s="81"/>
      <c r="M102" s="81"/>
      <c r="N102" s="81"/>
      <c r="O102" s="81"/>
      <c r="P102" s="81"/>
      <c r="Q102" s="81"/>
      <c r="R102" s="81"/>
      <c r="S102" s="81"/>
      <c r="T102" s="81"/>
      <c r="U102" s="81"/>
      <c r="V102" s="81"/>
      <c r="W102" s="81"/>
      <c r="X102" s="81"/>
      <c r="Y102" s="81"/>
      <c r="Z102" s="113"/>
      <c r="AA102" s="60"/>
      <c r="AB102" s="239"/>
      <c r="AC102" s="240"/>
      <c r="AD102" s="240"/>
      <c r="AE102" s="240"/>
      <c r="AF102" s="255"/>
      <c r="AG102" s="256"/>
      <c r="AH102" s="259"/>
      <c r="AI102" s="255"/>
      <c r="AJ102" s="255"/>
      <c r="AK102" s="255"/>
      <c r="AL102" s="255"/>
      <c r="AM102" s="256"/>
      <c r="AN102" s="259"/>
      <c r="AO102" s="255"/>
      <c r="AP102" s="255"/>
      <c r="AQ102" s="255"/>
      <c r="AR102" s="255"/>
      <c r="AS102" s="255"/>
      <c r="AT102" s="256"/>
      <c r="AU102" s="114"/>
    </row>
    <row r="103" spans="2:48" x14ac:dyDescent="0.2">
      <c r="B103" s="59"/>
      <c r="C103" s="59"/>
      <c r="D103" s="60"/>
      <c r="E103" s="60"/>
      <c r="F103" s="60"/>
      <c r="G103" s="60"/>
      <c r="H103" s="60"/>
      <c r="I103" s="60"/>
      <c r="J103" s="60"/>
      <c r="K103" s="60"/>
      <c r="L103" s="60"/>
      <c r="M103" s="60"/>
      <c r="N103" s="60"/>
      <c r="O103" s="60"/>
      <c r="P103" s="60"/>
      <c r="Q103" s="60"/>
      <c r="R103" s="60"/>
      <c r="S103" s="60"/>
      <c r="T103" s="60"/>
      <c r="U103" s="60"/>
      <c r="V103" s="60"/>
      <c r="W103" s="60"/>
      <c r="X103" s="60"/>
      <c r="Y103" s="60"/>
      <c r="Z103" s="114"/>
      <c r="AA103" s="60"/>
      <c r="AB103" s="242"/>
      <c r="AC103" s="60"/>
      <c r="AD103" s="60"/>
      <c r="AE103" s="60"/>
      <c r="AF103" s="132"/>
      <c r="AG103" s="257"/>
      <c r="AH103" s="260"/>
      <c r="AI103" s="132"/>
      <c r="AJ103" s="132"/>
      <c r="AK103" s="132"/>
      <c r="AL103" s="132"/>
      <c r="AM103" s="257"/>
      <c r="AN103" s="260"/>
      <c r="AO103" s="132"/>
      <c r="AP103" s="132"/>
      <c r="AQ103" s="132"/>
      <c r="AR103" s="132"/>
      <c r="AS103" s="132"/>
      <c r="AT103" s="257"/>
      <c r="AU103" s="133"/>
    </row>
    <row r="104" spans="2:48" ht="15" customHeight="1" x14ac:dyDescent="0.2">
      <c r="B104" s="59"/>
      <c r="C104" s="59"/>
      <c r="D104" s="60"/>
      <c r="E104" s="71" t="str">
        <f>'Sprachen &amp; Rückgabewerte(4)'!$H$139</f>
        <v>Wahl des Rinnensystems:</v>
      </c>
      <c r="F104" s="60"/>
      <c r="G104" s="60"/>
      <c r="H104" s="60"/>
      <c r="I104" s="60"/>
      <c r="J104" s="60"/>
      <c r="K104" s="60"/>
      <c r="L104" s="60"/>
      <c r="M104" s="60"/>
      <c r="N104" s="60"/>
      <c r="O104" s="60"/>
      <c r="P104" s="60"/>
      <c r="Q104" s="60"/>
      <c r="R104" s="60"/>
      <c r="S104" s="60"/>
      <c r="T104" s="717"/>
      <c r="U104" s="718"/>
      <c r="V104" s="237"/>
      <c r="W104" s="237"/>
      <c r="X104" s="60"/>
      <c r="Y104" s="60"/>
      <c r="Z104" s="114"/>
      <c r="AB104" s="242"/>
      <c r="AC104" s="60"/>
      <c r="AD104" s="60"/>
      <c r="AE104" s="60"/>
      <c r="AF104" s="132"/>
      <c r="AG104" s="257"/>
      <c r="AH104" s="260"/>
      <c r="AI104" s="132"/>
      <c r="AJ104" s="132"/>
      <c r="AK104" s="132"/>
      <c r="AL104" s="132"/>
      <c r="AM104" s="257"/>
      <c r="AN104" s="260"/>
      <c r="AO104" s="132"/>
      <c r="AP104" s="132"/>
      <c r="AQ104" s="132"/>
      <c r="AR104" s="132"/>
      <c r="AS104" s="132"/>
      <c r="AT104" s="257"/>
      <c r="AU104" s="133"/>
    </row>
    <row r="105" spans="2:48" x14ac:dyDescent="0.2">
      <c r="B105" s="59"/>
      <c r="C105" s="59"/>
      <c r="D105" s="60"/>
      <c r="E105" s="60"/>
      <c r="F105" s="60"/>
      <c r="G105" s="60"/>
      <c r="H105" s="60"/>
      <c r="I105" s="60"/>
      <c r="J105" s="60"/>
      <c r="K105" s="60"/>
      <c r="L105" s="60"/>
      <c r="M105" s="60"/>
      <c r="N105" s="60"/>
      <c r="O105" s="60"/>
      <c r="P105" s="60"/>
      <c r="Q105" s="60"/>
      <c r="R105" s="60"/>
      <c r="S105" s="60"/>
      <c r="T105" s="60"/>
      <c r="U105" s="60"/>
      <c r="V105" s="60"/>
      <c r="W105" s="60"/>
      <c r="X105" s="60"/>
      <c r="Y105" s="60"/>
      <c r="Z105" s="114"/>
      <c r="AB105" s="242"/>
      <c r="AC105" s="60"/>
      <c r="AD105" s="60"/>
      <c r="AE105" s="60"/>
      <c r="AF105" s="132"/>
      <c r="AG105" s="257"/>
      <c r="AH105" s="260"/>
      <c r="AI105" s="132"/>
      <c r="AJ105" s="132"/>
      <c r="AK105" s="132"/>
      <c r="AL105" s="132"/>
      <c r="AM105" s="257"/>
      <c r="AN105" s="260"/>
      <c r="AO105" s="132"/>
      <c r="AP105" s="132"/>
      <c r="AQ105" s="132"/>
      <c r="AR105" s="132"/>
      <c r="AS105" s="132"/>
      <c r="AT105" s="257"/>
      <c r="AU105" s="133"/>
    </row>
    <row r="106" spans="2:48" ht="15" customHeight="1" x14ac:dyDescent="0.2">
      <c r="B106" s="59"/>
      <c r="C106" s="59"/>
      <c r="D106" s="60"/>
      <c r="E106" s="71" t="str">
        <f>'Sprachen &amp; Rückgabewerte(4)'!$H$140</f>
        <v>Einzug an der linken Anlagenseite:</v>
      </c>
      <c r="F106" s="60"/>
      <c r="G106" s="60"/>
      <c r="H106" s="60"/>
      <c r="I106" s="60"/>
      <c r="J106" s="60"/>
      <c r="K106" s="60"/>
      <c r="L106" s="60"/>
      <c r="M106" s="60"/>
      <c r="N106" s="60"/>
      <c r="O106" s="60"/>
      <c r="P106" s="60"/>
      <c r="Q106" s="60"/>
      <c r="R106" s="60"/>
      <c r="S106" s="60"/>
      <c r="T106" s="670"/>
      <c r="U106" s="719"/>
      <c r="V106" s="60" t="s">
        <v>179</v>
      </c>
      <c r="W106" s="60"/>
      <c r="X106" s="60"/>
      <c r="Y106" s="60"/>
      <c r="Z106" s="114"/>
      <c r="AB106" s="242"/>
      <c r="AC106" s="60"/>
      <c r="AD106" s="60"/>
      <c r="AE106" s="60"/>
      <c r="AF106" s="132"/>
      <c r="AG106" s="257"/>
      <c r="AH106" s="260"/>
      <c r="AI106" s="132"/>
      <c r="AJ106" s="132"/>
      <c r="AK106" s="132"/>
      <c r="AL106" s="132"/>
      <c r="AM106" s="257"/>
      <c r="AN106" s="260"/>
      <c r="AO106" s="132"/>
      <c r="AP106" s="132"/>
      <c r="AQ106" s="132"/>
      <c r="AR106" s="132"/>
      <c r="AS106" s="132"/>
      <c r="AT106" s="257"/>
      <c r="AU106" s="133"/>
    </row>
    <row r="107" spans="2:48" x14ac:dyDescent="0.2">
      <c r="B107" s="59"/>
      <c r="C107" s="59"/>
      <c r="D107" s="60"/>
      <c r="E107" s="60"/>
      <c r="F107" s="60"/>
      <c r="G107" s="60"/>
      <c r="H107" s="60"/>
      <c r="I107" s="60"/>
      <c r="J107" s="60"/>
      <c r="K107" s="60"/>
      <c r="L107" s="60"/>
      <c r="M107" s="60"/>
      <c r="N107" s="60"/>
      <c r="O107" s="60"/>
      <c r="P107" s="60"/>
      <c r="Q107" s="60"/>
      <c r="R107" s="60"/>
      <c r="S107" s="60"/>
      <c r="T107" s="60"/>
      <c r="U107" s="60"/>
      <c r="V107" s="60"/>
      <c r="W107" s="60"/>
      <c r="X107" s="60"/>
      <c r="Y107" s="60"/>
      <c r="Z107" s="114"/>
      <c r="AB107" s="242"/>
      <c r="AC107" s="60"/>
      <c r="AD107" s="60"/>
      <c r="AE107" s="60"/>
      <c r="AF107" s="132"/>
      <c r="AG107" s="257"/>
      <c r="AH107" s="260"/>
      <c r="AI107" s="132"/>
      <c r="AJ107" s="132"/>
      <c r="AK107" s="132"/>
      <c r="AL107" s="132"/>
      <c r="AM107" s="257"/>
      <c r="AN107" s="260"/>
      <c r="AO107" s="132"/>
      <c r="AP107" s="132"/>
      <c r="AQ107" s="132"/>
      <c r="AR107" s="132"/>
      <c r="AS107" s="132"/>
      <c r="AT107" s="257"/>
      <c r="AU107" s="133"/>
    </row>
    <row r="108" spans="2:48" ht="15" customHeight="1" x14ac:dyDescent="0.2">
      <c r="B108" s="59"/>
      <c r="C108" s="59"/>
      <c r="D108" s="60"/>
      <c r="E108" s="71" t="str">
        <f>'Sprachen &amp; Rückgabewerte(4)'!$H$141</f>
        <v>Einzug an der rechten Anlagenseite:</v>
      </c>
      <c r="F108" s="60"/>
      <c r="G108" s="60"/>
      <c r="H108" s="60"/>
      <c r="I108" s="60"/>
      <c r="J108" s="60"/>
      <c r="K108" s="60"/>
      <c r="L108" s="60"/>
      <c r="M108" s="60"/>
      <c r="N108" s="60"/>
      <c r="O108" s="60"/>
      <c r="P108" s="60"/>
      <c r="Q108" s="60"/>
      <c r="R108" s="60"/>
      <c r="S108" s="60"/>
      <c r="T108" s="670"/>
      <c r="U108" s="719"/>
      <c r="V108" s="60" t="s">
        <v>179</v>
      </c>
      <c r="W108" s="60"/>
      <c r="X108" s="60"/>
      <c r="Y108" s="60"/>
      <c r="Z108" s="114"/>
      <c r="AB108" s="242"/>
      <c r="AC108" s="60"/>
      <c r="AD108" s="60"/>
      <c r="AE108" s="60"/>
      <c r="AF108" s="132"/>
      <c r="AG108" s="257"/>
      <c r="AH108" s="260"/>
      <c r="AI108" s="132"/>
      <c r="AJ108" s="132"/>
      <c r="AK108" s="132"/>
      <c r="AL108" s="132"/>
      <c r="AM108" s="257"/>
      <c r="AN108" s="260"/>
      <c r="AO108" s="132"/>
      <c r="AP108" s="132"/>
      <c r="AQ108" s="132"/>
      <c r="AR108" s="132"/>
      <c r="AS108" s="132"/>
      <c r="AT108" s="257"/>
      <c r="AU108" s="133"/>
    </row>
    <row r="109" spans="2:48" x14ac:dyDescent="0.2">
      <c r="B109" s="59"/>
      <c r="C109" s="59"/>
      <c r="D109" s="60"/>
      <c r="E109" s="60"/>
      <c r="F109" s="60"/>
      <c r="G109" s="60"/>
      <c r="H109" s="60"/>
      <c r="I109" s="60"/>
      <c r="J109" s="60"/>
      <c r="K109" s="60"/>
      <c r="L109" s="60"/>
      <c r="M109" s="60"/>
      <c r="N109" s="60"/>
      <c r="O109" s="60"/>
      <c r="P109" s="60"/>
      <c r="Q109" s="60"/>
      <c r="R109" s="60"/>
      <c r="S109" s="60"/>
      <c r="T109" s="60"/>
      <c r="U109" s="60"/>
      <c r="V109" s="60"/>
      <c r="W109" s="60"/>
      <c r="X109" s="60"/>
      <c r="Y109" s="60"/>
      <c r="Z109" s="114"/>
      <c r="AB109" s="242"/>
      <c r="AC109" s="60"/>
      <c r="AD109" s="60"/>
      <c r="AE109" s="60"/>
      <c r="AF109" s="132"/>
      <c r="AG109" s="257"/>
      <c r="AH109" s="260"/>
      <c r="AI109" s="132"/>
      <c r="AJ109" s="132"/>
      <c r="AK109" s="132"/>
      <c r="AL109" s="132"/>
      <c r="AM109" s="257"/>
      <c r="AN109" s="260"/>
      <c r="AO109" s="132"/>
      <c r="AP109" s="132"/>
      <c r="AQ109" s="132"/>
      <c r="AR109" s="132"/>
      <c r="AS109" s="132"/>
      <c r="AT109" s="257"/>
      <c r="AU109" s="133"/>
    </row>
    <row r="110" spans="2:48" ht="15" customHeight="1" x14ac:dyDescent="0.2">
      <c r="B110" s="59"/>
      <c r="C110" s="59"/>
      <c r="D110" s="60"/>
      <c r="E110" s="71" t="str">
        <f>'Sprachen &amp; Rückgabewerte(4)'!$H$142</f>
        <v>Anschlussstutzen:</v>
      </c>
      <c r="F110" s="60"/>
      <c r="G110" s="60"/>
      <c r="H110" s="60"/>
      <c r="I110" s="60"/>
      <c r="J110" s="60"/>
      <c r="K110" s="60"/>
      <c r="L110" s="60"/>
      <c r="M110" s="60"/>
      <c r="N110" s="60"/>
      <c r="O110" s="60"/>
      <c r="P110" s="60"/>
      <c r="Q110" s="60"/>
      <c r="R110" s="60"/>
      <c r="S110" s="60"/>
      <c r="T110" s="717"/>
      <c r="U110" s="720"/>
      <c r="V110" s="720"/>
      <c r="W110" s="720"/>
      <c r="X110" s="720"/>
      <c r="Y110" s="718"/>
      <c r="Z110" s="530"/>
      <c r="AB110" s="261"/>
      <c r="AC110" s="262"/>
      <c r="AD110" s="262"/>
      <c r="AE110" s="262"/>
      <c r="AF110" s="263"/>
      <c r="AG110" s="264"/>
      <c r="AH110" s="265"/>
      <c r="AI110" s="263"/>
      <c r="AJ110" s="263"/>
      <c r="AK110" s="263"/>
      <c r="AL110" s="263"/>
      <c r="AM110" s="264"/>
      <c r="AN110" s="265"/>
      <c r="AO110" s="263"/>
      <c r="AP110" s="263"/>
      <c r="AQ110" s="263"/>
      <c r="AR110" s="263"/>
      <c r="AS110" s="263"/>
      <c r="AT110" s="264"/>
      <c r="AU110" s="133"/>
    </row>
    <row r="111" spans="2:48" x14ac:dyDescent="0.2">
      <c r="B111" s="59"/>
      <c r="C111" s="59"/>
      <c r="D111" s="60"/>
      <c r="E111" s="60"/>
      <c r="F111" s="60"/>
      <c r="G111" s="60"/>
      <c r="H111" s="60"/>
      <c r="I111" s="60"/>
      <c r="J111" s="60"/>
      <c r="K111" s="60"/>
      <c r="L111" s="60"/>
      <c r="M111" s="60"/>
      <c r="N111" s="60"/>
      <c r="O111" s="60"/>
      <c r="P111" s="60"/>
      <c r="Q111" s="60"/>
      <c r="R111" s="60"/>
      <c r="S111" s="60"/>
      <c r="T111" s="60"/>
      <c r="U111" s="60"/>
      <c r="V111" s="60"/>
      <c r="W111" s="60"/>
      <c r="X111" s="60"/>
      <c r="Y111" s="60"/>
      <c r="Z111" s="114"/>
      <c r="AB111" s="266"/>
      <c r="AC111" s="267"/>
      <c r="AD111" s="267"/>
      <c r="AE111" s="267"/>
      <c r="AF111" s="268"/>
      <c r="AG111" s="269"/>
      <c r="AH111" s="268"/>
      <c r="AI111" s="268"/>
      <c r="AJ111" s="268"/>
      <c r="AK111" s="268"/>
      <c r="AL111" s="268"/>
      <c r="AM111" s="268"/>
      <c r="AN111" s="270"/>
      <c r="AO111" s="268"/>
      <c r="AP111" s="268"/>
      <c r="AQ111" s="268"/>
      <c r="AR111" s="268"/>
      <c r="AS111" s="268"/>
      <c r="AT111" s="269"/>
      <c r="AU111" s="133"/>
    </row>
    <row r="112" spans="2:48" ht="15" customHeight="1" x14ac:dyDescent="0.2">
      <c r="B112" s="59"/>
      <c r="C112" s="59"/>
      <c r="D112" s="60"/>
      <c r="E112" s="60"/>
      <c r="F112" s="60"/>
      <c r="G112" s="60"/>
      <c r="H112" s="60"/>
      <c r="I112" s="60"/>
      <c r="J112" s="60"/>
      <c r="K112" s="60"/>
      <c r="L112" s="60"/>
      <c r="M112" s="60"/>
      <c r="N112" s="60"/>
      <c r="O112" s="60"/>
      <c r="P112" s="60"/>
      <c r="Q112" s="60"/>
      <c r="R112" s="275" t="str">
        <f>IF($T$110='Sprachen &amp; Rückgabewerte(4)'!$J$143,'Sprachen &amp; Rückgabewerte(4)'!$H$145,'Sprachen &amp; Rückgabewerte(4)'!$H$148)</f>
        <v>Abstände Ablaufstutzen (E):</v>
      </c>
      <c r="S112" s="60"/>
      <c r="T112" s="721"/>
      <c r="U112" s="722"/>
      <c r="V112" s="722"/>
      <c r="W112" s="722"/>
      <c r="X112" s="722"/>
      <c r="Y112" s="723"/>
      <c r="Z112" s="531"/>
      <c r="AB112" s="242"/>
      <c r="AC112" s="60"/>
      <c r="AD112" s="60"/>
      <c r="AE112" s="60"/>
      <c r="AF112" s="132"/>
      <c r="AG112" s="257"/>
      <c r="AH112" s="132"/>
      <c r="AI112" s="132"/>
      <c r="AJ112" s="132"/>
      <c r="AK112" s="132"/>
      <c r="AL112" s="132"/>
      <c r="AM112" s="132"/>
      <c r="AN112" s="260"/>
      <c r="AO112" s="132"/>
      <c r="AP112" s="132"/>
      <c r="AQ112" s="132"/>
      <c r="AR112" s="132"/>
      <c r="AS112" s="132"/>
      <c r="AT112" s="257"/>
      <c r="AU112" s="133"/>
    </row>
    <row r="113" spans="2:47" x14ac:dyDescent="0.2">
      <c r="B113" s="59"/>
      <c r="C113" s="59"/>
      <c r="D113" s="60"/>
      <c r="E113" s="276"/>
      <c r="F113" s="276"/>
      <c r="G113" s="276"/>
      <c r="H113" s="276"/>
      <c r="I113" s="276"/>
      <c r="J113" s="276"/>
      <c r="K113" s="276"/>
      <c r="L113" s="276"/>
      <c r="M113" s="276"/>
      <c r="N113" s="276"/>
      <c r="O113" s="276"/>
      <c r="P113" s="276"/>
      <c r="Q113" s="276"/>
      <c r="R113" s="276"/>
      <c r="S113" s="276"/>
      <c r="T113" s="60"/>
      <c r="U113" s="60"/>
      <c r="V113" s="60"/>
      <c r="W113" s="60"/>
      <c r="X113" s="60"/>
      <c r="Y113" s="60"/>
      <c r="Z113" s="114"/>
      <c r="AB113" s="242"/>
      <c r="AC113" s="60"/>
      <c r="AD113" s="60"/>
      <c r="AE113" s="60"/>
      <c r="AF113" s="132"/>
      <c r="AG113" s="257"/>
      <c r="AH113" s="132"/>
      <c r="AI113" s="132"/>
      <c r="AJ113" s="132"/>
      <c r="AK113" s="132"/>
      <c r="AL113" s="132"/>
      <c r="AM113" s="132"/>
      <c r="AN113" s="260"/>
      <c r="AO113" s="132"/>
      <c r="AP113" s="132"/>
      <c r="AQ113" s="132"/>
      <c r="AR113" s="132"/>
      <c r="AS113" s="132"/>
      <c r="AT113" s="257"/>
      <c r="AU113" s="114"/>
    </row>
    <row r="114" spans="2:47" ht="15" customHeight="1" x14ac:dyDescent="0.2">
      <c r="B114" s="59"/>
      <c r="C114" s="59"/>
      <c r="D114" s="60"/>
      <c r="E114" s="276"/>
      <c r="F114" s="276"/>
      <c r="G114" s="276"/>
      <c r="H114" s="276"/>
      <c r="I114" s="276"/>
      <c r="J114" s="276"/>
      <c r="K114" s="276"/>
      <c r="L114" s="276"/>
      <c r="M114" s="276"/>
      <c r="N114" s="276"/>
      <c r="O114" s="276"/>
      <c r="P114" s="276"/>
      <c r="Q114" s="276"/>
      <c r="R114" s="275" t="str">
        <f>'Sprachen &amp; Rückgabewerte(4)'!H149</f>
        <v>Rinnenanschluss:</v>
      </c>
      <c r="S114" s="276"/>
      <c r="T114" s="717"/>
      <c r="U114" s="718"/>
      <c r="V114" s="60"/>
      <c r="W114" s="60"/>
      <c r="X114" s="60"/>
      <c r="Y114" s="60"/>
      <c r="Z114" s="114"/>
      <c r="AB114" s="242"/>
      <c r="AC114" s="60"/>
      <c r="AD114" s="60"/>
      <c r="AE114" s="60"/>
      <c r="AF114" s="132"/>
      <c r="AG114" s="257"/>
      <c r="AH114" s="132"/>
      <c r="AI114" s="132"/>
      <c r="AJ114" s="132"/>
      <c r="AK114" s="132"/>
      <c r="AL114" s="132"/>
      <c r="AM114" s="132"/>
      <c r="AN114" s="260"/>
      <c r="AO114" s="132"/>
      <c r="AP114" s="132"/>
      <c r="AQ114" s="132"/>
      <c r="AR114" s="132"/>
      <c r="AS114" s="132"/>
      <c r="AT114" s="257"/>
      <c r="AU114" s="114"/>
    </row>
    <row r="115" spans="2:47" x14ac:dyDescent="0.2">
      <c r="B115" s="59"/>
      <c r="C115" s="59"/>
      <c r="D115" s="60"/>
      <c r="E115" s="60"/>
      <c r="F115" s="60"/>
      <c r="G115" s="60"/>
      <c r="H115" s="60"/>
      <c r="I115" s="60"/>
      <c r="J115" s="60"/>
      <c r="K115" s="60"/>
      <c r="L115" s="60"/>
      <c r="M115" s="60"/>
      <c r="N115" s="60"/>
      <c r="O115" s="60"/>
      <c r="P115" s="60"/>
      <c r="Q115" s="60"/>
      <c r="R115" s="60"/>
      <c r="S115" s="60"/>
      <c r="T115" s="60"/>
      <c r="U115" s="60"/>
      <c r="V115" s="60"/>
      <c r="W115" s="60"/>
      <c r="X115" s="60"/>
      <c r="Y115" s="60"/>
      <c r="Z115" s="114"/>
      <c r="AA115" s="60"/>
      <c r="AB115" s="242"/>
      <c r="AC115" s="60"/>
      <c r="AD115" s="60"/>
      <c r="AE115" s="60"/>
      <c r="AF115" s="60"/>
      <c r="AG115" s="257"/>
      <c r="AH115" s="132"/>
      <c r="AI115" s="132"/>
      <c r="AJ115" s="132"/>
      <c r="AK115" s="132"/>
      <c r="AL115" s="132"/>
      <c r="AM115" s="132"/>
      <c r="AN115" s="260"/>
      <c r="AO115" s="60"/>
      <c r="AP115" s="60"/>
      <c r="AQ115" s="60"/>
      <c r="AR115" s="60"/>
      <c r="AS115" s="60"/>
      <c r="AT115" s="244"/>
      <c r="AU115" s="114"/>
    </row>
    <row r="116" spans="2:47" x14ac:dyDescent="0.2">
      <c r="B116" s="59"/>
      <c r="C116" s="59"/>
      <c r="D116" s="60"/>
      <c r="E116" s="664" t="str">
        <f>IF('Sprachen &amp; Rückgabewerte(4)'!$I$50=TRUE,'Sprachen &amp; Rückgabewerte(4)'!$H$102,"")</f>
        <v/>
      </c>
      <c r="F116" s="664"/>
      <c r="G116" s="664"/>
      <c r="H116" s="664"/>
      <c r="I116" s="664"/>
      <c r="J116" s="664"/>
      <c r="K116" s="664"/>
      <c r="L116" s="664"/>
      <c r="M116" s="664"/>
      <c r="N116" s="664"/>
      <c r="O116" s="664"/>
      <c r="P116" s="664"/>
      <c r="Q116" s="664"/>
      <c r="R116" s="664"/>
      <c r="S116" s="60"/>
      <c r="T116" s="60"/>
      <c r="U116" s="60"/>
      <c r="V116" s="60"/>
      <c r="W116" s="60"/>
      <c r="X116" s="60"/>
      <c r="Y116" s="60"/>
      <c r="Z116" s="114"/>
      <c r="AA116" s="60"/>
      <c r="AB116" s="242"/>
      <c r="AC116" s="60"/>
      <c r="AD116" s="60"/>
      <c r="AE116" s="60"/>
      <c r="AF116" s="60"/>
      <c r="AG116" s="257"/>
      <c r="AH116" s="132"/>
      <c r="AI116" s="132"/>
      <c r="AJ116" s="132"/>
      <c r="AK116" s="132"/>
      <c r="AL116" s="132"/>
      <c r="AM116" s="132"/>
      <c r="AN116" s="260"/>
      <c r="AO116" s="60"/>
      <c r="AP116" s="60"/>
      <c r="AQ116" s="60"/>
      <c r="AR116" s="60"/>
      <c r="AS116" s="60"/>
      <c r="AT116" s="244"/>
      <c r="AU116" s="114"/>
    </row>
    <row r="117" spans="2:47" ht="12.75" customHeight="1" x14ac:dyDescent="0.2">
      <c r="B117" s="59"/>
      <c r="C117" s="59"/>
      <c r="D117" s="60"/>
      <c r="E117" s="664"/>
      <c r="F117" s="664"/>
      <c r="G117" s="664"/>
      <c r="H117" s="664"/>
      <c r="I117" s="664"/>
      <c r="J117" s="664"/>
      <c r="K117" s="664"/>
      <c r="L117" s="664"/>
      <c r="M117" s="664"/>
      <c r="N117" s="664"/>
      <c r="O117" s="664"/>
      <c r="P117" s="664"/>
      <c r="Q117" s="664"/>
      <c r="R117" s="664"/>
      <c r="S117" s="132"/>
      <c r="T117" s="132"/>
      <c r="U117" s="132"/>
      <c r="V117" s="132"/>
      <c r="W117" s="132"/>
      <c r="X117" s="132"/>
      <c r="Y117" s="132"/>
      <c r="Z117" s="133"/>
      <c r="AA117" s="132"/>
      <c r="AB117" s="260"/>
      <c r="AC117" s="132"/>
      <c r="AD117" s="132"/>
      <c r="AE117" s="132"/>
      <c r="AF117" s="132"/>
      <c r="AG117" s="257"/>
      <c r="AH117" s="132"/>
      <c r="AI117" s="132"/>
      <c r="AJ117" s="132"/>
      <c r="AK117" s="132"/>
      <c r="AL117" s="132"/>
      <c r="AM117" s="132"/>
      <c r="AN117" s="260"/>
      <c r="AO117" s="60"/>
      <c r="AP117" s="60"/>
      <c r="AQ117" s="60"/>
      <c r="AR117" s="60"/>
      <c r="AS117" s="60"/>
      <c r="AT117" s="244"/>
      <c r="AU117" s="114"/>
    </row>
    <row r="118" spans="2:47" x14ac:dyDescent="0.2">
      <c r="B118" s="59"/>
      <c r="C118" s="59"/>
      <c r="D118" s="60"/>
      <c r="E118" s="664"/>
      <c r="F118" s="664"/>
      <c r="G118" s="664"/>
      <c r="H118" s="664"/>
      <c r="I118" s="664"/>
      <c r="J118" s="664"/>
      <c r="K118" s="664"/>
      <c r="L118" s="664"/>
      <c r="M118" s="664"/>
      <c r="N118" s="664"/>
      <c r="O118" s="664"/>
      <c r="P118" s="664"/>
      <c r="Q118" s="664"/>
      <c r="R118" s="664"/>
      <c r="S118" s="60"/>
      <c r="T118" s="60"/>
      <c r="U118" s="60"/>
      <c r="V118" s="60"/>
      <c r="W118" s="60"/>
      <c r="X118" s="60"/>
      <c r="Y118" s="60"/>
      <c r="Z118" s="114"/>
      <c r="AB118" s="242"/>
      <c r="AC118" s="60"/>
      <c r="AD118" s="60"/>
      <c r="AE118" s="60"/>
      <c r="AF118" s="60"/>
      <c r="AG118" s="244"/>
      <c r="AH118" s="60"/>
      <c r="AI118" s="60"/>
      <c r="AJ118" s="60"/>
      <c r="AK118" s="60"/>
      <c r="AL118" s="60"/>
      <c r="AM118" s="60"/>
      <c r="AN118" s="242"/>
      <c r="AO118" s="60"/>
      <c r="AP118" s="60"/>
      <c r="AQ118" s="60"/>
      <c r="AR118" s="60"/>
      <c r="AS118" s="60"/>
      <c r="AT118" s="244"/>
      <c r="AU118" s="114"/>
    </row>
    <row r="119" spans="2:47" x14ac:dyDescent="0.2">
      <c r="B119" s="59"/>
      <c r="C119" s="59"/>
      <c r="D119" s="60"/>
      <c r="E119" s="60"/>
      <c r="F119" s="60"/>
      <c r="G119" s="60"/>
      <c r="H119" s="60"/>
      <c r="I119" s="60"/>
      <c r="J119" s="60"/>
      <c r="K119" s="60"/>
      <c r="L119" s="60"/>
      <c r="M119" s="60"/>
      <c r="N119" s="60"/>
      <c r="O119" s="60"/>
      <c r="P119" s="60"/>
      <c r="Q119" s="60"/>
      <c r="R119" s="60"/>
      <c r="S119" s="60"/>
      <c r="T119" s="60"/>
      <c r="U119" s="60"/>
      <c r="V119" s="60"/>
      <c r="W119" s="60"/>
      <c r="X119" s="60"/>
      <c r="Y119" s="60"/>
      <c r="Z119" s="114"/>
      <c r="AB119" s="242"/>
      <c r="AC119" s="60"/>
      <c r="AD119" s="60"/>
      <c r="AE119" s="60"/>
      <c r="AF119" s="60"/>
      <c r="AG119" s="244"/>
      <c r="AH119" s="60"/>
      <c r="AI119" s="60"/>
      <c r="AJ119" s="60"/>
      <c r="AK119" s="60"/>
      <c r="AL119" s="60"/>
      <c r="AM119" s="60"/>
      <c r="AN119" s="242"/>
      <c r="AO119" s="60"/>
      <c r="AP119" s="60"/>
      <c r="AQ119" s="60"/>
      <c r="AR119" s="60"/>
      <c r="AS119" s="60"/>
      <c r="AT119" s="244"/>
      <c r="AU119" s="114"/>
    </row>
    <row r="120" spans="2:47" ht="13.5" thickBot="1" x14ac:dyDescent="0.25">
      <c r="B120" s="59"/>
      <c r="C120" s="67"/>
      <c r="D120" s="83"/>
      <c r="E120" s="83"/>
      <c r="F120" s="83"/>
      <c r="G120" s="83"/>
      <c r="H120" s="83"/>
      <c r="I120" s="83"/>
      <c r="J120" s="83"/>
      <c r="K120" s="83"/>
      <c r="L120" s="83"/>
      <c r="M120" s="83"/>
      <c r="N120" s="83"/>
      <c r="O120" s="83"/>
      <c r="P120" s="83"/>
      <c r="Q120" s="83"/>
      <c r="R120" s="83"/>
      <c r="S120" s="83"/>
      <c r="T120" s="83"/>
      <c r="U120" s="83"/>
      <c r="V120" s="83"/>
      <c r="W120" s="83"/>
      <c r="X120" s="83"/>
      <c r="Y120" s="83"/>
      <c r="Z120" s="115"/>
      <c r="AB120" s="258"/>
      <c r="AC120" s="248"/>
      <c r="AD120" s="248"/>
      <c r="AE120" s="248"/>
      <c r="AF120" s="248"/>
      <c r="AG120" s="250"/>
      <c r="AH120" s="248"/>
      <c r="AI120" s="248"/>
      <c r="AJ120" s="248"/>
      <c r="AK120" s="248"/>
      <c r="AL120" s="248"/>
      <c r="AM120" s="248"/>
      <c r="AN120" s="258"/>
      <c r="AO120" s="248"/>
      <c r="AP120" s="248"/>
      <c r="AQ120" s="248"/>
      <c r="AR120" s="248"/>
      <c r="AS120" s="248"/>
      <c r="AT120" s="250"/>
      <c r="AU120" s="114"/>
    </row>
    <row r="121" spans="2:47" ht="13.5" thickTop="1" x14ac:dyDescent="0.2">
      <c r="B121" s="59"/>
      <c r="AU121" s="114"/>
    </row>
    <row r="122" spans="2:47" ht="12.95" customHeight="1" x14ac:dyDescent="0.2">
      <c r="B122" s="59"/>
      <c r="L122" s="60"/>
      <c r="M122" s="60"/>
      <c r="N122" s="60"/>
      <c r="O122" s="60"/>
      <c r="P122" s="60"/>
      <c r="Q122" s="60"/>
      <c r="R122" s="60"/>
      <c r="S122" s="60"/>
      <c r="T122" s="60"/>
      <c r="U122" s="60"/>
      <c r="V122" s="60"/>
      <c r="W122" s="60"/>
      <c r="X122" s="60"/>
      <c r="Y122" s="60"/>
      <c r="Z122" s="60"/>
      <c r="AA122" s="60"/>
      <c r="AB122" s="111"/>
      <c r="AC122" s="81"/>
      <c r="AD122" s="81"/>
      <c r="AE122" s="81"/>
      <c r="AF122" s="81"/>
      <c r="AG122" s="81"/>
      <c r="AH122" s="81"/>
      <c r="AI122" s="81"/>
      <c r="AJ122" s="81"/>
      <c r="AK122" s="81"/>
      <c r="AL122" s="81"/>
      <c r="AM122" s="81"/>
      <c r="AN122" s="81"/>
      <c r="AO122" s="81"/>
      <c r="AP122" s="81"/>
      <c r="AQ122" s="81"/>
      <c r="AR122" s="81"/>
      <c r="AS122" s="81"/>
      <c r="AT122" s="113"/>
      <c r="AU122" s="114"/>
    </row>
    <row r="123" spans="2:47" ht="12.95" customHeight="1" x14ac:dyDescent="0.2">
      <c r="B123" s="59"/>
      <c r="L123" s="60"/>
      <c r="M123" s="60"/>
      <c r="N123" s="60"/>
      <c r="O123" s="60"/>
      <c r="P123" s="60"/>
      <c r="Q123" s="60"/>
      <c r="R123" s="60"/>
      <c r="S123" s="60"/>
      <c r="T123" s="60"/>
      <c r="U123" s="60"/>
      <c r="V123" s="60"/>
      <c r="W123" s="60"/>
      <c r="X123" s="60"/>
      <c r="Y123" s="60"/>
      <c r="Z123" s="60"/>
      <c r="AA123" s="60"/>
      <c r="AB123" s="59"/>
      <c r="AC123" s="60"/>
      <c r="AD123" s="60"/>
      <c r="AE123" s="60"/>
      <c r="AF123" s="60"/>
      <c r="AG123" s="60"/>
      <c r="AH123" s="60"/>
      <c r="AI123" s="60"/>
      <c r="AJ123" s="60"/>
      <c r="AK123" s="60"/>
      <c r="AL123" s="60"/>
      <c r="AM123" s="60"/>
      <c r="AN123" s="60"/>
      <c r="AO123" s="60"/>
      <c r="AP123" s="60"/>
      <c r="AQ123" s="60"/>
      <c r="AR123" s="60"/>
      <c r="AS123" s="60"/>
      <c r="AT123" s="114"/>
      <c r="AU123" s="114"/>
    </row>
    <row r="124" spans="2:47" ht="12.95" customHeight="1" x14ac:dyDescent="0.2">
      <c r="B124" s="59"/>
      <c r="L124" s="60"/>
      <c r="M124" s="60"/>
      <c r="N124" s="60"/>
      <c r="O124" s="60"/>
      <c r="P124" s="60"/>
      <c r="Q124" s="60"/>
      <c r="R124" s="60"/>
      <c r="S124" s="60"/>
      <c r="T124" s="60"/>
      <c r="U124" s="60"/>
      <c r="V124" s="60"/>
      <c r="W124" s="60"/>
      <c r="X124" s="60"/>
      <c r="Y124" s="60"/>
      <c r="Z124" s="60"/>
      <c r="AA124" s="60"/>
      <c r="AB124" s="59"/>
      <c r="AC124" s="60"/>
      <c r="AD124" s="60"/>
      <c r="AE124" s="60"/>
      <c r="AF124" s="60"/>
      <c r="AG124" s="60"/>
      <c r="AH124" s="60"/>
      <c r="AI124" s="60"/>
      <c r="AJ124" s="60"/>
      <c r="AK124" s="60"/>
      <c r="AL124" s="60"/>
      <c r="AM124" s="60"/>
      <c r="AN124" s="60"/>
      <c r="AO124" s="60"/>
      <c r="AP124" s="60"/>
      <c r="AQ124" s="60"/>
      <c r="AR124" s="60"/>
      <c r="AS124" s="60"/>
      <c r="AT124" s="114"/>
      <c r="AU124" s="114"/>
    </row>
    <row r="125" spans="2:47" ht="12.95" customHeight="1" x14ac:dyDescent="0.2">
      <c r="B125" s="59"/>
      <c r="L125" s="60"/>
      <c r="M125" s="60"/>
      <c r="N125" s="60"/>
      <c r="O125" s="60"/>
      <c r="P125" s="60"/>
      <c r="Q125" s="60"/>
      <c r="R125" s="60"/>
      <c r="S125" s="60"/>
      <c r="T125" s="60"/>
      <c r="U125" s="60"/>
      <c r="V125" s="60"/>
      <c r="W125" s="60"/>
      <c r="X125" s="60"/>
      <c r="Y125" s="60"/>
      <c r="Z125" s="60"/>
      <c r="AA125" s="60"/>
      <c r="AB125" s="59"/>
      <c r="AC125" s="60"/>
      <c r="AD125" s="60"/>
      <c r="AE125" s="60"/>
      <c r="AF125" s="60"/>
      <c r="AG125" s="60"/>
      <c r="AH125" s="60"/>
      <c r="AI125" s="60"/>
      <c r="AJ125" s="60"/>
      <c r="AK125" s="60"/>
      <c r="AL125" s="60"/>
      <c r="AM125" s="60"/>
      <c r="AN125" s="60"/>
      <c r="AO125" s="60"/>
      <c r="AP125" s="60"/>
      <c r="AQ125" s="60"/>
      <c r="AR125" s="60"/>
      <c r="AS125" s="60"/>
      <c r="AT125" s="114"/>
      <c r="AU125" s="114"/>
    </row>
    <row r="126" spans="2:47" ht="12.95" customHeight="1" x14ac:dyDescent="0.2">
      <c r="B126" s="59"/>
      <c r="L126" s="60"/>
      <c r="M126" s="60"/>
      <c r="N126" s="60"/>
      <c r="O126" s="60"/>
      <c r="P126" s="60"/>
      <c r="Q126" s="60"/>
      <c r="R126" s="60"/>
      <c r="S126" s="60"/>
      <c r="T126" s="60"/>
      <c r="U126" s="60"/>
      <c r="V126" s="60"/>
      <c r="W126" s="60"/>
      <c r="X126" s="60"/>
      <c r="Y126" s="60"/>
      <c r="Z126" s="60"/>
      <c r="AA126" s="60"/>
      <c r="AB126" s="59"/>
      <c r="AC126" s="60"/>
      <c r="AD126" s="60"/>
      <c r="AE126" s="60"/>
      <c r="AF126" s="60"/>
      <c r="AG126" s="60"/>
      <c r="AH126" s="60"/>
      <c r="AI126" s="60"/>
      <c r="AJ126" s="60"/>
      <c r="AK126" s="132"/>
      <c r="AL126" s="132"/>
      <c r="AM126" s="132"/>
      <c r="AN126" s="132"/>
      <c r="AO126" s="132"/>
      <c r="AP126" s="60"/>
      <c r="AQ126" s="60"/>
      <c r="AR126" s="60"/>
      <c r="AS126" s="60"/>
      <c r="AT126" s="114"/>
      <c r="AU126" s="114"/>
    </row>
    <row r="127" spans="2:47" ht="12.95" customHeight="1" x14ac:dyDescent="0.2">
      <c r="B127" s="59"/>
      <c r="L127" s="60"/>
      <c r="M127" s="60"/>
      <c r="N127" s="60"/>
      <c r="O127" s="60"/>
      <c r="P127" s="60"/>
      <c r="Q127" s="60"/>
      <c r="R127" s="60"/>
      <c r="S127" s="60"/>
      <c r="T127" s="60"/>
      <c r="U127" s="60"/>
      <c r="V127" s="60"/>
      <c r="W127" s="60"/>
      <c r="X127" s="60"/>
      <c r="Y127" s="60"/>
      <c r="Z127" s="60"/>
      <c r="AA127" s="60"/>
      <c r="AB127" s="59"/>
      <c r="AC127" s="60"/>
      <c r="AD127" s="60"/>
      <c r="AE127" s="60"/>
      <c r="AF127" s="60"/>
      <c r="AG127" s="60"/>
      <c r="AH127" s="60"/>
      <c r="AI127" s="60"/>
      <c r="AJ127" s="60"/>
      <c r="AK127" s="132"/>
      <c r="AL127" s="132"/>
      <c r="AM127" s="132"/>
      <c r="AN127" s="132"/>
      <c r="AO127" s="132"/>
      <c r="AP127" s="60"/>
      <c r="AQ127" s="60"/>
      <c r="AR127" s="60"/>
      <c r="AS127" s="60"/>
      <c r="AT127" s="114"/>
      <c r="AU127" s="114"/>
    </row>
    <row r="128" spans="2:47" ht="12.95" customHeight="1" x14ac:dyDescent="0.2">
      <c r="B128" s="59"/>
      <c r="L128" s="60"/>
      <c r="M128" s="60"/>
      <c r="N128" s="60"/>
      <c r="O128" s="60"/>
      <c r="P128" s="60"/>
      <c r="Q128" s="60"/>
      <c r="R128" s="60"/>
      <c r="S128" s="60"/>
      <c r="T128" s="60"/>
      <c r="U128" s="60"/>
      <c r="V128" s="60"/>
      <c r="W128" s="60"/>
      <c r="X128" s="60"/>
      <c r="Y128" s="60"/>
      <c r="Z128" s="60"/>
      <c r="AA128" s="60"/>
      <c r="AB128" s="59"/>
      <c r="AC128" s="60"/>
      <c r="AD128" s="60"/>
      <c r="AE128" s="60"/>
      <c r="AF128" s="60"/>
      <c r="AG128" s="60"/>
      <c r="AH128" s="60"/>
      <c r="AI128" s="60"/>
      <c r="AJ128" s="60"/>
      <c r="AK128" s="132"/>
      <c r="AL128" s="132"/>
      <c r="AM128" s="132"/>
      <c r="AN128" s="132"/>
      <c r="AO128" s="132"/>
      <c r="AP128" s="60"/>
      <c r="AQ128" s="60"/>
      <c r="AR128" s="60"/>
      <c r="AS128" s="60"/>
      <c r="AT128" s="114"/>
      <c r="AU128" s="114"/>
    </row>
    <row r="129" spans="2:47" ht="12.95" customHeight="1" x14ac:dyDescent="0.2">
      <c r="B129" s="59"/>
      <c r="L129" s="60"/>
      <c r="M129" s="60"/>
      <c r="N129" s="60"/>
      <c r="O129" s="60"/>
      <c r="P129" s="60"/>
      <c r="Q129" s="60"/>
      <c r="R129" s="60"/>
      <c r="S129" s="60"/>
      <c r="T129" s="60"/>
      <c r="U129" s="60"/>
      <c r="V129" s="60"/>
      <c r="W129" s="60"/>
      <c r="X129" s="60"/>
      <c r="Y129" s="60"/>
      <c r="Z129" s="60"/>
      <c r="AA129" s="60"/>
      <c r="AB129" s="59"/>
      <c r="AC129" s="60"/>
      <c r="AD129" s="60"/>
      <c r="AE129" s="60"/>
      <c r="AF129" s="155"/>
      <c r="AG129" s="60"/>
      <c r="AH129" s="60"/>
      <c r="AI129" s="60"/>
      <c r="AJ129" s="60"/>
      <c r="AK129" s="132"/>
      <c r="AL129" s="132"/>
      <c r="AM129" s="132"/>
      <c r="AN129" s="132"/>
      <c r="AO129" s="132"/>
      <c r="AP129" s="60"/>
      <c r="AQ129" s="60"/>
      <c r="AR129" s="60"/>
      <c r="AS129" s="60"/>
      <c r="AT129" s="114"/>
      <c r="AU129" s="114"/>
    </row>
    <row r="130" spans="2:47" ht="12.95" customHeight="1" x14ac:dyDescent="0.2">
      <c r="B130" s="59"/>
      <c r="L130" s="60"/>
      <c r="M130" s="60"/>
      <c r="N130" s="60"/>
      <c r="O130" s="60"/>
      <c r="P130" s="60"/>
      <c r="Q130" s="60"/>
      <c r="R130" s="60"/>
      <c r="S130" s="60"/>
      <c r="T130" s="60"/>
      <c r="U130" s="60"/>
      <c r="V130" s="60"/>
      <c r="W130" s="60"/>
      <c r="X130" s="60"/>
      <c r="Y130" s="60"/>
      <c r="Z130" s="60"/>
      <c r="AA130" s="60"/>
      <c r="AB130" s="59"/>
      <c r="AC130" s="60"/>
      <c r="AD130" s="60"/>
      <c r="AE130" s="60"/>
      <c r="AF130" s="60"/>
      <c r="AG130" s="60"/>
      <c r="AH130" s="60"/>
      <c r="AI130" s="60"/>
      <c r="AJ130" s="60"/>
      <c r="AK130" s="132"/>
      <c r="AL130" s="132"/>
      <c r="AM130" s="132"/>
      <c r="AN130" s="132"/>
      <c r="AO130" s="132"/>
      <c r="AP130" s="60"/>
      <c r="AQ130" s="60"/>
      <c r="AR130" s="60"/>
      <c r="AS130" s="60"/>
      <c r="AT130" s="114"/>
      <c r="AU130" s="114"/>
    </row>
    <row r="131" spans="2:47" ht="12.95" customHeight="1" x14ac:dyDescent="0.2">
      <c r="B131" s="59"/>
      <c r="L131" s="60"/>
      <c r="M131" s="60"/>
      <c r="N131" s="60"/>
      <c r="O131" s="60"/>
      <c r="P131" s="60"/>
      <c r="Q131" s="60"/>
      <c r="R131" s="60"/>
      <c r="S131" s="60"/>
      <c r="T131" s="60"/>
      <c r="U131" s="60"/>
      <c r="V131" s="60"/>
      <c r="W131" s="60"/>
      <c r="X131" s="60"/>
      <c r="Y131" s="60"/>
      <c r="Z131" s="60"/>
      <c r="AA131" s="60"/>
      <c r="AB131" s="59"/>
      <c r="AC131" s="60"/>
      <c r="AD131" s="60"/>
      <c r="AE131" s="215"/>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59"/>
      <c r="L132" s="60"/>
      <c r="M132" s="60"/>
      <c r="N132" s="60"/>
      <c r="O132" s="60"/>
      <c r="P132" s="60"/>
      <c r="Q132" s="60"/>
      <c r="R132" s="60"/>
      <c r="S132" s="60"/>
      <c r="T132" s="60"/>
      <c r="U132" s="60"/>
      <c r="V132" s="60"/>
      <c r="W132" s="60"/>
      <c r="X132" s="60"/>
      <c r="Y132" s="60"/>
      <c r="Z132" s="60"/>
      <c r="AA132" s="60"/>
      <c r="AB132" s="59"/>
      <c r="AC132" s="60"/>
      <c r="AD132" s="60"/>
      <c r="AE132" s="215"/>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59"/>
      <c r="L133" s="60"/>
      <c r="M133" s="60"/>
      <c r="N133" s="60"/>
      <c r="O133" s="60"/>
      <c r="P133" s="60"/>
      <c r="Q133" s="60"/>
      <c r="R133" s="60"/>
      <c r="S133" s="60"/>
      <c r="T133" s="60"/>
      <c r="U133" s="60"/>
      <c r="V133" s="60"/>
      <c r="W133" s="60"/>
      <c r="X133" s="60"/>
      <c r="Y133" s="60"/>
      <c r="Z133" s="60"/>
      <c r="AA133" s="60"/>
      <c r="AB133" s="59"/>
      <c r="AC133" s="60"/>
      <c r="AD133" s="60"/>
      <c r="AE133" s="215"/>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59"/>
      <c r="L134" s="60"/>
      <c r="M134" s="60"/>
      <c r="N134" s="60"/>
      <c r="O134" s="60"/>
      <c r="P134" s="60"/>
      <c r="Q134" s="60"/>
      <c r="R134" s="60"/>
      <c r="S134" s="60"/>
      <c r="T134" s="60"/>
      <c r="U134" s="60"/>
      <c r="V134" s="60"/>
      <c r="W134" s="60"/>
      <c r="X134" s="60"/>
      <c r="Y134" s="60"/>
      <c r="Z134" s="60"/>
      <c r="AA134" s="60"/>
      <c r="AB134" s="59"/>
      <c r="AC134" s="60"/>
      <c r="AD134" s="60"/>
      <c r="AE134" s="215"/>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59"/>
      <c r="L135" s="60"/>
      <c r="M135" s="60"/>
      <c r="N135" s="60"/>
      <c r="O135" s="60"/>
      <c r="P135" s="60"/>
      <c r="Q135" s="60"/>
      <c r="R135" s="60"/>
      <c r="S135" s="60"/>
      <c r="T135" s="60"/>
      <c r="U135" s="60"/>
      <c r="V135" s="60"/>
      <c r="W135" s="60"/>
      <c r="X135" s="60"/>
      <c r="Y135" s="60"/>
      <c r="Z135" s="60"/>
      <c r="AA135" s="60"/>
      <c r="AB135" s="67"/>
      <c r="AC135" s="83"/>
      <c r="AD135" s="83"/>
      <c r="AE135" s="271"/>
      <c r="AF135" s="136"/>
      <c r="AG135" s="136"/>
      <c r="AH135" s="136"/>
      <c r="AI135" s="136"/>
      <c r="AJ135" s="136"/>
      <c r="AK135" s="136"/>
      <c r="AL135" s="136"/>
      <c r="AM135" s="136"/>
      <c r="AN135" s="136"/>
      <c r="AO135" s="136"/>
      <c r="AP135" s="136"/>
      <c r="AQ135" s="136"/>
      <c r="AR135" s="136"/>
      <c r="AS135" s="136"/>
      <c r="AT135" s="137"/>
      <c r="AU135" s="114"/>
    </row>
    <row r="136" spans="2:47" x14ac:dyDescent="0.2">
      <c r="B136" s="67"/>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115"/>
    </row>
    <row r="137" spans="2:47" x14ac:dyDescent="0.2">
      <c r="AE137" s="211"/>
      <c r="AF137" s="132"/>
      <c r="AG137" s="132"/>
      <c r="AH137" s="132"/>
      <c r="AI137" s="132"/>
      <c r="AJ137" s="132"/>
      <c r="AK137" s="132"/>
      <c r="AL137" s="132"/>
      <c r="AM137" s="132"/>
      <c r="AN137" s="132"/>
      <c r="AO137" s="132"/>
      <c r="AP137" s="132"/>
      <c r="AQ137" s="132"/>
      <c r="AR137" s="132"/>
      <c r="AS137" s="132"/>
      <c r="AT137" s="132"/>
    </row>
    <row r="138" spans="2:47" x14ac:dyDescent="0.2">
      <c r="AE138" s="211"/>
      <c r="AF138" s="132"/>
      <c r="AG138" s="132"/>
      <c r="AH138" s="132"/>
      <c r="AI138" s="132"/>
      <c r="AJ138" s="132"/>
      <c r="AK138" s="132"/>
      <c r="AL138" s="132"/>
      <c r="AM138" s="132"/>
      <c r="AN138" s="132"/>
      <c r="AO138" s="132"/>
      <c r="AP138" s="132"/>
      <c r="AQ138" s="132"/>
      <c r="AR138" s="132"/>
      <c r="AS138" s="132"/>
      <c r="AT138" s="132"/>
    </row>
    <row r="139" spans="2:47" x14ac:dyDescent="0.2">
      <c r="AE139" s="211"/>
      <c r="AF139" s="132"/>
      <c r="AG139" s="132"/>
      <c r="AH139" s="132"/>
      <c r="AI139" s="132"/>
      <c r="AJ139" s="132"/>
      <c r="AK139" s="132"/>
      <c r="AL139" s="132"/>
      <c r="AM139" s="132"/>
      <c r="AN139" s="132"/>
      <c r="AO139" s="132"/>
      <c r="AP139" s="132"/>
      <c r="AQ139" s="132"/>
      <c r="AR139" s="132"/>
      <c r="AS139" s="132"/>
      <c r="AT139" s="132"/>
    </row>
    <row r="140" spans="2:47" x14ac:dyDescent="0.2">
      <c r="AE140" s="211"/>
      <c r="AF140" s="132"/>
      <c r="AG140" s="132"/>
      <c r="AH140" s="132"/>
      <c r="AI140" s="132"/>
      <c r="AJ140" s="132"/>
      <c r="AK140" s="132"/>
      <c r="AL140" s="132"/>
      <c r="AM140" s="132"/>
      <c r="AN140" s="132"/>
      <c r="AO140" s="132"/>
      <c r="AP140" s="132"/>
      <c r="AQ140" s="132"/>
      <c r="AR140" s="132"/>
      <c r="AS140" s="132"/>
      <c r="AT140" s="132"/>
    </row>
    <row r="141" spans="2:47" x14ac:dyDescent="0.2">
      <c r="AE141" s="211"/>
      <c r="AF141" s="132"/>
      <c r="AG141" s="132"/>
      <c r="AH141" s="132"/>
      <c r="AI141" s="132"/>
      <c r="AJ141" s="132"/>
      <c r="AK141" s="132"/>
      <c r="AL141" s="132"/>
      <c r="AM141" s="132"/>
      <c r="AN141" s="132"/>
      <c r="AO141" s="132"/>
      <c r="AP141" s="132"/>
      <c r="AQ141" s="132"/>
      <c r="AR141" s="132"/>
      <c r="AS141" s="132"/>
      <c r="AT141" s="132"/>
    </row>
    <row r="142" spans="2:47" x14ac:dyDescent="0.2">
      <c r="AE142" s="211"/>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1"/>
      <c r="AF143" s="132"/>
      <c r="AG143" s="132"/>
      <c r="AH143" s="132"/>
      <c r="AI143" s="132"/>
      <c r="AJ143" s="132"/>
      <c r="AK143" s="132"/>
      <c r="AL143" s="132"/>
      <c r="AM143" s="132"/>
      <c r="AN143" s="132"/>
      <c r="AO143" s="132"/>
      <c r="AP143" s="132"/>
      <c r="AQ143" s="132"/>
      <c r="AR143" s="132"/>
      <c r="AS143" s="132"/>
      <c r="AT143" s="132"/>
    </row>
    <row r="144" spans="2:47" x14ac:dyDescent="0.2">
      <c r="AE144" s="211"/>
      <c r="AG144" s="132"/>
      <c r="AH144" s="132"/>
      <c r="AI144" s="132"/>
      <c r="AJ144" s="132"/>
      <c r="AK144" s="132"/>
      <c r="AL144" s="132"/>
      <c r="AM144" s="132"/>
      <c r="AN144" s="132"/>
      <c r="AO144" s="132"/>
    </row>
    <row r="145" spans="24:47" x14ac:dyDescent="0.2">
      <c r="AE145" s="211"/>
      <c r="AF145" s="132"/>
      <c r="AG145" s="132"/>
      <c r="AH145" s="132"/>
      <c r="AI145" s="132"/>
      <c r="AJ145" s="132"/>
      <c r="AK145" s="132"/>
      <c r="AL145" s="132"/>
      <c r="AM145" s="132"/>
      <c r="AN145" s="132"/>
      <c r="AO145" s="132"/>
      <c r="AP145" s="132"/>
      <c r="AQ145" s="132"/>
      <c r="AR145" s="132"/>
      <c r="AS145" s="132"/>
      <c r="AT145" s="132"/>
    </row>
    <row r="146" spans="24:47" x14ac:dyDescent="0.2">
      <c r="AE146" s="211"/>
      <c r="AF146" s="132"/>
      <c r="AG146" s="132"/>
      <c r="AH146" s="132"/>
      <c r="AI146" s="132"/>
      <c r="AJ146" s="132"/>
      <c r="AK146" s="132"/>
      <c r="AL146" s="132"/>
      <c r="AM146" s="132"/>
      <c r="AN146" s="132"/>
      <c r="AO146" s="132"/>
      <c r="AP146" s="132"/>
      <c r="AQ146" s="132"/>
      <c r="AR146" s="132"/>
      <c r="AS146" s="132"/>
      <c r="AT146" s="132"/>
      <c r="AU146" s="212"/>
    </row>
    <row r="147" spans="24:47" x14ac:dyDescent="0.2">
      <c r="AE147" s="211"/>
      <c r="AF147" s="132"/>
      <c r="AG147" s="132"/>
      <c r="AH147" s="132"/>
      <c r="AI147" s="132"/>
      <c r="AJ147" s="132"/>
      <c r="AK147" s="132"/>
      <c r="AL147" s="132"/>
      <c r="AM147" s="132"/>
      <c r="AN147" s="132"/>
      <c r="AO147" s="132"/>
      <c r="AP147" s="132"/>
      <c r="AQ147" s="132"/>
      <c r="AR147" s="132"/>
      <c r="AS147" s="132"/>
      <c r="AT147" s="132"/>
      <c r="AU147" s="212"/>
    </row>
    <row r="148" spans="24:47" x14ac:dyDescent="0.2">
      <c r="AE148" s="211"/>
      <c r="AF148" s="132"/>
      <c r="AG148" s="132"/>
      <c r="AH148" s="132"/>
      <c r="AI148" s="132"/>
      <c r="AJ148" s="132"/>
      <c r="AK148" s="132"/>
      <c r="AL148" s="132"/>
      <c r="AM148" s="132"/>
      <c r="AN148" s="132"/>
      <c r="AO148" s="132"/>
      <c r="AP148" s="132"/>
      <c r="AQ148" s="132"/>
      <c r="AR148" s="132"/>
      <c r="AS148" s="132"/>
      <c r="AT148" s="132"/>
      <c r="AU148" s="212"/>
    </row>
    <row r="149" spans="24:47" x14ac:dyDescent="0.2">
      <c r="AE149" s="211"/>
      <c r="AF149" s="132"/>
      <c r="AG149" s="132"/>
      <c r="AH149" s="132"/>
      <c r="AI149" s="132"/>
      <c r="AJ149" s="132"/>
      <c r="AK149" s="132"/>
      <c r="AL149" s="132"/>
      <c r="AM149" s="132"/>
      <c r="AN149" s="132"/>
      <c r="AO149" s="132"/>
      <c r="AP149" s="132"/>
      <c r="AQ149" s="132"/>
      <c r="AR149" s="132"/>
      <c r="AS149" s="132"/>
      <c r="AT149" s="132"/>
      <c r="AU149" s="212"/>
    </row>
    <row r="150" spans="24:47" x14ac:dyDescent="0.2">
      <c r="AE150" s="211"/>
      <c r="AF150" s="132"/>
      <c r="AG150" s="132"/>
      <c r="AH150" s="132"/>
      <c r="AI150" s="132"/>
      <c r="AJ150" s="132"/>
      <c r="AK150" s="132"/>
      <c r="AL150" s="132"/>
      <c r="AM150" s="132"/>
      <c r="AN150" s="132"/>
      <c r="AO150" s="132"/>
      <c r="AP150" s="132"/>
      <c r="AQ150" s="132"/>
      <c r="AR150" s="132"/>
      <c r="AS150" s="132"/>
      <c r="AT150" s="132"/>
      <c r="AU150" s="212"/>
    </row>
    <row r="151" spans="24:47" x14ac:dyDescent="0.2">
      <c r="AE151" s="211"/>
      <c r="AF151" s="132"/>
      <c r="AG151" s="132"/>
      <c r="AH151" s="132"/>
      <c r="AI151" s="132"/>
      <c r="AJ151" s="132"/>
      <c r="AK151" s="132"/>
      <c r="AL151" s="132"/>
      <c r="AM151" s="132"/>
      <c r="AN151" s="132"/>
      <c r="AO151" s="132"/>
      <c r="AP151" s="132"/>
      <c r="AQ151" s="132"/>
      <c r="AR151" s="132"/>
      <c r="AS151" s="132"/>
      <c r="AT151" s="132"/>
      <c r="AU151" s="212"/>
    </row>
    <row r="152" spans="24:47" x14ac:dyDescent="0.2">
      <c r="AE152" s="211"/>
      <c r="AF152" s="132"/>
      <c r="AG152" s="132"/>
      <c r="AH152" s="132"/>
      <c r="AI152" s="132"/>
      <c r="AJ152" s="132"/>
      <c r="AK152" s="132"/>
      <c r="AL152" s="132"/>
      <c r="AM152" s="132"/>
      <c r="AN152" s="132"/>
      <c r="AO152" s="132"/>
      <c r="AP152" s="132"/>
      <c r="AQ152" s="132"/>
      <c r="AR152" s="132"/>
      <c r="AS152" s="132"/>
      <c r="AT152" s="132"/>
      <c r="AU152" s="212"/>
    </row>
    <row r="153" spans="24:47" x14ac:dyDescent="0.2">
      <c r="AE153" s="211"/>
      <c r="AF153" s="132"/>
      <c r="AG153" s="132"/>
      <c r="AH153" s="132"/>
      <c r="AI153" s="132"/>
      <c r="AJ153" s="132"/>
      <c r="AK153" s="132"/>
      <c r="AL153" s="132"/>
      <c r="AM153" s="132"/>
      <c r="AN153" s="132"/>
      <c r="AO153" s="132"/>
      <c r="AP153" s="132"/>
      <c r="AQ153" s="132"/>
      <c r="AR153" s="132"/>
      <c r="AS153" s="132"/>
      <c r="AT153" s="132"/>
      <c r="AU153" s="212"/>
    </row>
    <row r="154" spans="24:47" x14ac:dyDescent="0.2">
      <c r="AE154" s="211"/>
      <c r="AF154" s="132"/>
      <c r="AG154" s="132"/>
      <c r="AH154" s="132"/>
      <c r="AI154" s="132"/>
      <c r="AJ154" s="132"/>
      <c r="AK154" s="132"/>
      <c r="AL154" s="132"/>
      <c r="AM154" s="132"/>
      <c r="AN154" s="132"/>
      <c r="AO154" s="132"/>
      <c r="AP154" s="132"/>
      <c r="AQ154" s="132"/>
      <c r="AR154" s="132"/>
      <c r="AS154" s="132"/>
      <c r="AT154" s="132"/>
      <c r="AU154" s="212"/>
    </row>
    <row r="155" spans="24:47" x14ac:dyDescent="0.2">
      <c r="AE155" s="211"/>
      <c r="AF155" s="132"/>
      <c r="AG155" s="132"/>
      <c r="AH155" s="132"/>
      <c r="AI155" s="132"/>
      <c r="AJ155" s="132"/>
      <c r="AK155" s="132"/>
      <c r="AL155" s="132"/>
      <c r="AM155" s="132"/>
      <c r="AN155" s="132"/>
      <c r="AO155" s="132"/>
      <c r="AP155" s="132"/>
      <c r="AQ155" s="132"/>
      <c r="AR155" s="132"/>
      <c r="AS155" s="132"/>
      <c r="AT155" s="132"/>
      <c r="AU155" s="212"/>
    </row>
    <row r="156" spans="24:47" x14ac:dyDescent="0.2">
      <c r="AE156" s="211"/>
      <c r="AF156" s="132"/>
      <c r="AG156" s="132"/>
      <c r="AH156" s="132"/>
      <c r="AI156" s="132"/>
      <c r="AJ156" s="132"/>
      <c r="AK156" s="132"/>
      <c r="AL156" s="132"/>
      <c r="AM156" s="132"/>
      <c r="AN156" s="132"/>
      <c r="AO156" s="132"/>
      <c r="AP156" s="132"/>
      <c r="AQ156" s="132"/>
      <c r="AR156" s="132"/>
      <c r="AS156" s="132"/>
      <c r="AT156" s="132"/>
      <c r="AU156" s="212"/>
    </row>
    <row r="157" spans="24:47" x14ac:dyDescent="0.2">
      <c r="AE157" s="211"/>
      <c r="AF157" s="132"/>
      <c r="AG157" s="132"/>
      <c r="AH157" s="132"/>
      <c r="AI157" s="132"/>
      <c r="AJ157" s="132"/>
      <c r="AK157" s="132"/>
      <c r="AL157" s="132"/>
      <c r="AM157" s="132"/>
      <c r="AN157" s="132"/>
      <c r="AO157" s="132"/>
      <c r="AP157" s="132"/>
      <c r="AQ157" s="132"/>
      <c r="AR157" s="132"/>
      <c r="AS157" s="132"/>
      <c r="AT157" s="132"/>
      <c r="AU157" s="212"/>
    </row>
    <row r="158" spans="24:47" ht="15" customHeight="1" x14ac:dyDescent="0.2">
      <c r="X158" s="132"/>
      <c r="Y158" s="132"/>
      <c r="AE158" s="211"/>
      <c r="AF158" s="212"/>
      <c r="AG158" s="212"/>
      <c r="AH158" s="212"/>
      <c r="AI158" s="212"/>
      <c r="AJ158" s="212"/>
      <c r="AK158" s="212"/>
      <c r="AL158" s="212"/>
      <c r="AM158" s="212"/>
      <c r="AN158" s="212"/>
      <c r="AO158" s="212"/>
      <c r="AP158" s="212"/>
      <c r="AQ158" s="212"/>
      <c r="AR158" s="212"/>
      <c r="AS158" s="212"/>
      <c r="AT158" s="212"/>
      <c r="AU158" s="212"/>
    </row>
    <row r="159" spans="24:47" x14ac:dyDescent="0.2">
      <c r="AE159" s="211"/>
      <c r="AF159" s="132"/>
      <c r="AG159" s="132"/>
      <c r="AH159" s="132"/>
      <c r="AI159" s="132"/>
      <c r="AJ159" s="132"/>
      <c r="AK159" s="132"/>
      <c r="AL159" s="132"/>
      <c r="AM159" s="132"/>
      <c r="AN159" s="132"/>
      <c r="AO159" s="132"/>
      <c r="AP159" s="132"/>
      <c r="AQ159" s="132"/>
      <c r="AR159" s="132"/>
      <c r="AS159" s="132"/>
      <c r="AT159" s="132"/>
      <c r="AU159" s="212"/>
    </row>
    <row r="160" spans="24:47" x14ac:dyDescent="0.2">
      <c r="AE160" s="211"/>
      <c r="AF160" s="132"/>
      <c r="AG160" s="132"/>
      <c r="AH160" s="132"/>
      <c r="AI160" s="132"/>
      <c r="AJ160" s="132"/>
      <c r="AK160" s="132"/>
      <c r="AL160" s="132"/>
      <c r="AM160" s="132"/>
      <c r="AN160" s="132"/>
      <c r="AO160" s="132"/>
      <c r="AP160" s="132"/>
      <c r="AQ160" s="132"/>
      <c r="AR160" s="132"/>
      <c r="AS160" s="132"/>
      <c r="AT160" s="132"/>
      <c r="AU160" s="212"/>
    </row>
    <row r="161" spans="24:47" x14ac:dyDescent="0.2">
      <c r="AE161" s="211"/>
      <c r="AF161" s="132"/>
      <c r="AG161" s="132"/>
      <c r="AH161" s="132"/>
      <c r="AI161" s="132"/>
      <c r="AJ161" s="132"/>
      <c r="AK161" s="132"/>
      <c r="AL161" s="132"/>
      <c r="AM161" s="132"/>
      <c r="AN161" s="132"/>
      <c r="AO161" s="132"/>
      <c r="AP161" s="132"/>
      <c r="AQ161" s="132"/>
      <c r="AR161" s="132"/>
      <c r="AS161" s="132"/>
      <c r="AT161" s="132"/>
      <c r="AU161" s="212"/>
    </row>
    <row r="162" spans="24:47" x14ac:dyDescent="0.2">
      <c r="AE162" s="211"/>
      <c r="AF162" s="132"/>
      <c r="AG162" s="132"/>
      <c r="AH162" s="132"/>
      <c r="AI162" s="132"/>
      <c r="AJ162" s="132"/>
      <c r="AK162" s="132"/>
      <c r="AL162" s="132"/>
      <c r="AM162" s="132"/>
      <c r="AN162" s="132"/>
      <c r="AO162" s="132"/>
      <c r="AP162" s="132"/>
      <c r="AQ162" s="132"/>
      <c r="AR162" s="132"/>
      <c r="AS162" s="132"/>
      <c r="AT162" s="132"/>
      <c r="AU162" s="212"/>
    </row>
    <row r="163" spans="24:47" x14ac:dyDescent="0.2">
      <c r="AE163" s="211"/>
      <c r="AF163" s="132"/>
      <c r="AG163" s="132"/>
      <c r="AH163" s="132"/>
      <c r="AI163" s="132"/>
      <c r="AJ163" s="132"/>
      <c r="AK163" s="132"/>
      <c r="AL163" s="132"/>
      <c r="AM163" s="132"/>
      <c r="AN163" s="132"/>
      <c r="AO163" s="132"/>
      <c r="AP163" s="132"/>
      <c r="AQ163" s="132"/>
      <c r="AR163" s="132"/>
      <c r="AS163" s="132"/>
      <c r="AT163" s="132"/>
      <c r="AU163" s="212"/>
    </row>
    <row r="164" spans="24:47" x14ac:dyDescent="0.2">
      <c r="AE164" s="211"/>
      <c r="AF164" s="132"/>
      <c r="AG164" s="132"/>
      <c r="AH164" s="132"/>
      <c r="AI164" s="132"/>
      <c r="AJ164" s="132"/>
      <c r="AK164" s="132"/>
      <c r="AL164" s="132"/>
      <c r="AM164" s="132"/>
      <c r="AN164" s="132"/>
      <c r="AO164" s="132"/>
      <c r="AP164" s="132"/>
      <c r="AQ164" s="132"/>
      <c r="AR164" s="132"/>
      <c r="AS164" s="132"/>
      <c r="AT164" s="132"/>
      <c r="AU164" s="212"/>
    </row>
    <row r="165" spans="24:47" x14ac:dyDescent="0.2">
      <c r="AE165" s="211"/>
      <c r="AF165" s="132"/>
      <c r="AG165" s="132"/>
      <c r="AH165" s="132"/>
      <c r="AI165" s="132"/>
      <c r="AJ165" s="132"/>
      <c r="AK165" s="132"/>
      <c r="AL165" s="132"/>
      <c r="AM165" s="132"/>
      <c r="AN165" s="132"/>
      <c r="AO165" s="132"/>
      <c r="AP165" s="132"/>
      <c r="AQ165" s="132"/>
      <c r="AR165" s="132"/>
      <c r="AS165" s="132"/>
      <c r="AT165" s="132"/>
      <c r="AU165" s="212"/>
    </row>
    <row r="166" spans="24:47" x14ac:dyDescent="0.2">
      <c r="AE166" s="211"/>
      <c r="AF166" s="132"/>
      <c r="AG166" s="132"/>
      <c r="AH166" s="132"/>
      <c r="AI166" s="132"/>
      <c r="AJ166" s="132"/>
      <c r="AK166" s="132"/>
      <c r="AL166" s="132"/>
      <c r="AM166" s="132"/>
      <c r="AN166" s="132"/>
      <c r="AO166" s="132"/>
      <c r="AP166" s="132"/>
      <c r="AQ166" s="132"/>
      <c r="AR166" s="132"/>
      <c r="AS166" s="132"/>
      <c r="AT166" s="132"/>
    </row>
    <row r="167" spans="24:47" x14ac:dyDescent="0.2">
      <c r="AE167" s="211"/>
      <c r="AF167" s="132"/>
      <c r="AG167" s="132"/>
      <c r="AH167" s="132"/>
      <c r="AI167" s="132"/>
      <c r="AJ167" s="132"/>
      <c r="AK167" s="132"/>
      <c r="AL167" s="132"/>
      <c r="AM167" s="132"/>
      <c r="AN167" s="132"/>
      <c r="AO167" s="132"/>
      <c r="AP167" s="132"/>
      <c r="AQ167" s="132"/>
      <c r="AR167" s="132"/>
      <c r="AS167" s="132"/>
      <c r="AT167" s="132"/>
    </row>
    <row r="168" spans="24:47" x14ac:dyDescent="0.2">
      <c r="AE168" s="211"/>
      <c r="AF168" s="132"/>
      <c r="AG168" s="132"/>
      <c r="AH168" s="132"/>
      <c r="AI168" s="132"/>
      <c r="AJ168" s="132"/>
      <c r="AK168" s="132"/>
      <c r="AL168" s="132"/>
      <c r="AM168" s="132"/>
      <c r="AN168" s="132"/>
      <c r="AO168" s="132"/>
      <c r="AP168" s="132"/>
      <c r="AQ168" s="132"/>
      <c r="AR168" s="132"/>
      <c r="AS168" s="132"/>
      <c r="AT168" s="132"/>
    </row>
    <row r="169" spans="24:47" x14ac:dyDescent="0.2">
      <c r="AE169" s="211"/>
      <c r="AF169" s="132"/>
      <c r="AG169" s="132"/>
      <c r="AH169" s="132"/>
      <c r="AI169" s="132"/>
      <c r="AJ169" s="132"/>
      <c r="AK169" s="132"/>
      <c r="AL169" s="132"/>
      <c r="AM169" s="132"/>
      <c r="AN169" s="132"/>
      <c r="AO169" s="132"/>
      <c r="AP169" s="132"/>
      <c r="AQ169" s="132"/>
      <c r="AR169" s="132"/>
      <c r="AS169" s="132"/>
      <c r="AT169" s="132"/>
    </row>
    <row r="170" spans="24:47" x14ac:dyDescent="0.2">
      <c r="AE170" s="211"/>
      <c r="AF170" s="132"/>
      <c r="AG170" s="132"/>
      <c r="AH170" s="132"/>
      <c r="AI170" s="132"/>
      <c r="AJ170" s="132"/>
      <c r="AK170" s="132"/>
      <c r="AL170" s="132"/>
      <c r="AM170" s="132"/>
      <c r="AN170" s="132"/>
      <c r="AO170" s="132"/>
      <c r="AP170" s="132"/>
      <c r="AQ170" s="132"/>
      <c r="AR170" s="132"/>
      <c r="AS170" s="132"/>
      <c r="AT170" s="132"/>
    </row>
    <row r="171" spans="24:47" x14ac:dyDescent="0.2">
      <c r="AE171" s="211"/>
      <c r="AF171" s="132"/>
      <c r="AG171" s="132"/>
      <c r="AH171" s="132"/>
      <c r="AI171" s="132"/>
      <c r="AJ171" s="132"/>
      <c r="AK171" s="132"/>
      <c r="AL171" s="132"/>
      <c r="AM171" s="132"/>
      <c r="AN171" s="132"/>
      <c r="AO171" s="132"/>
      <c r="AP171" s="132"/>
      <c r="AQ171" s="132"/>
      <c r="AR171" s="132"/>
      <c r="AS171" s="132"/>
      <c r="AT171" s="132"/>
    </row>
    <row r="172" spans="24:47" x14ac:dyDescent="0.2">
      <c r="AE172" s="211"/>
      <c r="AG172" s="132"/>
      <c r="AH172" s="132"/>
      <c r="AI172" s="132"/>
      <c r="AJ172" s="132"/>
      <c r="AK172" s="132"/>
      <c r="AL172" s="132"/>
      <c r="AM172" s="132"/>
      <c r="AN172" s="132"/>
    </row>
    <row r="173" spans="24:47" ht="15" customHeight="1" x14ac:dyDescent="0.2">
      <c r="X173" s="132"/>
      <c r="Y173" s="132"/>
      <c r="AE173" s="211"/>
      <c r="AF173" s="132"/>
      <c r="AG173" s="132"/>
      <c r="AH173" s="132"/>
      <c r="AI173" s="132"/>
      <c r="AJ173" s="132"/>
      <c r="AK173" s="132"/>
      <c r="AL173" s="132"/>
      <c r="AM173" s="132"/>
      <c r="AN173" s="132"/>
      <c r="AO173" s="132"/>
      <c r="AP173" s="132"/>
      <c r="AQ173" s="132"/>
      <c r="AR173" s="132"/>
      <c r="AS173" s="132"/>
      <c r="AT173" s="132"/>
    </row>
    <row r="174" spans="24:47" x14ac:dyDescent="0.2">
      <c r="AE174" s="211"/>
      <c r="AF174" s="132"/>
      <c r="AG174" s="132"/>
      <c r="AH174" s="132"/>
      <c r="AI174" s="132"/>
      <c r="AJ174" s="132"/>
      <c r="AK174" s="132"/>
      <c r="AL174" s="132"/>
      <c r="AM174" s="132"/>
      <c r="AN174" s="132"/>
      <c r="AO174" s="132"/>
      <c r="AP174" s="132"/>
      <c r="AQ174" s="132"/>
      <c r="AR174" s="132"/>
      <c r="AS174" s="132"/>
      <c r="AT174" s="132"/>
    </row>
    <row r="175" spans="24:47" x14ac:dyDescent="0.2">
      <c r="AE175" s="211"/>
      <c r="AF175" s="132"/>
      <c r="AG175" s="132"/>
      <c r="AH175" s="132"/>
      <c r="AI175" s="132"/>
      <c r="AJ175" s="132"/>
      <c r="AK175" s="132"/>
      <c r="AL175" s="132"/>
      <c r="AM175" s="132"/>
      <c r="AN175" s="132"/>
      <c r="AO175" s="132"/>
      <c r="AP175" s="132"/>
      <c r="AQ175" s="132"/>
      <c r="AR175" s="132"/>
      <c r="AS175" s="132"/>
      <c r="AT175" s="132"/>
    </row>
    <row r="176" spans="24:47" x14ac:dyDescent="0.2">
      <c r="AE176" s="211"/>
      <c r="AF176" s="132"/>
      <c r="AG176" s="132"/>
      <c r="AH176" s="132"/>
      <c r="AI176" s="132"/>
      <c r="AJ176" s="132"/>
      <c r="AK176" s="132"/>
      <c r="AL176" s="132"/>
      <c r="AM176" s="132"/>
      <c r="AN176" s="132"/>
      <c r="AO176" s="132"/>
      <c r="AP176" s="132"/>
      <c r="AQ176" s="132"/>
      <c r="AR176" s="132"/>
      <c r="AS176" s="132"/>
      <c r="AT176" s="132"/>
    </row>
    <row r="177" spans="31:46" x14ac:dyDescent="0.2">
      <c r="AE177" s="211"/>
      <c r="AF177" s="132"/>
      <c r="AG177" s="132"/>
      <c r="AH177" s="132"/>
      <c r="AI177" s="132"/>
      <c r="AJ177" s="132"/>
      <c r="AK177" s="132"/>
      <c r="AL177" s="132"/>
      <c r="AM177" s="132"/>
      <c r="AN177" s="132"/>
      <c r="AO177" s="132"/>
      <c r="AP177" s="132"/>
      <c r="AQ177" s="132"/>
      <c r="AR177" s="132"/>
      <c r="AS177" s="132"/>
      <c r="AT177" s="132"/>
    </row>
    <row r="178" spans="31:46" x14ac:dyDescent="0.2">
      <c r="AE178" s="211"/>
      <c r="AF178" s="132"/>
      <c r="AG178" s="132"/>
      <c r="AH178" s="132"/>
      <c r="AI178" s="132"/>
      <c r="AJ178" s="132"/>
      <c r="AK178" s="132"/>
      <c r="AL178" s="132"/>
      <c r="AM178" s="132"/>
      <c r="AN178" s="132"/>
      <c r="AO178" s="132"/>
      <c r="AP178" s="132"/>
      <c r="AQ178" s="132"/>
      <c r="AR178" s="132"/>
      <c r="AS178" s="132"/>
      <c r="AT178" s="132"/>
    </row>
    <row r="179" spans="31:46" x14ac:dyDescent="0.2">
      <c r="AE179" s="211"/>
      <c r="AF179" s="132"/>
      <c r="AG179" s="132"/>
      <c r="AH179" s="132"/>
      <c r="AI179" s="132"/>
      <c r="AJ179" s="132"/>
      <c r="AK179" s="132"/>
      <c r="AL179" s="132"/>
      <c r="AM179" s="132"/>
      <c r="AN179" s="132"/>
      <c r="AO179" s="132"/>
      <c r="AP179" s="132"/>
      <c r="AQ179" s="132"/>
      <c r="AR179" s="132"/>
      <c r="AS179" s="132"/>
      <c r="AT179" s="132"/>
    </row>
    <row r="180" spans="31:46" x14ac:dyDescent="0.2">
      <c r="AE180" s="211"/>
      <c r="AF180" s="132"/>
      <c r="AG180" s="132"/>
      <c r="AH180" s="132"/>
      <c r="AI180" s="132"/>
      <c r="AJ180" s="132"/>
      <c r="AK180" s="132"/>
      <c r="AL180" s="132"/>
      <c r="AM180" s="132"/>
      <c r="AN180" s="132"/>
      <c r="AO180" s="132"/>
      <c r="AP180" s="132"/>
      <c r="AQ180" s="132"/>
      <c r="AR180" s="132"/>
      <c r="AS180" s="132"/>
      <c r="AT180" s="132"/>
    </row>
    <row r="181" spans="31:46" x14ac:dyDescent="0.2">
      <c r="AE181" s="211"/>
      <c r="AF181" s="132"/>
      <c r="AG181" s="132"/>
      <c r="AH181" s="132"/>
      <c r="AI181" s="132"/>
      <c r="AJ181" s="132"/>
      <c r="AK181" s="132"/>
      <c r="AL181" s="132"/>
      <c r="AM181" s="132"/>
      <c r="AN181" s="132"/>
      <c r="AO181" s="132"/>
      <c r="AP181" s="132"/>
      <c r="AQ181" s="132"/>
      <c r="AR181" s="132"/>
      <c r="AS181" s="132"/>
      <c r="AT181" s="132"/>
    </row>
    <row r="182" spans="31:46" x14ac:dyDescent="0.2">
      <c r="AE182" s="211"/>
      <c r="AF182" s="132"/>
      <c r="AG182" s="132"/>
      <c r="AH182" s="132"/>
      <c r="AI182" s="132"/>
      <c r="AJ182" s="132"/>
      <c r="AK182" s="132"/>
      <c r="AL182" s="132"/>
      <c r="AM182" s="132"/>
      <c r="AN182" s="132"/>
      <c r="AO182" s="132"/>
      <c r="AP182" s="132"/>
      <c r="AQ182" s="132"/>
      <c r="AR182" s="132"/>
      <c r="AS182" s="132"/>
      <c r="AT182" s="132"/>
    </row>
    <row r="183" spans="31:46" x14ac:dyDescent="0.2">
      <c r="AE183" s="211"/>
      <c r="AF183" s="132"/>
      <c r="AG183" s="132"/>
      <c r="AH183" s="132"/>
      <c r="AI183" s="132"/>
      <c r="AJ183" s="132"/>
      <c r="AK183" s="132"/>
      <c r="AL183" s="132"/>
      <c r="AM183" s="132"/>
      <c r="AN183" s="132"/>
      <c r="AO183" s="132"/>
      <c r="AP183" s="132"/>
      <c r="AQ183" s="132"/>
      <c r="AR183" s="132"/>
      <c r="AS183" s="132"/>
      <c r="AT183" s="132"/>
    </row>
    <row r="184" spans="31:46" x14ac:dyDescent="0.2">
      <c r="AE184" s="211"/>
      <c r="AF184" s="132"/>
      <c r="AG184" s="132"/>
      <c r="AH184" s="132"/>
      <c r="AI184" s="132"/>
      <c r="AJ184" s="132"/>
      <c r="AK184" s="132"/>
      <c r="AL184" s="132"/>
      <c r="AM184" s="132"/>
      <c r="AN184" s="132"/>
      <c r="AO184" s="132"/>
      <c r="AP184" s="132"/>
      <c r="AQ184" s="132"/>
      <c r="AR184" s="132"/>
      <c r="AS184" s="132"/>
      <c r="AT184" s="132"/>
    </row>
    <row r="185" spans="31:46" x14ac:dyDescent="0.2">
      <c r="AE185" s="211"/>
      <c r="AF185" s="132"/>
      <c r="AG185" s="132"/>
      <c r="AH185" s="132"/>
      <c r="AI185" s="132"/>
      <c r="AJ185" s="132"/>
      <c r="AK185" s="132"/>
      <c r="AL185" s="132"/>
      <c r="AM185" s="132"/>
      <c r="AN185" s="132"/>
      <c r="AO185" s="132"/>
      <c r="AP185" s="132"/>
      <c r="AQ185" s="132"/>
      <c r="AR185" s="132"/>
      <c r="AS185" s="132"/>
      <c r="AT185" s="132"/>
    </row>
    <row r="186" spans="31:46" x14ac:dyDescent="0.2">
      <c r="AE186" s="211"/>
      <c r="AG186" s="132"/>
      <c r="AH186" s="132"/>
      <c r="AI186" s="132"/>
      <c r="AJ186" s="132"/>
      <c r="AK186" s="132"/>
      <c r="AL186" s="132"/>
      <c r="AM186" s="132"/>
      <c r="AN186" s="132"/>
    </row>
    <row r="187" spans="31:46" x14ac:dyDescent="0.2">
      <c r="AE187" s="211"/>
      <c r="AF187" s="132"/>
      <c r="AG187" s="132"/>
      <c r="AH187" s="132"/>
      <c r="AI187" s="132"/>
      <c r="AJ187" s="132"/>
      <c r="AK187" s="132"/>
      <c r="AL187" s="132"/>
      <c r="AM187" s="132"/>
      <c r="AN187" s="132"/>
      <c r="AO187" s="132"/>
      <c r="AP187" s="132"/>
      <c r="AQ187" s="132"/>
      <c r="AR187" s="132"/>
      <c r="AS187" s="132"/>
      <c r="AT187" s="132"/>
    </row>
    <row r="188" spans="31:46" x14ac:dyDescent="0.2">
      <c r="AE188" s="211"/>
      <c r="AF188" s="132"/>
      <c r="AG188" s="132"/>
      <c r="AH188" s="132"/>
      <c r="AI188" s="132"/>
      <c r="AJ188" s="132"/>
      <c r="AK188" s="132"/>
      <c r="AL188" s="132"/>
      <c r="AM188" s="132"/>
      <c r="AN188" s="132"/>
      <c r="AO188" s="132"/>
      <c r="AP188" s="132"/>
      <c r="AQ188" s="132"/>
      <c r="AR188" s="132"/>
      <c r="AS188" s="132"/>
      <c r="AT188" s="132"/>
    </row>
    <row r="189" spans="31:46" x14ac:dyDescent="0.2">
      <c r="AE189" s="211"/>
      <c r="AF189" s="132"/>
      <c r="AG189" s="132"/>
      <c r="AH189" s="132"/>
      <c r="AI189" s="132"/>
      <c r="AJ189" s="132"/>
      <c r="AK189" s="132"/>
      <c r="AL189" s="132"/>
      <c r="AM189" s="132"/>
      <c r="AN189" s="132"/>
      <c r="AO189" s="132"/>
      <c r="AP189" s="132"/>
      <c r="AQ189" s="132"/>
      <c r="AR189" s="132"/>
      <c r="AS189" s="132"/>
      <c r="AT189" s="132"/>
    </row>
    <row r="190" spans="31:46" x14ac:dyDescent="0.2">
      <c r="AE190" s="211"/>
      <c r="AF190" s="132"/>
      <c r="AG190" s="132"/>
      <c r="AH190" s="132"/>
      <c r="AI190" s="132"/>
      <c r="AJ190" s="132"/>
      <c r="AK190" s="132"/>
      <c r="AL190" s="132"/>
      <c r="AM190" s="132"/>
      <c r="AN190" s="132"/>
      <c r="AO190" s="132"/>
      <c r="AP190" s="132"/>
      <c r="AQ190" s="132"/>
      <c r="AR190" s="132"/>
      <c r="AS190" s="132"/>
      <c r="AT190" s="132"/>
    </row>
    <row r="191" spans="31:46" x14ac:dyDescent="0.2">
      <c r="AE191" s="211"/>
      <c r="AF191" s="132"/>
      <c r="AG191" s="132"/>
      <c r="AH191" s="132"/>
      <c r="AI191" s="132"/>
      <c r="AJ191" s="132"/>
      <c r="AK191" s="132"/>
      <c r="AL191" s="132"/>
      <c r="AM191" s="132"/>
      <c r="AN191" s="132"/>
      <c r="AO191" s="132"/>
      <c r="AP191" s="132"/>
      <c r="AQ191" s="132"/>
      <c r="AR191" s="132"/>
      <c r="AS191" s="132"/>
      <c r="AT191" s="132"/>
    </row>
    <row r="192" spans="31:46" x14ac:dyDescent="0.2">
      <c r="AE192" s="211"/>
      <c r="AF192" s="132"/>
      <c r="AG192" s="132"/>
      <c r="AH192" s="132"/>
      <c r="AI192" s="132"/>
      <c r="AJ192" s="132"/>
      <c r="AK192" s="132"/>
      <c r="AL192" s="132"/>
      <c r="AM192" s="132"/>
      <c r="AN192" s="132"/>
      <c r="AO192" s="132"/>
      <c r="AP192" s="132"/>
      <c r="AQ192" s="132"/>
      <c r="AR192" s="132"/>
      <c r="AS192" s="132"/>
      <c r="AT192" s="132"/>
    </row>
    <row r="193" spans="31:46" x14ac:dyDescent="0.2">
      <c r="AE193" s="211"/>
      <c r="AF193" s="132"/>
      <c r="AG193" s="132"/>
      <c r="AH193" s="132"/>
      <c r="AI193" s="132"/>
      <c r="AJ193" s="132"/>
      <c r="AK193" s="132"/>
      <c r="AL193" s="132"/>
      <c r="AM193" s="132"/>
      <c r="AN193" s="132"/>
      <c r="AO193" s="132"/>
      <c r="AP193" s="132"/>
      <c r="AQ193" s="132"/>
      <c r="AR193" s="132"/>
      <c r="AS193" s="132"/>
      <c r="AT193" s="132"/>
    </row>
    <row r="194" spans="31:46" x14ac:dyDescent="0.2">
      <c r="AE194" s="211"/>
      <c r="AF194" s="132"/>
      <c r="AG194" s="132"/>
      <c r="AH194" s="132"/>
      <c r="AI194" s="132"/>
      <c r="AJ194" s="132"/>
      <c r="AK194" s="132"/>
      <c r="AL194" s="132"/>
      <c r="AM194" s="132"/>
      <c r="AN194" s="132"/>
      <c r="AO194" s="132"/>
      <c r="AP194" s="132"/>
      <c r="AQ194" s="132"/>
      <c r="AR194" s="132"/>
      <c r="AS194" s="132"/>
      <c r="AT194" s="132"/>
    </row>
    <row r="195" spans="31:46" x14ac:dyDescent="0.2">
      <c r="AE195" s="211"/>
      <c r="AF195" s="132"/>
      <c r="AG195" s="132"/>
      <c r="AH195" s="132"/>
      <c r="AI195" s="132"/>
      <c r="AJ195" s="132"/>
      <c r="AK195" s="132"/>
      <c r="AL195" s="132"/>
      <c r="AM195" s="132"/>
      <c r="AN195" s="132"/>
      <c r="AO195" s="132"/>
      <c r="AP195" s="132"/>
      <c r="AQ195" s="132"/>
      <c r="AR195" s="132"/>
      <c r="AS195" s="132"/>
      <c r="AT195" s="132"/>
    </row>
    <row r="196" spans="31:46" x14ac:dyDescent="0.2">
      <c r="AE196" s="211"/>
      <c r="AF196" s="132"/>
      <c r="AG196" s="132"/>
      <c r="AH196" s="132"/>
      <c r="AI196" s="132"/>
      <c r="AJ196" s="132"/>
      <c r="AK196" s="132"/>
      <c r="AL196" s="132"/>
      <c r="AM196" s="132"/>
      <c r="AN196" s="132"/>
      <c r="AO196" s="132"/>
      <c r="AP196" s="132"/>
      <c r="AQ196" s="132"/>
      <c r="AR196" s="132"/>
      <c r="AS196" s="132"/>
      <c r="AT196" s="132"/>
    </row>
    <row r="197" spans="31:46" x14ac:dyDescent="0.2">
      <c r="AE197" s="211"/>
      <c r="AF197" s="132"/>
      <c r="AG197" s="132"/>
      <c r="AH197" s="132"/>
      <c r="AI197" s="132"/>
      <c r="AJ197" s="132"/>
      <c r="AK197" s="132"/>
      <c r="AL197" s="132"/>
      <c r="AM197" s="132"/>
      <c r="AN197" s="132"/>
      <c r="AO197" s="132"/>
      <c r="AP197" s="132"/>
      <c r="AQ197" s="132"/>
      <c r="AR197" s="132"/>
      <c r="AS197" s="132"/>
      <c r="AT197" s="132"/>
    </row>
    <row r="198" spans="31:46" x14ac:dyDescent="0.2">
      <c r="AE198" s="211"/>
      <c r="AF198" s="132"/>
      <c r="AG198" s="132"/>
      <c r="AH198" s="132"/>
      <c r="AI198" s="132"/>
      <c r="AJ198" s="132"/>
      <c r="AK198" s="132"/>
      <c r="AL198" s="132"/>
      <c r="AM198" s="132"/>
      <c r="AN198" s="132"/>
      <c r="AO198" s="132"/>
      <c r="AP198" s="132"/>
      <c r="AQ198" s="132"/>
      <c r="AR198" s="132"/>
      <c r="AS198" s="132"/>
      <c r="AT198" s="132"/>
    </row>
    <row r="199" spans="31:46" x14ac:dyDescent="0.2">
      <c r="AE199" s="211"/>
      <c r="AF199" s="132"/>
      <c r="AG199" s="132"/>
      <c r="AH199" s="132"/>
      <c r="AI199" s="132"/>
      <c r="AJ199" s="132"/>
      <c r="AK199" s="132"/>
      <c r="AL199" s="132"/>
      <c r="AM199" s="132"/>
      <c r="AN199" s="132"/>
      <c r="AO199" s="132"/>
      <c r="AP199" s="132"/>
      <c r="AQ199" s="132"/>
      <c r="AR199" s="132"/>
      <c r="AS199" s="132"/>
      <c r="AT199" s="132"/>
    </row>
    <row r="200" spans="31:46" x14ac:dyDescent="0.2">
      <c r="AE200" s="211"/>
    </row>
    <row r="201" spans="31:46" x14ac:dyDescent="0.2">
      <c r="AE201" s="211"/>
      <c r="AF201" s="132"/>
      <c r="AG201" s="132"/>
      <c r="AH201" s="132"/>
      <c r="AI201" s="132"/>
      <c r="AJ201" s="132"/>
      <c r="AK201" s="132"/>
      <c r="AL201" s="132"/>
      <c r="AM201" s="132"/>
      <c r="AN201" s="132"/>
      <c r="AO201" s="132"/>
      <c r="AP201" s="132"/>
      <c r="AQ201" s="132"/>
      <c r="AR201" s="132"/>
      <c r="AS201" s="132"/>
      <c r="AT201" s="132"/>
    </row>
    <row r="202" spans="31:46" x14ac:dyDescent="0.2">
      <c r="AE202" s="211"/>
      <c r="AF202" s="132"/>
      <c r="AG202" s="132"/>
      <c r="AH202" s="132"/>
      <c r="AI202" s="132"/>
      <c r="AJ202" s="132"/>
      <c r="AK202" s="132"/>
      <c r="AL202" s="132"/>
      <c r="AM202" s="132"/>
      <c r="AN202" s="132"/>
      <c r="AO202" s="132"/>
      <c r="AP202" s="132"/>
      <c r="AQ202" s="132"/>
      <c r="AR202" s="132"/>
      <c r="AS202" s="132"/>
      <c r="AT202" s="132"/>
    </row>
    <row r="203" spans="31:46" x14ac:dyDescent="0.2">
      <c r="AE203" s="211"/>
      <c r="AF203" s="132"/>
      <c r="AG203" s="132"/>
      <c r="AH203" s="132"/>
      <c r="AI203" s="132"/>
      <c r="AJ203" s="132"/>
      <c r="AK203" s="132"/>
      <c r="AL203" s="132"/>
      <c r="AM203" s="132"/>
      <c r="AN203" s="132"/>
      <c r="AO203" s="132"/>
      <c r="AP203" s="132"/>
      <c r="AQ203" s="132"/>
      <c r="AR203" s="132"/>
      <c r="AS203" s="132"/>
      <c r="AT203" s="132"/>
    </row>
    <row r="204" spans="31:46" x14ac:dyDescent="0.2">
      <c r="AE204" s="211"/>
      <c r="AF204" s="132"/>
      <c r="AG204" s="132"/>
      <c r="AH204" s="132"/>
      <c r="AI204" s="132"/>
      <c r="AJ204" s="132"/>
      <c r="AK204" s="132"/>
      <c r="AL204" s="132"/>
      <c r="AM204" s="132"/>
      <c r="AN204" s="132"/>
      <c r="AO204" s="132"/>
      <c r="AP204" s="132"/>
      <c r="AQ204" s="132"/>
      <c r="AR204" s="132"/>
      <c r="AS204" s="132"/>
      <c r="AT204" s="132"/>
    </row>
    <row r="205" spans="31:46" x14ac:dyDescent="0.2">
      <c r="AE205" s="211"/>
      <c r="AF205" s="132"/>
      <c r="AG205" s="132"/>
      <c r="AH205" s="132"/>
      <c r="AI205" s="132"/>
      <c r="AJ205" s="132"/>
      <c r="AK205" s="132"/>
      <c r="AL205" s="132"/>
      <c r="AM205" s="132"/>
      <c r="AN205" s="132"/>
      <c r="AO205" s="132"/>
      <c r="AP205" s="132"/>
      <c r="AQ205" s="132"/>
      <c r="AR205" s="132"/>
      <c r="AS205" s="132"/>
      <c r="AT205" s="132"/>
    </row>
    <row r="206" spans="31:46" x14ac:dyDescent="0.2">
      <c r="AE206" s="211"/>
      <c r="AF206" s="132"/>
      <c r="AG206" s="132"/>
      <c r="AH206" s="132"/>
      <c r="AI206" s="132"/>
      <c r="AJ206" s="132"/>
      <c r="AK206" s="132"/>
      <c r="AL206" s="132"/>
      <c r="AM206" s="132"/>
      <c r="AN206" s="132"/>
      <c r="AO206" s="132"/>
      <c r="AP206" s="132"/>
      <c r="AQ206" s="132"/>
      <c r="AR206" s="132"/>
      <c r="AS206" s="132"/>
      <c r="AT206" s="132"/>
    </row>
    <row r="207" spans="31:46" x14ac:dyDescent="0.2">
      <c r="AE207" s="211"/>
      <c r="AF207" s="132"/>
      <c r="AG207" s="132"/>
      <c r="AH207" s="132"/>
      <c r="AI207" s="132"/>
      <c r="AJ207" s="132"/>
      <c r="AK207" s="132"/>
      <c r="AL207" s="132"/>
      <c r="AM207" s="132"/>
      <c r="AN207" s="132"/>
      <c r="AO207" s="132"/>
      <c r="AP207" s="132"/>
      <c r="AQ207" s="132"/>
      <c r="AR207" s="132"/>
      <c r="AS207" s="132"/>
      <c r="AT207" s="132"/>
    </row>
    <row r="208" spans="31:46" x14ac:dyDescent="0.2">
      <c r="AE208" s="211"/>
      <c r="AF208" s="132"/>
      <c r="AG208" s="132"/>
      <c r="AH208" s="132"/>
      <c r="AI208" s="132"/>
      <c r="AJ208" s="132"/>
      <c r="AK208" s="132"/>
      <c r="AL208" s="132"/>
      <c r="AM208" s="132"/>
      <c r="AN208" s="132"/>
      <c r="AO208" s="132"/>
      <c r="AP208" s="132"/>
      <c r="AQ208" s="132"/>
      <c r="AR208" s="132"/>
      <c r="AS208" s="132"/>
      <c r="AT208" s="132"/>
    </row>
    <row r="209" spans="31:46" x14ac:dyDescent="0.2">
      <c r="AE209" s="211"/>
      <c r="AF209" s="132"/>
      <c r="AG209" s="132"/>
      <c r="AH209" s="132"/>
      <c r="AI209" s="132"/>
      <c r="AJ209" s="132"/>
      <c r="AK209" s="132"/>
      <c r="AL209" s="132"/>
      <c r="AM209" s="132"/>
      <c r="AN209" s="132"/>
      <c r="AO209" s="132"/>
      <c r="AP209" s="132"/>
      <c r="AQ209" s="132"/>
      <c r="AR209" s="132"/>
      <c r="AS209" s="132"/>
      <c r="AT209" s="132"/>
    </row>
    <row r="210" spans="31:46" x14ac:dyDescent="0.2">
      <c r="AE210" s="211"/>
      <c r="AF210" s="132"/>
      <c r="AG210" s="132"/>
      <c r="AH210" s="132"/>
      <c r="AI210" s="132"/>
      <c r="AJ210" s="132"/>
      <c r="AK210" s="132"/>
      <c r="AL210" s="132"/>
      <c r="AM210" s="132"/>
      <c r="AN210" s="132"/>
      <c r="AO210" s="132"/>
      <c r="AP210" s="132"/>
      <c r="AQ210" s="132"/>
      <c r="AR210" s="132"/>
      <c r="AS210" s="132"/>
      <c r="AT210" s="132"/>
    </row>
    <row r="211" spans="31:46" x14ac:dyDescent="0.2">
      <c r="AE211" s="211"/>
      <c r="AF211" s="132"/>
      <c r="AG211" s="132"/>
      <c r="AH211" s="132"/>
      <c r="AI211" s="132"/>
      <c r="AJ211" s="132"/>
      <c r="AK211" s="132"/>
      <c r="AL211" s="132"/>
      <c r="AM211" s="132"/>
      <c r="AN211" s="132"/>
      <c r="AO211" s="132"/>
      <c r="AP211" s="132"/>
      <c r="AQ211" s="132"/>
      <c r="AR211" s="132"/>
      <c r="AS211" s="132"/>
      <c r="AT211" s="132"/>
    </row>
    <row r="212" spans="31:46" x14ac:dyDescent="0.2">
      <c r="AE212" s="211"/>
      <c r="AF212" s="132"/>
      <c r="AG212" s="132"/>
      <c r="AH212" s="132"/>
      <c r="AI212" s="132"/>
      <c r="AJ212" s="132"/>
      <c r="AK212" s="132"/>
      <c r="AL212" s="132"/>
      <c r="AM212" s="132"/>
      <c r="AN212" s="132"/>
      <c r="AO212" s="132"/>
      <c r="AP212" s="132"/>
      <c r="AQ212" s="132"/>
      <c r="AR212" s="132"/>
      <c r="AS212" s="132"/>
      <c r="AT212" s="132"/>
    </row>
    <row r="213" spans="31:46" x14ac:dyDescent="0.2">
      <c r="AE213" s="211"/>
      <c r="AF213" s="132"/>
      <c r="AG213" s="132"/>
      <c r="AH213" s="132"/>
      <c r="AI213" s="132"/>
      <c r="AJ213" s="132"/>
      <c r="AK213" s="132"/>
      <c r="AL213" s="132"/>
      <c r="AM213" s="132"/>
      <c r="AN213" s="132"/>
      <c r="AO213" s="132"/>
      <c r="AP213" s="132"/>
      <c r="AQ213" s="132"/>
      <c r="AR213" s="132"/>
      <c r="AS213" s="132"/>
      <c r="AT213" s="132"/>
    </row>
    <row r="215" spans="31:46" x14ac:dyDescent="0.2">
      <c r="AE215" s="211"/>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3"/>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4"/>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4"/>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t90Cm7LsB7C6XciCYuU7IN5EAW6Oi1LFgFCbuxZnHcuZsHRI63IHdylEFvVPBAqnFJaLFDBBE4smbNx2fVcbiA==" saltValue="k2stUQYFXyHjMfr4elC9MA==" spinCount="100000" sheet="1" objects="1" scenarios="1"/>
  <mergeCells count="219">
    <mergeCell ref="T114:U114"/>
    <mergeCell ref="E116:R118"/>
    <mergeCell ref="C98:AO98"/>
    <mergeCell ref="T104:U104"/>
    <mergeCell ref="T106:U106"/>
    <mergeCell ref="T108:U108"/>
    <mergeCell ref="T110:Y110"/>
    <mergeCell ref="T112:Y112"/>
    <mergeCell ref="AE90:AS92"/>
    <mergeCell ref="Z91:AB93"/>
    <mergeCell ref="H96:K96"/>
    <mergeCell ref="O96:R96"/>
    <mergeCell ref="AQ96:AR96"/>
    <mergeCell ref="AW96:AX96"/>
    <mergeCell ref="H85:K85"/>
    <mergeCell ref="O85:R85"/>
    <mergeCell ref="V85:Y85"/>
    <mergeCell ref="AE85:AL85"/>
    <mergeCell ref="AP86:AR86"/>
    <mergeCell ref="Z87:AB89"/>
    <mergeCell ref="AM87:AO87"/>
    <mergeCell ref="AM88:AR88"/>
    <mergeCell ref="AW76:AW80"/>
    <mergeCell ref="AX76:AX80"/>
    <mergeCell ref="AN78:AP78"/>
    <mergeCell ref="AN79:AP79"/>
    <mergeCell ref="AN80:AS80"/>
    <mergeCell ref="AE84:AL84"/>
    <mergeCell ref="AI57:AS57"/>
    <mergeCell ref="AE70:AL70"/>
    <mergeCell ref="AN70:AS70"/>
    <mergeCell ref="F72:I72"/>
    <mergeCell ref="L72:O72"/>
    <mergeCell ref="R72:U72"/>
    <mergeCell ref="X72:AA72"/>
    <mergeCell ref="AW48:AX48"/>
    <mergeCell ref="I49:K49"/>
    <mergeCell ref="AM49:AP49"/>
    <mergeCell ref="AE53:AG53"/>
    <mergeCell ref="AI53:AJ53"/>
    <mergeCell ref="AK53:AL53"/>
    <mergeCell ref="AM53:AN53"/>
    <mergeCell ref="AP53:AQ53"/>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E28:H28"/>
    <mergeCell ref="I28:L28"/>
    <mergeCell ref="M28:P28"/>
    <mergeCell ref="Q28:T28"/>
    <mergeCell ref="U28:X28"/>
    <mergeCell ref="Y28:AB28"/>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N14:O15"/>
    <mergeCell ref="R14:S15"/>
    <mergeCell ref="V14:W15"/>
    <mergeCell ref="Z14:AA15"/>
    <mergeCell ref="AD14:AE15"/>
    <mergeCell ref="AD16:AE17"/>
    <mergeCell ref="AH16:AI17"/>
    <mergeCell ref="AL16:AM17"/>
    <mergeCell ref="AP16:AQ17"/>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s>
  <conditionalFormatting sqref="AG45:AL45">
    <cfRule type="expression" dxfId="633" priority="281">
      <formula>$AC$43="x"</formula>
    </cfRule>
  </conditionalFormatting>
  <conditionalFormatting sqref="AO44:AS44">
    <cfRule type="expression" dxfId="632" priority="280">
      <formula>$AK$42="x"</formula>
    </cfRule>
  </conditionalFormatting>
  <conditionalFormatting sqref="AP7:AS7">
    <cfRule type="expression" dxfId="631" priority="279">
      <formula>$AM$5&gt;0</formula>
    </cfRule>
  </conditionalFormatting>
  <conditionalFormatting sqref="E28:AR28">
    <cfRule type="expression" dxfId="630" priority="264">
      <formula>AND($A$28&lt;&gt;"",F$10&lt;&gt;"")</formula>
    </cfRule>
  </conditionalFormatting>
  <conditionalFormatting sqref="F72:I72">
    <cfRule type="expression" dxfId="629" priority="303">
      <formula>$F$72=""</formula>
    </cfRule>
  </conditionalFormatting>
  <conditionalFormatting sqref="H85:K85">
    <cfRule type="expression" dxfId="628" priority="270">
      <formula>$H$85=""</formula>
    </cfRule>
  </conditionalFormatting>
  <conditionalFormatting sqref="O85:R85">
    <cfRule type="expression" dxfId="627" priority="301">
      <formula>$O$85=""</formula>
    </cfRule>
  </conditionalFormatting>
  <conditionalFormatting sqref="V85:Y85">
    <cfRule type="expression" dxfId="626" priority="269">
      <formula>$V$85=""</formula>
    </cfRule>
  </conditionalFormatting>
  <conditionalFormatting sqref="O96:R96">
    <cfRule type="expression" dxfId="625" priority="267">
      <formula>$O$96=""</formula>
    </cfRule>
  </conditionalFormatting>
  <conditionalFormatting sqref="AM49:AP49">
    <cfRule type="expression" dxfId="624" priority="163">
      <formula>$AM$49=""</formula>
    </cfRule>
  </conditionalFormatting>
  <conditionalFormatting sqref="AH54">
    <cfRule type="expression" dxfId="623" priority="282">
      <formula>$AE$53=0</formula>
    </cfRule>
  </conditionalFormatting>
  <conditionalFormatting sqref="L72:O72">
    <cfRule type="expression" dxfId="622" priority="273">
      <formula>$L$72=""</formula>
    </cfRule>
  </conditionalFormatting>
  <conditionalFormatting sqref="R72:U72">
    <cfRule type="expression" dxfId="621" priority="272">
      <formula>$R$72=""</formula>
    </cfRule>
  </conditionalFormatting>
  <conditionalFormatting sqref="X72:AA72">
    <cfRule type="expression" dxfId="620" priority="271">
      <formula>$X$72=""</formula>
    </cfRule>
  </conditionalFormatting>
  <conditionalFormatting sqref="AT5">
    <cfRule type="expression" dxfId="619" priority="137">
      <formula>$AT$5=1</formula>
    </cfRule>
  </conditionalFormatting>
  <conditionalFormatting sqref="AM43:AQ43">
    <cfRule type="expression" dxfId="618" priority="166">
      <formula>$AM$43=""</formula>
    </cfRule>
  </conditionalFormatting>
  <conditionalFormatting sqref="AR43:AS43">
    <cfRule type="expression" dxfId="617" priority="136">
      <formula>$AR$43=""</formula>
    </cfRule>
  </conditionalFormatting>
  <conditionalFormatting sqref="AM45:AS45">
    <cfRule type="expression" dxfId="616" priority="165">
      <formula>$AM$45=""</formula>
    </cfRule>
  </conditionalFormatting>
  <conditionalFormatting sqref="AE70:AL70">
    <cfRule type="expression" dxfId="615" priority="147">
      <formula>$AE$70=""</formula>
    </cfRule>
  </conditionalFormatting>
  <conditionalFormatting sqref="AN70:AS70">
    <cfRule type="expression" dxfId="614" priority="132">
      <formula>$AN$70=""</formula>
    </cfRule>
  </conditionalFormatting>
  <conditionalFormatting sqref="AN80:AS80">
    <cfRule type="expression" dxfId="613" priority="128">
      <formula>$AN$80=""</formula>
    </cfRule>
  </conditionalFormatting>
  <conditionalFormatting sqref="H96:K96">
    <cfRule type="expression" dxfId="612" priority="287">
      <formula>$H$96=""</formula>
    </cfRule>
  </conditionalFormatting>
  <conditionalFormatting sqref="AM88:AR88">
    <cfRule type="expression" dxfId="611" priority="121">
      <formula>$AM$88=""</formula>
    </cfRule>
  </conditionalFormatting>
  <conditionalFormatting sqref="Y5:AF5">
    <cfRule type="expression" dxfId="610" priority="258">
      <formula>$Y$5=""</formula>
    </cfRule>
  </conditionalFormatting>
  <conditionalFormatting sqref="Y6:AF6">
    <cfRule type="expression" dxfId="609" priority="118">
      <formula>$Y$6=""</formula>
    </cfRule>
  </conditionalFormatting>
  <conditionalFormatting sqref="Y7:AF7">
    <cfRule type="expression" dxfId="608" priority="117">
      <formula>$Y$7=""</formula>
    </cfRule>
  </conditionalFormatting>
  <conditionalFormatting sqref="AJ5:AL5">
    <cfRule type="expression" dxfId="607" priority="254">
      <formula>$AJ$5=""</formula>
    </cfRule>
  </conditionalFormatting>
  <conditionalFormatting sqref="AJ6:AL6">
    <cfRule type="expression" dxfId="606" priority="115">
      <formula>$AJ$6=""</formula>
    </cfRule>
  </conditionalFormatting>
  <conditionalFormatting sqref="AJ7:AL7">
    <cfRule type="expression" dxfId="605" priority="114">
      <formula>$AJ$7=""</formula>
    </cfRule>
  </conditionalFormatting>
  <conditionalFormatting sqref="I49:K49">
    <cfRule type="expression" dxfId="604" priority="113">
      <formula>$I$49=""</formula>
    </cfRule>
  </conditionalFormatting>
  <conditionalFormatting sqref="T45:U45">
    <cfRule type="expression" dxfId="603" priority="112">
      <formula>$T$45=""</formula>
    </cfRule>
  </conditionalFormatting>
  <conditionalFormatting sqref="Z42:Z45">
    <cfRule type="expression" dxfId="602" priority="111">
      <formula>$Z$42=""</formula>
    </cfRule>
  </conditionalFormatting>
  <conditionalFormatting sqref="AX33:AY42">
    <cfRule type="expression" dxfId="601" priority="109">
      <formula>AW33=""</formula>
    </cfRule>
  </conditionalFormatting>
  <conditionalFormatting sqref="A9:A11">
    <cfRule type="expression" dxfId="600" priority="50">
      <formula>$C$11&lt;36</formula>
    </cfRule>
  </conditionalFormatting>
  <conditionalFormatting sqref="A28">
    <cfRule type="expression" dxfId="599" priority="107">
      <formula>$E$28&gt;0</formula>
    </cfRule>
  </conditionalFormatting>
  <conditionalFormatting sqref="AX33:AY42">
    <cfRule type="expression" dxfId="598" priority="110">
      <formula>AX33=""</formula>
    </cfRule>
  </conditionalFormatting>
  <conditionalFormatting sqref="R112:Y114">
    <cfRule type="expression" dxfId="597" priority="57">
      <formula>$T$110=""</formula>
    </cfRule>
  </conditionalFormatting>
  <conditionalFormatting sqref="AE53:AG53">
    <cfRule type="expression" dxfId="596" priority="47">
      <formula>$AT$52=1</formula>
    </cfRule>
    <cfRule type="expression" dxfId="595" priority="84">
      <formula>$AE$53=0</formula>
    </cfRule>
  </conditionalFormatting>
  <conditionalFormatting sqref="AW48:AX48">
    <cfRule type="expression" dxfId="594" priority="83">
      <formula>$AW$48=""</formula>
    </cfRule>
  </conditionalFormatting>
  <conditionalFormatting sqref="AE84:AL84">
    <cfRule type="expression" dxfId="593" priority="75">
      <formula>$AE$84=""</formula>
    </cfRule>
  </conditionalFormatting>
  <conditionalFormatting sqref="AB102:AB120">
    <cfRule type="expression" dxfId="592" priority="73">
      <formula>$T$104&lt;&gt;105</formula>
    </cfRule>
  </conditionalFormatting>
  <conditionalFormatting sqref="AB120:AG120">
    <cfRule type="expression" dxfId="591" priority="72">
      <formula>$T$104&lt;&gt;105</formula>
    </cfRule>
  </conditionalFormatting>
  <conditionalFormatting sqref="AG102:AG120">
    <cfRule type="expression" dxfId="590" priority="71">
      <formula>AND($T$104&lt;&gt;105,$T$104&lt;&gt;85)</formula>
    </cfRule>
  </conditionalFormatting>
  <conditionalFormatting sqref="AB102:AG102">
    <cfRule type="expression" dxfId="589" priority="70">
      <formula>$T$104&lt;&gt;105</formula>
    </cfRule>
  </conditionalFormatting>
  <conditionalFormatting sqref="AH120:AM120">
    <cfRule type="expression" dxfId="588" priority="69">
      <formula>$T$104&lt;&gt;85</formula>
    </cfRule>
  </conditionalFormatting>
  <conditionalFormatting sqref="AH102:AM102">
    <cfRule type="expression" dxfId="587" priority="68">
      <formula>$T$104&lt;&gt;85</formula>
    </cfRule>
  </conditionalFormatting>
  <conditionalFormatting sqref="AN102:AN120">
    <cfRule type="expression" dxfId="586" priority="67">
      <formula>AND($T$104&lt;&gt;85,$T$104&lt;&gt;110)</formula>
    </cfRule>
  </conditionalFormatting>
  <conditionalFormatting sqref="AN120:AT120">
    <cfRule type="expression" dxfId="585" priority="66">
      <formula>$T$104&lt;&gt;110</formula>
    </cfRule>
  </conditionalFormatting>
  <conditionalFormatting sqref="AT102:AT120">
    <cfRule type="expression" dxfId="584" priority="65">
      <formula>$T$104&lt;&gt;110</formula>
    </cfRule>
  </conditionalFormatting>
  <conditionalFormatting sqref="AN102:AT102">
    <cfRule type="expression" dxfId="583" priority="64">
      <formula>$T$104&lt;&gt;110</formula>
    </cfRule>
  </conditionalFormatting>
  <conditionalFormatting sqref="T104:U104">
    <cfRule type="expression" dxfId="582" priority="63">
      <formula>$T$104=""</formula>
    </cfRule>
  </conditionalFormatting>
  <conditionalFormatting sqref="T106:U106">
    <cfRule type="expression" dxfId="581" priority="62">
      <formula>$T$106=""</formula>
    </cfRule>
  </conditionalFormatting>
  <conditionalFormatting sqref="T108:U108">
    <cfRule type="expression" dxfId="580" priority="61">
      <formula>$T$108=""</formula>
    </cfRule>
  </conditionalFormatting>
  <conditionalFormatting sqref="T114:U114">
    <cfRule type="expression" dxfId="579" priority="60">
      <formula>$T$114=""</formula>
    </cfRule>
  </conditionalFormatting>
  <conditionalFormatting sqref="T110:Y110">
    <cfRule type="expression" dxfId="578" priority="58">
      <formula>$T$110=""</formula>
    </cfRule>
  </conditionalFormatting>
  <conditionalFormatting sqref="T112:Y112">
    <cfRule type="expression" dxfId="577" priority="59">
      <formula>$T$112=""</formula>
    </cfRule>
  </conditionalFormatting>
  <conditionalFormatting sqref="AI57:AS57">
    <cfRule type="expression" dxfId="576" priority="162">
      <formula>$AI$57=""</formula>
    </cfRule>
  </conditionalFormatting>
  <conditionalFormatting sqref="AX25:AZ26">
    <cfRule type="expression" dxfId="575" priority="52">
      <formula>$AX$25=""</formula>
    </cfRule>
  </conditionalFormatting>
  <conditionalFormatting sqref="AM87:AO87">
    <cfRule type="expression" dxfId="574" priority="48">
      <formula>$AM$87=""</formula>
    </cfRule>
  </conditionalFormatting>
  <conditionalFormatting sqref="AT52">
    <cfRule type="expression" dxfId="573" priority="46">
      <formula>$AT$52=1</formula>
    </cfRule>
  </conditionalFormatting>
  <conditionalFormatting sqref="AX76:AX80">
    <cfRule type="expression" dxfId="572" priority="43">
      <formula>$AN$80=""</formula>
    </cfRule>
  </conditionalFormatting>
  <conditionalFormatting sqref="AB62">
    <cfRule type="expression" dxfId="571" priority="42">
      <formula>$AB$62&gt;0</formula>
    </cfRule>
  </conditionalFormatting>
  <conditionalFormatting sqref="AB73">
    <cfRule type="expression" dxfId="570" priority="41">
      <formula>$AB$73&gt;0</formula>
    </cfRule>
  </conditionalFormatting>
  <conditionalFormatting sqref="M6:Q6">
    <cfRule type="expression" dxfId="569" priority="40">
      <formula>$M$6=""</formula>
    </cfRule>
  </conditionalFormatting>
  <conditionalFormatting sqref="AN78:AP78">
    <cfRule type="expression" dxfId="568" priority="130">
      <formula>$AN$78=""</formula>
    </cfRule>
  </conditionalFormatting>
  <conditionalFormatting sqref="AN79:AP79">
    <cfRule type="expression" dxfId="567" priority="129">
      <formula>$AN$79=""</formula>
    </cfRule>
  </conditionalFormatting>
  <conditionalFormatting sqref="AM46:AS46">
    <cfRule type="expression" dxfId="566" priority="133">
      <formula>$AM$46=""</formula>
    </cfRule>
  </conditionalFormatting>
  <conditionalFormatting sqref="AM47:AS47">
    <cfRule type="expression" dxfId="565" priority="31">
      <formula>$AM$47=""</formula>
    </cfRule>
  </conditionalFormatting>
  <conditionalFormatting sqref="AQ96:AR96">
    <cfRule type="expression" dxfId="564" priority="17">
      <formula>$AQ$96=""</formula>
    </cfRule>
  </conditionalFormatting>
  <conditionalFormatting sqref="BD2:BI10">
    <cfRule type="expression" dxfId="563" priority="7">
      <formula>$AW$2=""</formula>
    </cfRule>
  </conditionalFormatting>
  <conditionalFormatting sqref="AZ9:BA9">
    <cfRule type="expression" dxfId="562" priority="6">
      <formula>$AZ$9=""</formula>
    </cfRule>
  </conditionalFormatting>
  <conditionalFormatting sqref="AZ10:BA10">
    <cfRule type="expression" dxfId="561" priority="5">
      <formula>$AZ$10=""</formula>
    </cfRule>
  </conditionalFormatting>
  <dataValidations count="8">
    <dataValidation type="whole" allowBlank="1" showInputMessage="1" showErrorMessage="1" sqref="J58:M59 I46:K49" xr:uid="{0F5155FD-F1FB-4C04-8126-1983F1396B6E}">
      <formula1>0</formula1>
      <formula2>100000</formula2>
    </dataValidation>
    <dataValidation type="custom" operator="equal" allowBlank="1" showInputMessage="1" showErrorMessage="1" sqref="AA60 E33:E34 E40:E41 Q40:Q41 E6:E7 AN33 AN44 AA47:AA49" xr:uid="{4DAD57FA-574F-4F87-82B2-8C94FAB7E600}">
      <formula1>E6="X"</formula1>
    </dataValidation>
    <dataValidation type="whole" allowBlank="1" showInputMessage="1" showErrorMessage="1" sqref="H21:I21 AJ21:AK21 L21:M21 P21:Q21 T21:U21 X21:Y21 AB21:AC21 AF21:AG21 AN21:AO21" xr:uid="{CB2565B7-78D8-424A-AA89-E0F2D11028D7}">
      <formula1>0</formula1>
      <formula2>360</formula2>
    </dataValidation>
    <dataValidation type="whole" allowBlank="1" showInputMessage="1" showErrorMessage="1" sqref="E28:AR28 Z42:Z45" xr:uid="{B66DF734-68A1-4145-A12A-D5DA829DD0D3}">
      <formula1>0</formula1>
      <formula2>10000</formula2>
    </dataValidation>
    <dataValidation type="whole" allowBlank="1" showInputMessage="1" showErrorMessage="1" sqref="T45:U45" xr:uid="{123D47FA-4428-4D53-800D-789C1C0067F8}">
      <formula1>0</formula1>
      <formula2>3000</formula2>
    </dataValidation>
    <dataValidation type="date" operator="greaterThanOrEqual" allowBlank="1" showInputMessage="1" showErrorMessage="1" sqref="Y7:AF7" xr:uid="{D7123AFC-B9D3-4442-BB73-E79671CCFDAF}">
      <formula1>TODAY()-3</formula1>
    </dataValidation>
    <dataValidation type="whole" operator="equal" allowBlank="1" showInputMessage="1" showErrorMessage="1" sqref="AB73 AB62" xr:uid="{6A256D4D-082A-44B0-A353-CD0AE721DDD3}">
      <formula1>1</formula1>
    </dataValidation>
    <dataValidation type="whole" allowBlank="1" showInputMessage="1" showErrorMessage="1" sqref="AJ6:AL6" xr:uid="{0810C151-1181-44A9-B5C4-C7DE3B8EBEA5}">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3314"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3315"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3316" r:id="rId7" name="Check Box 4">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3317" r:id="rId8" name="Check Box 5">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3318" r:id="rId9" name="Check Box 6">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3319" r:id="rId10" name="Check Box 7">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3321" r:id="rId12" name="Check Box 9">
              <controlPr locked="0" defaultSize="0" autoFill="0" autoLine="0" autoPict="0">
                <anchor moveWithCells="1">
                  <from>
                    <xdr:col>30</xdr:col>
                    <xdr:colOff>0</xdr:colOff>
                    <xdr:row>36</xdr:row>
                    <xdr:rowOff>0</xdr:rowOff>
                  </from>
                  <to>
                    <xdr:col>31</xdr:col>
                    <xdr:colOff>0</xdr:colOff>
                    <xdr:row>37</xdr:row>
                    <xdr:rowOff>0</xdr:rowOff>
                  </to>
                </anchor>
              </controlPr>
            </control>
          </mc:Choice>
        </mc:AlternateContent>
        <mc:AlternateContent xmlns:mc="http://schemas.openxmlformats.org/markup-compatibility/2006">
          <mc:Choice Requires="x14">
            <control shapeId="13322" r:id="rId13" name="Check Box 10">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3323" r:id="rId14" name="Check Box 11">
              <controlPr locked="0" defaultSize="0" autoFill="0" autoLine="0" autoPict="0">
                <anchor moveWithCells="1">
                  <from>
                    <xdr:col>42</xdr:col>
                    <xdr:colOff>0</xdr:colOff>
                    <xdr:row>5</xdr:row>
                    <xdr:rowOff>0</xdr:rowOff>
                  </from>
                  <to>
                    <xdr:col>43</xdr:col>
                    <xdr:colOff>0</xdr:colOff>
                    <xdr:row>6</xdr:row>
                    <xdr:rowOff>9525</xdr:rowOff>
                  </to>
                </anchor>
              </controlPr>
            </control>
          </mc:Choice>
        </mc:AlternateContent>
        <mc:AlternateContent xmlns:mc="http://schemas.openxmlformats.org/markup-compatibility/2006">
          <mc:Choice Requires="x14">
            <control shapeId="13324" r:id="rId15" name="Check Box 12">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325" r:id="rId16" name="Check Box 13">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326" r:id="rId17" name="Check Box 14">
              <controlPr locked="0" defaultSize="0" autoFill="0" autoLine="0" autoPict="0">
                <anchor moveWithCells="1">
                  <from>
                    <xdr:col>4</xdr:col>
                    <xdr:colOff>0</xdr:colOff>
                    <xdr:row>5</xdr:row>
                    <xdr:rowOff>0</xdr:rowOff>
                  </from>
                  <to>
                    <xdr:col>5</xdr:col>
                    <xdr:colOff>0</xdr:colOff>
                    <xdr:row>6</xdr:row>
                    <xdr:rowOff>9525</xdr:rowOff>
                  </to>
                </anchor>
              </controlPr>
            </control>
          </mc:Choice>
        </mc:AlternateContent>
        <mc:AlternateContent xmlns:mc="http://schemas.openxmlformats.org/markup-compatibility/2006">
          <mc:Choice Requires="x14">
            <control shapeId="13327" r:id="rId18" name="Check Box 15">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3328" r:id="rId19" name="Check Box 16">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3329" r:id="rId20" name="Check Box 17">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3330" r:id="rId21" name="Check Box 18">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3331" r:id="rId22" name="Check Box 19">
              <controlPr locked="0" defaultSize="0" autoFill="0" autoLine="0" autoPict="0">
                <anchor moveWithCells="1">
                  <from>
                    <xdr:col>9</xdr:col>
                    <xdr:colOff>114300</xdr:colOff>
                    <xdr:row>52</xdr:row>
                    <xdr:rowOff>114300</xdr:rowOff>
                  </from>
                  <to>
                    <xdr:col>10</xdr:col>
                    <xdr:colOff>114300</xdr:colOff>
                    <xdr:row>53</xdr:row>
                    <xdr:rowOff>114300</xdr:rowOff>
                  </to>
                </anchor>
              </controlPr>
            </control>
          </mc:Choice>
        </mc:AlternateContent>
        <mc:AlternateContent xmlns:mc="http://schemas.openxmlformats.org/markup-compatibility/2006">
          <mc:Choice Requires="x14">
            <control shapeId="13332" r:id="rId23" name="Check Box 20">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3333" r:id="rId24" name="Check Box 21">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3334" r:id="rId25" name="Check Box 22">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3335" r:id="rId26" name="Check Box 23">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3336" r:id="rId27" name="Check Box 24">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3337" r:id="rId28" name="Check Box 25">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3338" r:id="rId29" name="Check Box 26">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3339" r:id="rId30" name="Check Box 27">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3340" r:id="rId31" name="Check Box 28">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341" r:id="rId32" name="Check Box 29">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3342" r:id="rId33" name="Check Box 30">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3343" r:id="rId34" name="Check Box 3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3344" r:id="rId35" name="Check Box 3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3345" r:id="rId36" name="Check Box 3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3346" r:id="rId37" name="Check Box 3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3347" r:id="rId38" name="Check Box 35">
              <controlPr locked="0" defaultSize="0" autoFill="0" autoLine="0" autoPict="0">
                <anchor moveWithCells="1">
                  <from>
                    <xdr:col>13</xdr:col>
                    <xdr:colOff>57150</xdr:colOff>
                    <xdr:row>81</xdr:row>
                    <xdr:rowOff>9525</xdr:rowOff>
                  </from>
                  <to>
                    <xdr:col>14</xdr:col>
                    <xdr:colOff>57150</xdr:colOff>
                    <xdr:row>82</xdr:row>
                    <xdr:rowOff>9525</xdr:rowOff>
                  </to>
                </anchor>
              </controlPr>
            </control>
          </mc:Choice>
        </mc:AlternateContent>
        <mc:AlternateContent xmlns:mc="http://schemas.openxmlformats.org/markup-compatibility/2006">
          <mc:Choice Requires="x14">
            <control shapeId="13348" r:id="rId39" name="Check Box 36">
              <controlPr locked="0" defaultSize="0" autoFill="0" autoLine="0" autoPict="0">
                <anchor moveWithCells="1">
                  <from>
                    <xdr:col>13</xdr:col>
                    <xdr:colOff>19050</xdr:colOff>
                    <xdr:row>62</xdr:row>
                    <xdr:rowOff>9525</xdr:rowOff>
                  </from>
                  <to>
                    <xdr:col>14</xdr:col>
                    <xdr:colOff>19050</xdr:colOff>
                    <xdr:row>63</xdr:row>
                    <xdr:rowOff>9525</xdr:rowOff>
                  </to>
                </anchor>
              </controlPr>
            </control>
          </mc:Choice>
        </mc:AlternateContent>
        <mc:AlternateContent xmlns:mc="http://schemas.openxmlformats.org/markup-compatibility/2006">
          <mc:Choice Requires="x14">
            <control shapeId="13349" r:id="rId40" name="Check Box 37">
              <controlPr locked="0" defaultSize="0" autoFill="0" autoLine="0" autoPict="0">
                <anchor moveWithCells="1">
                  <from>
                    <xdr:col>11</xdr:col>
                    <xdr:colOff>66675</xdr:colOff>
                    <xdr:row>68</xdr:row>
                    <xdr:rowOff>0</xdr:rowOff>
                  </from>
                  <to>
                    <xdr:col>12</xdr:col>
                    <xdr:colOff>66675</xdr:colOff>
                    <xdr:row>69</xdr:row>
                    <xdr:rowOff>0</xdr:rowOff>
                  </to>
                </anchor>
              </controlPr>
            </control>
          </mc:Choice>
        </mc:AlternateContent>
        <mc:AlternateContent xmlns:mc="http://schemas.openxmlformats.org/markup-compatibility/2006">
          <mc:Choice Requires="x14">
            <control shapeId="13350" r:id="rId41" name="Check Box 3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3351" r:id="rId42" name="Check Box 3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3352" r:id="rId43" name="Check Box 40">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3353" r:id="rId44" name="Check Box 41">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3354" r:id="rId45" name="Check Box 42">
              <controlPr locked="0" defaultSize="0" autoFill="0" autoLine="0" autoPict="0">
                <anchor moveWithCells="1">
                  <from>
                    <xdr:col>29</xdr:col>
                    <xdr:colOff>219075</xdr:colOff>
                    <xdr:row>55</xdr:row>
                    <xdr:rowOff>142875</xdr:rowOff>
                  </from>
                  <to>
                    <xdr:col>31</xdr:col>
                    <xdr:colOff>0</xdr:colOff>
                    <xdr:row>57</xdr:row>
                    <xdr:rowOff>0</xdr:rowOff>
                  </to>
                </anchor>
              </controlPr>
            </control>
          </mc:Choice>
        </mc:AlternateContent>
        <mc:AlternateContent xmlns:mc="http://schemas.openxmlformats.org/markup-compatibility/2006">
          <mc:Choice Requires="x14">
            <control shapeId="13355" r:id="rId46" name="Check Box 43">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3356" r:id="rId47" name="Check Box 4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3357" r:id="rId48" name="Check Box 45">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3358" r:id="rId49" name="Check Box 46">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3359" r:id="rId50" name="Check Box 47">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9" id="{79E3B95B-90E7-469F-B3F8-C2C8E8B5B3E9}">
            <xm:f>$A$9&lt;&gt;'Sprachen &amp; Rückgabewerte(4)'!$H$132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278" id="{461927A3-D585-4C82-B0C8-06C7CD4785BC}">
            <xm:f>'Sprachen &amp; Rückgabewerte(4)'!$I$12=FALSE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36" id="{8C159F79-0933-4DA3-A5EE-4D10353B9678}">
            <xm:f>'Sprachen &amp; Rückgabewerte(4)'!$U$49=FALSE</xm:f>
            <x14:dxf>
              <border>
                <bottom style="thin">
                  <color rgb="FFFF0000"/>
                </bottom>
                <vertical/>
                <horizontal/>
              </border>
            </x14:dxf>
          </x14:cfRule>
          <x14:cfRule type="expression" priority="277" id="{003833A5-1B31-4E42-9678-44F62E95E626}">
            <xm:f>AND('Sprachen &amp; Rückgabewerte(4)'!$I$11=FALSE,'Sprachen &amp; Rückgabewerte(4)'!$I$12=FALSE)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6" id="{DAB3CFF0-B82C-48F7-9FC9-C8C5C567DF8C}">
            <xm:f>AND('Sprachen &amp; Rückgabewerte(4)'!$I$10=FALSE,'Sprachen &amp; Rückgabewerte(4)'!$I$11=FALSE,'Sprachen &amp; Rückgabewerte(4)'!$I$12=FALSE)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BC672677-545D-42B7-A910-8557F666436C}">
            <xm:f>AND($AP$86="",'Sprachen &amp; Rückgabewerte(4)'!$I$51=TRUE)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5" id="{9B8EB69E-F635-4998-971D-213B8D159922}">
            <xm:f>'Sprachen &amp; Rückgabewerte(4)'!$I$51=TRUE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4" id="{FBC29AD3-7718-4D3B-802F-02471528B1BA}">
            <xm:f>'Sprachen &amp; Rückgabewerte(4)'!$C$41=FALSE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8" id="{921AC6E9-B1AC-43AC-A7E7-FE5ADFBB40C9}">
            <xm:f>'Sprachen &amp; Rückgabewerte(4)'!$C$42=FALSE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3" id="{24E02F00-BB79-4592-80FC-2BD8FA717A07}">
            <xm:f>'Sprachen &amp; Rückgabewerte(4)'!$C$43=FALSE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2" id="{267E7747-9747-427B-9ADC-6E02522C99F0}">
            <xm:f>'Sprachen &amp; Rückgabewerte(4)'!$C$44=FALSE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0" id="{CFC3864B-B9CF-4182-8321-91BA7D9250C9}">
            <xm:f>'Sprachen &amp; Rückgabewerte(4)'!$C$45=FALSE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5" id="{194462C4-277E-4E08-B8B1-84F609521E0E}">
            <xm:f>'Sprachen &amp; Rückgabewerte(4)'!$C$46=FALSE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8" id="{25839181-3A39-48E0-96CE-654BDD4F38E1}">
            <xm:f>'Sprachen &amp; Rückgabewerte(4)'!$C$47=FALSE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39" id="{87F6851D-4BCE-4452-97AA-0A7A1111D7DA}">
            <xm:f>'Sprachen &amp; Rückgabewerte(4)'!$C$49=FALSE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5" id="{562337D4-F10D-48BA-B459-4CBD8B073ABD}">
            <xm:f>G$20='Sprachen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6" id="{D10C39FE-5F5D-4DD6-B5FA-456534A8F20F}">
            <xm:f>G$20='Sprachen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3" id="{3848C20A-1B16-45B3-BF49-4F6684A86719}">
            <xm:f>'Sprachen &amp; Rückgabewerte(4)'!$L$41=0</xm:f>
            <x14:dxf>
              <border>
                <left style="thin">
                  <color rgb="FFFF0000"/>
                </left>
                <vertical/>
                <horizontal/>
              </border>
            </x14:dxf>
          </x14:cfRule>
          <xm:sqref>C5:C8</xm:sqref>
        </x14:conditionalFormatting>
        <x14:conditionalFormatting xmlns:xm="http://schemas.microsoft.com/office/excel/2006/main">
          <x14:cfRule type="expression" priority="262" id="{9869BDFE-AE42-4C0D-9991-0D7E9BE6C6A0}">
            <xm:f>'Sprachen &amp; Rückgabewerte(4)'!$L$41=0</xm:f>
            <x14:dxf>
              <border>
                <top style="thin">
                  <color rgb="FFFF0000"/>
                </top>
                <vertical/>
                <horizontal/>
              </border>
            </x14:dxf>
          </x14:cfRule>
          <xm:sqref>C5:R5</xm:sqref>
        </x14:conditionalFormatting>
        <x14:conditionalFormatting xmlns:xm="http://schemas.microsoft.com/office/excel/2006/main">
          <x14:cfRule type="expression" priority="261" id="{4855A831-F435-4FC2-BC14-4B0DA8363159}">
            <xm:f>'Sprachen &amp; Rückgabewerte(4)'!$L$41=0</xm:f>
            <x14:dxf>
              <border>
                <right style="thin">
                  <color rgb="FFFF0000"/>
                </right>
                <vertical/>
                <horizontal/>
              </border>
            </x14:dxf>
          </x14:cfRule>
          <xm:sqref>R5:R8</xm:sqref>
        </x14:conditionalFormatting>
        <x14:conditionalFormatting xmlns:xm="http://schemas.microsoft.com/office/excel/2006/main">
          <x14:cfRule type="expression" priority="260" id="{36033FEC-8A0B-456E-A230-08A741E053B9}">
            <xm:f>'Sprachen &amp; Rückgabewerte(4)'!$L$41=0</xm:f>
            <x14:dxf>
              <border>
                <bottom style="thin">
                  <color rgb="FFFF0000"/>
                </bottom>
                <vertical/>
                <horizontal/>
              </border>
            </x14:dxf>
          </x14:cfRule>
          <xm:sqref>C8:R8</xm:sqref>
        </x14:conditionalFormatting>
        <x14:conditionalFormatting xmlns:xm="http://schemas.microsoft.com/office/excel/2006/main">
          <x14:cfRule type="expression" priority="259" id="{A4CCE05D-290E-4289-B2EF-685D57E1A6BF}">
            <xm:f>'Sprachen &amp; Rückgabewerte(4)'!$L$42=0</xm:f>
            <x14:dxf>
              <border>
                <left style="thin">
                  <color rgb="FFFF0000"/>
                </left>
                <vertical/>
                <horizontal/>
              </border>
            </x14:dxf>
          </x14:cfRule>
          <xm:sqref>S5:S8</xm:sqref>
        </x14:conditionalFormatting>
        <x14:conditionalFormatting xmlns:xm="http://schemas.microsoft.com/office/excel/2006/main">
          <x14:cfRule type="expression" priority="119" id="{C23D15AC-6CE8-4527-99B8-B7945DDFF72D}">
            <xm:f>'Sprachen &amp; Rückgabewerte(4)'!$L$42=0</xm:f>
            <x14:dxf>
              <border>
                <top style="thin">
                  <color rgb="FFFF0000"/>
                </top>
                <vertical/>
                <horizontal/>
              </border>
            </x14:dxf>
          </x14:cfRule>
          <xm:sqref>S5:AG5</xm:sqref>
        </x14:conditionalFormatting>
        <x14:conditionalFormatting xmlns:xm="http://schemas.microsoft.com/office/excel/2006/main">
          <x14:cfRule type="expression" priority="257" id="{D2F8939E-E823-46E1-B459-A08C7AA7C6EF}">
            <xm:f>'Sprachen &amp; Rückgabewerte(4)'!$L$42=0</xm:f>
            <x14:dxf>
              <border>
                <right style="thin">
                  <color rgb="FFFF0000"/>
                </right>
                <vertical/>
                <horizontal/>
              </border>
            </x14:dxf>
          </x14:cfRule>
          <xm:sqref>AG5:AG8</xm:sqref>
        </x14:conditionalFormatting>
        <x14:conditionalFormatting xmlns:xm="http://schemas.microsoft.com/office/excel/2006/main">
          <x14:cfRule type="expression" priority="256" id="{DA17A189-BC5D-476C-811E-C464B11C1BF5}">
            <xm:f>'Sprachen &amp; Rückgabewerte(4)'!$L$42=0</xm:f>
            <x14:dxf>
              <border>
                <bottom style="thin">
                  <color rgb="FFFF0000"/>
                </bottom>
                <vertical/>
                <horizontal/>
              </border>
            </x14:dxf>
          </x14:cfRule>
          <xm:sqref>S8:AG8</xm:sqref>
        </x14:conditionalFormatting>
        <x14:conditionalFormatting xmlns:xm="http://schemas.microsoft.com/office/excel/2006/main">
          <x14:cfRule type="expression" priority="255" id="{3C41EE52-7B12-41D0-95ED-1890AD271AAA}">
            <xm:f>'Sprachen &amp; Rückgabewerte(4)'!$L$43=0</xm:f>
            <x14:dxf>
              <border>
                <left style="thin">
                  <color rgb="FFFF0000"/>
                </left>
                <vertical/>
                <horizontal/>
              </border>
            </x14:dxf>
          </x14:cfRule>
          <xm:sqref>AH5:AH8</xm:sqref>
        </x14:conditionalFormatting>
        <x14:conditionalFormatting xmlns:xm="http://schemas.microsoft.com/office/excel/2006/main">
          <x14:cfRule type="expression" priority="116" id="{3BE65FAA-CD2E-4C30-95A6-82D5B238055F}">
            <xm:f>'Sprachen &amp; Rückgabewerte(4)'!$L$43=0</xm:f>
            <x14:dxf>
              <border>
                <top style="thin">
                  <color rgb="FFFF0000"/>
                </top>
                <vertical/>
                <horizontal/>
              </border>
            </x14:dxf>
          </x14:cfRule>
          <xm:sqref>AH5:AM5</xm:sqref>
        </x14:conditionalFormatting>
        <x14:conditionalFormatting xmlns:xm="http://schemas.microsoft.com/office/excel/2006/main">
          <x14:cfRule type="expression" priority="253" id="{6F900625-ABC6-440E-80B3-18620A58101D}">
            <xm:f>'Sprachen &amp; Rückgabewerte(4)'!$L$43=0</xm:f>
            <x14:dxf>
              <border>
                <right style="thin">
                  <color rgb="FFFF0000"/>
                </right>
                <vertical/>
                <horizontal/>
              </border>
            </x14:dxf>
          </x14:cfRule>
          <xm:sqref>AM5:AM8</xm:sqref>
        </x14:conditionalFormatting>
        <x14:conditionalFormatting xmlns:xm="http://schemas.microsoft.com/office/excel/2006/main">
          <x14:cfRule type="expression" priority="252" id="{C43CD501-FD4B-409F-8352-C453FE04806F}">
            <xm:f>'Sprachen &amp; Rückgabewerte(4)'!$L$43=0</xm:f>
            <x14:dxf>
              <border>
                <bottom style="thin">
                  <color rgb="FFFF0000"/>
                </bottom>
                <vertical/>
                <horizontal/>
              </border>
            </x14:dxf>
          </x14:cfRule>
          <xm:sqref>AH8:AM8</xm:sqref>
        </x14:conditionalFormatting>
        <x14:conditionalFormatting xmlns:xm="http://schemas.microsoft.com/office/excel/2006/main">
          <x14:cfRule type="expression" priority="251" id="{DC4E703F-5E24-4010-80C8-A1BB63FC7E71}">
            <xm:f>'Sprachen &amp; Rückgabewerte(4)'!$L$44=0</xm:f>
            <x14:dxf>
              <border>
                <left style="thin">
                  <color rgb="FFFF0000"/>
                </left>
                <vertical/>
                <horizontal/>
              </border>
            </x14:dxf>
          </x14:cfRule>
          <xm:sqref>AN5:AN8</xm:sqref>
        </x14:conditionalFormatting>
        <x14:conditionalFormatting xmlns:xm="http://schemas.microsoft.com/office/excel/2006/main">
          <x14:cfRule type="expression" priority="250" id="{3BC9B719-EF73-4EF0-999C-30EFEC03E8DF}">
            <xm:f>'Sprachen &amp; Rückgabewerte(4)'!$L$44=0</xm:f>
            <x14:dxf>
              <border>
                <top style="thin">
                  <color rgb="FFFF0000"/>
                </top>
                <vertical/>
                <horizontal/>
              </border>
            </x14:dxf>
          </x14:cfRule>
          <xm:sqref>AN5:AT5</xm:sqref>
        </x14:conditionalFormatting>
        <x14:conditionalFormatting xmlns:xm="http://schemas.microsoft.com/office/excel/2006/main">
          <x14:cfRule type="expression" priority="249" id="{C982796F-9CB1-423F-928F-A1E8C2E56946}">
            <xm:f>'Sprachen &amp; Rückgabewerte(4)'!$L$44=0</xm:f>
            <x14:dxf>
              <border>
                <right style="thin">
                  <color rgb="FFFF0000"/>
                </right>
                <vertical/>
                <horizontal/>
              </border>
            </x14:dxf>
          </x14:cfRule>
          <xm:sqref>AT5:AT8</xm:sqref>
        </x14:conditionalFormatting>
        <x14:conditionalFormatting xmlns:xm="http://schemas.microsoft.com/office/excel/2006/main">
          <x14:cfRule type="expression" priority="248" id="{DDD1AB7C-AC2C-4CD2-BC4E-BDE0F5C29413}">
            <xm:f>'Sprachen &amp; Rückgabewerte(4)'!$L$44=0</xm:f>
            <x14:dxf>
              <border>
                <bottom style="thin">
                  <color rgb="FFFF0000"/>
                </bottom>
                <vertical/>
                <horizontal/>
              </border>
            </x14:dxf>
          </x14:cfRule>
          <xm:sqref>AN8:AT8</xm:sqref>
        </x14:conditionalFormatting>
        <x14:conditionalFormatting xmlns:xm="http://schemas.microsoft.com/office/excel/2006/main">
          <x14:cfRule type="expression" priority="247" id="{22FCFA18-FBCD-4D01-A343-82FC096F4B52}">
            <xm:f>'Sprachen &amp; Rückgabewerte(4)'!$L$45=0</xm:f>
            <x14:dxf>
              <border>
                <left style="thin">
                  <color rgb="FFFF0000"/>
                </left>
                <vertical/>
                <horizontal/>
              </border>
            </x14:dxf>
          </x14:cfRule>
          <xm:sqref>C9:C30</xm:sqref>
        </x14:conditionalFormatting>
        <x14:conditionalFormatting xmlns:xm="http://schemas.microsoft.com/office/excel/2006/main">
          <x14:cfRule type="expression" priority="240" id="{08AA3FF3-58B5-4CC1-B811-3D98C47C0518}">
            <xm:f>'Sprachen &amp; Rückgabewerte(4)'!$L$46=0</xm:f>
            <x14:dxf>
              <border>
                <bottom style="thin">
                  <color rgb="FFFF0000"/>
                </bottom>
                <vertical/>
                <horizontal/>
              </border>
            </x14:dxf>
          </x14:cfRule>
          <x14:cfRule type="expression" priority="246" id="{B89F345F-5264-44B1-B98F-4BAF1456CF05}">
            <xm:f>'Sprachen &amp; Rückgabewerte(4)'!$L$45=0</xm:f>
            <x14:dxf>
              <border>
                <bottom style="thin">
                  <color rgb="FFFF0000"/>
                </bottom>
                <vertical/>
                <horizontal/>
              </border>
            </x14:dxf>
          </x14:cfRule>
          <xm:sqref>C30:AT30</xm:sqref>
        </x14:conditionalFormatting>
        <x14:conditionalFormatting xmlns:xm="http://schemas.microsoft.com/office/excel/2006/main">
          <x14:cfRule type="expression" priority="245" id="{29096FFE-9B59-4FD7-8138-2747E5AD5BE7}">
            <xm:f>'Sprachen &amp; Rückgabewerte(4)'!$L$45=0</xm:f>
            <x14:dxf>
              <border>
                <top style="thin">
                  <color rgb="FFFF0000"/>
                </top>
                <vertical/>
                <horizontal/>
              </border>
            </x14:dxf>
          </x14:cfRule>
          <xm:sqref>C9:AT9</xm:sqref>
        </x14:conditionalFormatting>
        <x14:conditionalFormatting xmlns:xm="http://schemas.microsoft.com/office/excel/2006/main">
          <x14:cfRule type="expression" priority="244" id="{CD6CB5A3-575C-4A9C-A2A8-FD1DE7CBD42C}">
            <xm:f>'Sprachen &amp; Rückgabewerte(4)'!$L$45=0</xm:f>
            <x14:dxf>
              <border>
                <right style="thin">
                  <color rgb="FFFF0000"/>
                </right>
                <vertical/>
                <horizontal/>
              </border>
            </x14:dxf>
          </x14:cfRule>
          <xm:sqref>AT9:AT30</xm:sqref>
        </x14:conditionalFormatting>
        <x14:conditionalFormatting xmlns:xm="http://schemas.microsoft.com/office/excel/2006/main">
          <x14:cfRule type="expression" priority="243" id="{279C9130-1C7B-41CA-B385-9EC3641B02D8}">
            <xm:f>'Sprachen &amp; Rückgabewerte(4)'!$L$46=0</xm:f>
            <x14:dxf>
              <border>
                <left style="thin">
                  <color rgb="FFFF0000"/>
                </left>
                <vertical/>
                <horizontal/>
              </border>
            </x14:dxf>
          </x14:cfRule>
          <xm:sqref>C27:C30</xm:sqref>
        </x14:conditionalFormatting>
        <x14:conditionalFormatting xmlns:xm="http://schemas.microsoft.com/office/excel/2006/main">
          <x14:cfRule type="expression" priority="242" id="{517B3C1B-9B98-483E-9889-0E3552C408EC}">
            <xm:f>'Sprachen &amp; Rückgabewerte(4)'!$L$46=0</xm:f>
            <x14:dxf>
              <border>
                <top style="thin">
                  <color rgb="FFFF0000"/>
                </top>
                <vertical/>
                <horizontal/>
              </border>
            </x14:dxf>
          </x14:cfRule>
          <xm:sqref>C27:AT27</xm:sqref>
        </x14:conditionalFormatting>
        <x14:conditionalFormatting xmlns:xm="http://schemas.microsoft.com/office/excel/2006/main">
          <x14:cfRule type="expression" priority="241" id="{8E8A3EB7-6310-4B77-B12F-EF507789E6B1}">
            <xm:f>'Sprachen &amp; Rückgabewerte(4)'!$L$46=0</xm:f>
            <x14:dxf>
              <border>
                <right style="thin">
                  <color rgb="FFFF0000"/>
                </right>
                <vertical/>
                <horizontal/>
              </border>
            </x14:dxf>
          </x14:cfRule>
          <xm:sqref>AT27:AT30</xm:sqref>
        </x14:conditionalFormatting>
        <x14:conditionalFormatting xmlns:xm="http://schemas.microsoft.com/office/excel/2006/main">
          <x14:cfRule type="expression" priority="239" id="{3D7A0363-E62F-49E1-A3D7-CAC66D9D2284}">
            <xm:f>'Sprachen &amp; Rückgabewerte(4)'!$L$47=0</xm:f>
            <x14:dxf>
              <border>
                <left style="thin">
                  <color rgb="FFFF0000"/>
                </left>
                <vertical/>
                <horizontal/>
              </border>
            </x14:dxf>
          </x14:cfRule>
          <xm:sqref>C32:C35</xm:sqref>
        </x14:conditionalFormatting>
        <x14:conditionalFormatting xmlns:xm="http://schemas.microsoft.com/office/excel/2006/main">
          <x14:cfRule type="expression" priority="238" id="{C431DB3E-A677-4134-BE2C-C7B14CE88BC7}">
            <xm:f>'Sprachen &amp; Rückgabewerte(4)'!$L$47=0</xm:f>
            <x14:dxf>
              <border>
                <top style="thin">
                  <color rgb="FFFF0000"/>
                </top>
                <vertical/>
                <horizontal/>
              </border>
            </x14:dxf>
          </x14:cfRule>
          <xm:sqref>C32:AB32</xm:sqref>
        </x14:conditionalFormatting>
        <x14:conditionalFormatting xmlns:xm="http://schemas.microsoft.com/office/excel/2006/main">
          <x14:cfRule type="expression" priority="237" id="{6E689CA5-CDF4-45F8-AC55-CD81605E494A}">
            <xm:f>'Sprachen &amp; Rückgabewerte(4)'!$L$47=0</xm:f>
            <x14:dxf>
              <border>
                <right style="thin">
                  <color rgb="FFFF0000"/>
                </right>
                <vertical/>
                <horizontal/>
              </border>
            </x14:dxf>
          </x14:cfRule>
          <xm:sqref>AB32:AB35</xm:sqref>
        </x14:conditionalFormatting>
        <x14:conditionalFormatting xmlns:xm="http://schemas.microsoft.com/office/excel/2006/main">
          <x14:cfRule type="expression" priority="236" id="{880475D6-C955-4170-90FC-86A080B02EDF}">
            <xm:f>'Sprachen &amp; Rückgabewerte(4)'!$L$47=0</xm:f>
            <x14:dxf>
              <border>
                <bottom style="thin">
                  <color rgb="FFFF0000"/>
                </bottom>
                <vertical/>
                <horizontal/>
              </border>
            </x14:dxf>
          </x14:cfRule>
          <xm:sqref>C35:AB35</xm:sqref>
        </x14:conditionalFormatting>
        <x14:conditionalFormatting xmlns:xm="http://schemas.microsoft.com/office/excel/2006/main">
          <x14:cfRule type="expression" priority="235" id="{639B2B7D-2EA3-45AB-B49C-C1FD01EC47A1}">
            <xm:f>'Sprachen &amp; Rückgabewerte(4)'!$M$49=0</xm:f>
            <x14:dxf>
              <border>
                <left style="thin">
                  <color rgb="FFFF0000"/>
                </left>
                <vertical/>
                <horizontal/>
              </border>
            </x14:dxf>
          </x14:cfRule>
          <xm:sqref>C36:C60</xm:sqref>
        </x14:conditionalFormatting>
        <x14:conditionalFormatting xmlns:xm="http://schemas.microsoft.com/office/excel/2006/main">
          <x14:cfRule type="expression" priority="234" id="{CA7B5FFB-FA12-4DC5-9B2F-BDB77DDE40D2}">
            <xm:f>'Sprachen &amp; Rückgabewerte(4)'!$M$49=0</xm:f>
            <x14:dxf>
              <border>
                <top style="thin">
                  <color rgb="FFFF0000"/>
                </top>
                <vertical/>
                <horizontal/>
              </border>
            </x14:dxf>
          </x14:cfRule>
          <xm:sqref>C36:O36</xm:sqref>
        </x14:conditionalFormatting>
        <x14:conditionalFormatting xmlns:xm="http://schemas.microsoft.com/office/excel/2006/main">
          <x14:cfRule type="expression" priority="233" id="{318E4738-0915-46E1-8D4A-92D7261D35CB}">
            <xm:f>'Sprachen &amp; Rückgabewerte(4)'!$M$49=0</xm:f>
            <x14:dxf>
              <border>
                <right style="thin">
                  <color rgb="FFFF0000"/>
                </right>
                <vertical/>
                <horizontal/>
              </border>
            </x14:dxf>
          </x14:cfRule>
          <xm:sqref>O36:O60</xm:sqref>
        </x14:conditionalFormatting>
        <x14:conditionalFormatting xmlns:xm="http://schemas.microsoft.com/office/excel/2006/main">
          <x14:cfRule type="expression" priority="232" id="{9C52C3C9-F274-4210-BFBB-35DDDAFC95DD}">
            <xm:f>'Sprachen &amp; Rückgabewerte(4)'!$M$49=0</xm:f>
            <x14:dxf>
              <border>
                <bottom style="thin">
                  <color rgb="FFFF0000"/>
                </bottom>
                <vertical/>
                <horizontal/>
              </border>
            </x14:dxf>
          </x14:cfRule>
          <xm:sqref>C60:O60</xm:sqref>
        </x14:conditionalFormatting>
        <x14:conditionalFormatting xmlns:xm="http://schemas.microsoft.com/office/excel/2006/main">
          <x14:cfRule type="expression" priority="231" id="{371CD065-7041-4C62-AC26-AA0E1F0A89F0}">
            <xm:f>'Sprachen &amp; Rückgabewerte(4)'!$L$50=0</xm:f>
            <x14:dxf>
              <border>
                <top style="thin">
                  <color rgb="FFFF0000"/>
                </top>
                <vertical/>
                <horizontal/>
              </border>
            </x14:dxf>
          </x14:cfRule>
          <xm:sqref>P36:AB36</xm:sqref>
        </x14:conditionalFormatting>
        <x14:conditionalFormatting xmlns:xm="http://schemas.microsoft.com/office/excel/2006/main">
          <x14:cfRule type="expression" priority="230" id="{D71C9E3C-16DA-4998-A013-41B54AC5C0FF}">
            <xm:f>'Sprachen &amp; Rückgabewerte(4)'!$L$50=0</xm:f>
            <x14:dxf>
              <border>
                <right style="thin">
                  <color rgb="FFFF0000"/>
                </right>
              </border>
            </x14:dxf>
          </x14:cfRule>
          <xm:sqref>AB36:AB60</xm:sqref>
        </x14:conditionalFormatting>
        <x14:conditionalFormatting xmlns:xm="http://schemas.microsoft.com/office/excel/2006/main">
          <x14:cfRule type="expression" priority="229" id="{E7B1A13B-29E3-4A41-9B3B-FE2BB7A90E13}">
            <xm:f>'Sprachen &amp; Rückgabewerte(4)'!$L$50=0</xm:f>
            <x14:dxf>
              <border>
                <bottom style="thin">
                  <color rgb="FFFF0000"/>
                </bottom>
                <vertical/>
                <horizontal/>
              </border>
            </x14:dxf>
          </x14:cfRule>
          <xm:sqref>P60:AB60</xm:sqref>
        </x14:conditionalFormatting>
        <x14:conditionalFormatting xmlns:xm="http://schemas.microsoft.com/office/excel/2006/main">
          <x14:cfRule type="expression" priority="228" id="{37981C5C-79F2-4D08-B389-19792EC9F6B0}">
            <xm:f>'Sprachen &amp; Rückgabewerte(4)'!$L$50=0</xm:f>
            <x14:dxf>
              <border>
                <left style="thin">
                  <color rgb="FFFF0000"/>
                </left>
                <vertical/>
                <horizontal/>
              </border>
            </x14:dxf>
          </x14:cfRule>
          <xm:sqref>P36:P43</xm:sqref>
        </x14:conditionalFormatting>
        <x14:conditionalFormatting xmlns:xm="http://schemas.microsoft.com/office/excel/2006/main">
          <x14:cfRule type="expression" priority="227" id="{34AF8182-1656-4B98-A112-86374982DC8B}">
            <xm:f>'Sprachen &amp; Rückgabewerte(4)'!$L$50=0</xm:f>
            <x14:dxf>
              <border>
                <left style="thin">
                  <color rgb="FFFF0000"/>
                </left>
                <vertical/>
                <horizontal/>
              </border>
            </x14:dxf>
          </x14:cfRule>
          <xm:sqref>P44:S45</xm:sqref>
        </x14:conditionalFormatting>
        <x14:conditionalFormatting xmlns:xm="http://schemas.microsoft.com/office/excel/2006/main">
          <x14:cfRule type="expression" priority="226" id="{559A998A-7639-4FC6-9DF2-909CFB0E06EB}">
            <xm:f>'Sprachen &amp; Rückgabewerte(4)'!$L$50=0</xm:f>
            <x14:dxf>
              <border>
                <left style="thin">
                  <color rgb="FFFF0000"/>
                </left>
                <vertical/>
                <horizontal/>
              </border>
            </x14:dxf>
          </x14:cfRule>
          <xm:sqref>P46:P60</xm:sqref>
        </x14:conditionalFormatting>
        <x14:conditionalFormatting xmlns:xm="http://schemas.microsoft.com/office/excel/2006/main">
          <x14:cfRule type="expression" priority="225" id="{735E4ADD-69DB-4EE0-B043-62A17DE5D663}">
            <xm:f>'Sprachen &amp; Rückgabewerte(4)'!$L$51=0</xm:f>
            <x14:dxf>
              <border>
                <top style="thin">
                  <color rgb="FFFF0000"/>
                </top>
                <vertical/>
                <horizontal/>
              </border>
            </x14:dxf>
          </x14:cfRule>
          <xm:sqref>AE32:AT32</xm:sqref>
        </x14:conditionalFormatting>
        <x14:conditionalFormatting xmlns:xm="http://schemas.microsoft.com/office/excel/2006/main">
          <x14:cfRule type="expression" priority="98" id="{B25157E5-986A-4224-8D23-FBCE9105B131}">
            <xm:f>AND($AY$43&lt;&gt;0,'Sprachen &amp; Rückgabewerte(4)'!$I$19=TRUE)</xm:f>
            <x14:dxf>
              <border>
                <right style="thin">
                  <color rgb="FFFF0000"/>
                </right>
                <vertical/>
                <horizontal/>
              </border>
            </x14:dxf>
          </x14:cfRule>
          <x14:cfRule type="expression" priority="224" id="{1FED91B4-B4F0-40DA-A026-D4DCAE757D52}">
            <xm:f>'Sprachen &amp; Rückgabewerte(4)'!$L$51=0</xm:f>
            <x14:dxf>
              <border>
                <right style="thin">
                  <color rgb="FFFF0000"/>
                </right>
                <vertical/>
                <horizontal/>
              </border>
            </x14:dxf>
          </x14:cfRule>
          <xm:sqref>AT32:AT40</xm:sqref>
        </x14:conditionalFormatting>
        <x14:conditionalFormatting xmlns:xm="http://schemas.microsoft.com/office/excel/2006/main">
          <x14:cfRule type="expression" priority="223" id="{B0E048ED-A381-46B4-ABED-4448E5BC710E}">
            <xm:f>'Sprachen &amp; Rückgabewerte(4)'!$L$51=0</xm:f>
            <x14:dxf>
              <border>
                <bottom style="thin">
                  <color rgb="FFFF0000"/>
                </bottom>
                <vertical/>
                <horizontal/>
              </border>
            </x14:dxf>
          </x14:cfRule>
          <xm:sqref>AE40:AT40</xm:sqref>
        </x14:conditionalFormatting>
        <x14:conditionalFormatting xmlns:xm="http://schemas.microsoft.com/office/excel/2006/main">
          <x14:cfRule type="expression" priority="222" id="{250A6B5C-881E-4934-A835-33BE8E72708F}">
            <xm:f>'Sprachen &amp; Rückgabewerte(4)'!$L$52=0</xm:f>
            <x14:dxf>
              <border>
                <top style="thin">
                  <color rgb="FFFF0000"/>
                </top>
                <vertical/>
                <horizontal/>
              </border>
            </x14:dxf>
          </x14:cfRule>
          <xm:sqref>AE42:AT42</xm:sqref>
        </x14:conditionalFormatting>
        <x14:conditionalFormatting xmlns:xm="http://schemas.microsoft.com/office/excel/2006/main">
          <x14:cfRule type="expression" priority="221" id="{3AB0ED7C-48D5-4E58-A9E2-CB4DD57F6B83}">
            <xm:f>'Sprachen &amp; Rückgabewerte(4)'!$L$52=0</xm:f>
            <x14:dxf>
              <border>
                <right style="thin">
                  <color rgb="FFFF0000"/>
                </right>
                <vertical/>
                <horizontal/>
              </border>
            </x14:dxf>
          </x14:cfRule>
          <xm:sqref>AT42:AT50</xm:sqref>
        </x14:conditionalFormatting>
        <x14:conditionalFormatting xmlns:xm="http://schemas.microsoft.com/office/excel/2006/main">
          <x14:cfRule type="expression" priority="220" id="{CB5B8F9D-B2E2-42D3-8EB3-8569F94B7D60}">
            <xm:f>'Sprachen &amp; Rückgabewerte(4)'!$L$52=0</xm:f>
            <x14:dxf>
              <border>
                <bottom style="thin">
                  <color rgb="FFFF0000"/>
                </bottom>
                <vertical/>
                <horizontal/>
              </border>
            </x14:dxf>
          </x14:cfRule>
          <xm:sqref>AM50:AT50</xm:sqref>
        </x14:conditionalFormatting>
        <x14:conditionalFormatting xmlns:xm="http://schemas.microsoft.com/office/excel/2006/main">
          <x14:cfRule type="expression" priority="164" id="{E2DFEE0E-30B1-4FD6-803E-18F75ED86070}">
            <xm:f>OR('Sprachen &amp; Rückgabewerte(4)'!$I$36=TRUE,'Sprachen &amp; Rückgabewerte(4)'!$I$39=TRUE)</xm:f>
            <x14:dxf>
              <font>
                <color theme="1"/>
              </font>
            </x14:dxf>
          </x14:cfRule>
          <x14:cfRule type="expression" priority="219" id="{E59DA603-C14B-4E44-94BC-AB180D868872}">
            <xm:f>'Sprachen &amp; Rückgabewerte(4)'!$L$52=0</xm:f>
            <x14:dxf>
              <border>
                <bottom style="thin">
                  <color rgb="FFFF0000"/>
                </bottom>
                <vertical/>
                <horizontal/>
              </border>
            </x14:dxf>
          </x14:cfRule>
          <xm:sqref>AF48:AL50</xm:sqref>
        </x14:conditionalFormatting>
        <x14:conditionalFormatting xmlns:xm="http://schemas.microsoft.com/office/excel/2006/main">
          <x14:cfRule type="expression" priority="218" id="{25159CCB-944E-4D4E-802A-6E9770DE0A0F}">
            <xm:f>'Sprachen &amp; Rückgabewerte(4)'!$L$52=0</xm:f>
            <x14:dxf>
              <border>
                <bottom style="thin">
                  <color rgb="FFFF0000"/>
                </bottom>
                <vertical/>
                <horizontal/>
              </border>
            </x14:dxf>
          </x14:cfRule>
          <xm:sqref>AE50</xm:sqref>
        </x14:conditionalFormatting>
        <x14:conditionalFormatting xmlns:xm="http://schemas.microsoft.com/office/excel/2006/main">
          <x14:cfRule type="expression" priority="217" id="{20A32F07-43CC-449C-91AE-1B2F49E8E119}">
            <xm:f>'Sprachen &amp; Rückgabewerte(4)'!$L$53=0</xm:f>
            <x14:dxf>
              <border>
                <top style="thin">
                  <color rgb="FFFF0000"/>
                </top>
                <vertical/>
                <horizontal/>
              </border>
            </x14:dxf>
          </x14:cfRule>
          <xm:sqref>AE52:AT52</xm:sqref>
        </x14:conditionalFormatting>
        <x14:conditionalFormatting xmlns:xm="http://schemas.microsoft.com/office/excel/2006/main">
          <x14:cfRule type="expression" priority="216" id="{8A337C0A-0435-4023-BAA3-32F4F6E05585}">
            <xm:f>'Sprachen &amp; Rückgabewerte(4)'!$L$53=0</xm:f>
            <x14:dxf>
              <border>
                <right style="thin">
                  <color rgb="FFFF0000"/>
                </right>
                <vertical/>
                <horizontal/>
              </border>
            </x14:dxf>
          </x14:cfRule>
          <xm:sqref>AT52:AT58</xm:sqref>
        </x14:conditionalFormatting>
        <x14:conditionalFormatting xmlns:xm="http://schemas.microsoft.com/office/excel/2006/main">
          <x14:cfRule type="expression" priority="215" id="{EC149174-5569-43C9-9D69-3CBFF88500F8}">
            <xm:f>'Sprachen &amp; Rückgabewerte(4)'!$L$53=0</xm:f>
            <x14:dxf>
              <border>
                <bottom style="thin">
                  <color rgb="FFFF0000"/>
                </bottom>
                <vertical/>
                <horizontal/>
              </border>
            </x14:dxf>
          </x14:cfRule>
          <xm:sqref>AE58:AT58</xm:sqref>
        </x14:conditionalFormatting>
        <x14:conditionalFormatting xmlns:xm="http://schemas.microsoft.com/office/excel/2006/main">
          <x14:cfRule type="expression" priority="214" id="{D7D764EC-5326-4A46-A86E-F27EFFDF5744}">
            <xm:f>'Sprachen &amp; Rückgabewerte(4)'!$L$54=0</xm:f>
            <x14:dxf>
              <border>
                <top style="thin">
                  <color rgb="FFFF0000"/>
                </top>
                <vertical/>
                <horizontal/>
              </border>
            </x14:dxf>
          </x14:cfRule>
          <xm:sqref>AE60:AT60</xm:sqref>
        </x14:conditionalFormatting>
        <x14:conditionalFormatting xmlns:xm="http://schemas.microsoft.com/office/excel/2006/main">
          <x14:cfRule type="expression" priority="213" id="{3743B961-0E23-431C-B22E-0981EB5FBB5F}">
            <xm:f>'Sprachen &amp; Rückgabewerte(4)'!$L$54=0</xm:f>
            <x14:dxf>
              <border>
                <right style="thin">
                  <color rgb="FFFF0000"/>
                </right>
                <vertical/>
                <horizontal/>
              </border>
            </x14:dxf>
          </x14:cfRule>
          <xm:sqref>AT60:AT71</xm:sqref>
        </x14:conditionalFormatting>
        <x14:conditionalFormatting xmlns:xm="http://schemas.microsoft.com/office/excel/2006/main">
          <x14:cfRule type="expression" priority="212" id="{93B11450-CF0C-4B18-8EA9-88B47ED5ABC2}">
            <xm:f>'Sprachen &amp; Rückgabewerte(4)'!$L$54=0</xm:f>
            <x14:dxf>
              <border>
                <bottom style="thin">
                  <color rgb="FFFF0000"/>
                </bottom>
                <vertical/>
                <horizontal/>
              </border>
            </x14:dxf>
          </x14:cfRule>
          <xm:sqref>AE71:AT71</xm:sqref>
        </x14:conditionalFormatting>
        <x14:conditionalFormatting xmlns:xm="http://schemas.microsoft.com/office/excel/2006/main">
          <x14:cfRule type="expression" priority="211" id="{EBEBA7DC-6AC6-4001-B0BC-ABB70B1A429B}">
            <xm:f>'Sprachen &amp; Rückgabewerte(4)'!$L$55=0</xm:f>
            <x14:dxf>
              <border>
                <top style="thin">
                  <color rgb="FFFF0000"/>
                </top>
                <vertical/>
                <horizontal/>
              </border>
            </x14:dxf>
          </x14:cfRule>
          <xm:sqref>AE83:AT83</xm:sqref>
        </x14:conditionalFormatting>
        <x14:conditionalFormatting xmlns:xm="http://schemas.microsoft.com/office/excel/2006/main">
          <x14:cfRule type="expression" priority="210" id="{ECD4849F-1C75-4117-9785-B0CD053B51FE}">
            <xm:f>'Sprachen &amp; Rückgabewerte(4)'!$L$55=0</xm:f>
            <x14:dxf>
              <border>
                <right style="thin">
                  <color rgb="FFFF0000"/>
                </right>
                <vertical/>
                <horizontal/>
              </border>
            </x14:dxf>
          </x14:cfRule>
          <xm:sqref>AT83:AT93</xm:sqref>
        </x14:conditionalFormatting>
        <x14:conditionalFormatting xmlns:xm="http://schemas.microsoft.com/office/excel/2006/main">
          <x14:cfRule type="expression" priority="209" id="{A8CE7EB0-D35F-4278-B737-7F8D4EFC3055}">
            <xm:f>'Sprachen &amp; Rückgabewerte(4)'!$L$55=0</xm:f>
            <x14:dxf>
              <border>
                <bottom style="thin">
                  <color rgb="FFFF0000"/>
                </bottom>
                <vertical/>
                <horizontal/>
              </border>
            </x14:dxf>
          </x14:cfRule>
          <xm:sqref>AE93:AT93</xm:sqref>
        </x14:conditionalFormatting>
        <x14:conditionalFormatting xmlns:xm="http://schemas.microsoft.com/office/excel/2006/main">
          <x14:cfRule type="expression" priority="207" id="{DD5E9BF7-5BB4-4B86-9075-521358772420}">
            <xm:f>'Sprachen &amp; Rückgabewerte(4)'!$M$59=0</xm:f>
            <x14:dxf>
              <border>
                <right style="thin">
                  <color rgb="FFFF0000"/>
                </right>
                <vertical/>
                <horizontal/>
              </border>
            </x14:dxf>
          </x14:cfRule>
          <xm:sqref>AB86</xm:sqref>
        </x14:conditionalFormatting>
        <x14:conditionalFormatting xmlns:xm="http://schemas.microsoft.com/office/excel/2006/main">
          <x14:cfRule type="expression" priority="206" id="{74D449CE-F3AC-41EB-BA65-8CFA4A9891E5}">
            <xm:f>'Sprachen &amp; Rückgabewerte(4)'!$M$59=0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3" id="{DC22A365-AABE-4F30-8E09-55D035CC4C4A}">
            <xm:f>K$20='Sprachen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4" id="{4BB9F086-A8A2-4D44-9455-672E2BDD3B60}">
            <xm:f>K$20='Sprachen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1" id="{B12C18A1-DC7A-4785-9850-0DCF0CACF335}">
            <xm:f>O$20='Sprachen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2" id="{EA6D2F44-7436-433F-BE23-B3D6E3794654}">
            <xm:f>O$20='Sprachen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199" id="{DB8D7685-34EC-449A-8277-B7E476BF0BBD}">
            <xm:f>S$20='Sprachen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0" id="{2F3788CA-F2A8-4187-864C-FCF46561E915}">
            <xm:f>S$20='Sprachen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7" id="{84CB2557-1935-466D-BFF4-B75A6CF3A7AD}">
            <xm:f>W$20='Sprachen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8" id="{A5A70123-F492-418C-882C-D3866E95DA71}">
            <xm:f>W$20='Sprachen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5" id="{9E8A24C5-87C1-42C2-932B-23A600CEF1F1}">
            <xm:f>AA$20='Sprachen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6" id="{CE0D12EC-546C-44D3-90ED-D4619F3DB2BA}">
            <xm:f>AA$20='Sprachen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3" id="{53E23E67-6794-4365-8B29-C148D428CA81}">
            <xm:f>AE$20='Sprachen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4" id="{79474D2D-4A77-479D-B701-E9AD81E2F112}">
            <xm:f>AE$20='Sprachen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1" id="{364EAF35-8DBE-4D2B-8429-FE61420E0230}">
            <xm:f>AI$20='Sprachen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2" id="{F9537AC2-D558-468B-9A42-F033E26C797B}">
            <xm:f>AI$20='Sprachen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89" id="{D52F7282-231C-4405-8A49-178C6C153CC4}">
            <xm:f>AM$20='Sprachen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0" id="{7E4E3847-CA66-4F38-8568-925A246D81CD}">
            <xm:f>AM$20='Sprachen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8" id="{81B76634-D5C6-4B07-97EA-8DA013B0D9AD}">
            <xm:f>'Sprachen &amp; Rückgabewerte(4)'!$M$59=0</xm:f>
            <x14:dxf>
              <border>
                <top style="thin">
                  <color rgb="FFFF0000"/>
                </top>
                <vertical/>
                <horizontal/>
              </border>
            </x14:dxf>
          </x14:cfRule>
          <xm:sqref>L86:AB86</xm:sqref>
        </x14:conditionalFormatting>
        <x14:conditionalFormatting xmlns:xm="http://schemas.microsoft.com/office/excel/2006/main">
          <x14:cfRule type="expression" priority="187" id="{B9EA5D51-76DA-48FF-A3E3-93C4B206DB66}">
            <xm:f>'Sprachen &amp; Rückgabewerte(4)'!$M$59=0</xm:f>
            <x14:dxf>
              <border>
                <bottom style="thin">
                  <color rgb="FFFF0000"/>
                </bottom>
                <vertical/>
                <horizontal/>
              </border>
            </x14:dxf>
          </x14:cfRule>
          <xm:sqref>L97:AB97</xm:sqref>
        </x14:conditionalFormatting>
        <x14:conditionalFormatting xmlns:xm="http://schemas.microsoft.com/office/excel/2006/main">
          <x14:cfRule type="expression" priority="186" id="{4C011DE6-232B-4F96-ABAF-7B68B7E9773E}">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5" id="{1ADFAE1E-8665-49AA-886D-F55E6D623E66}">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4" id="{51FF4F03-5D8F-4B6A-940E-463ED4568D01}">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3" id="{5953D4FA-EF1D-4F7D-A0B1-F7E2D9FE128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2" id="{FD4E5B3F-CFC1-498E-9E1E-D61D14926282}">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1" id="{B4829FE5-EDA6-4A43-B2CC-13CF33FA448E}">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0" id="{F992394B-2FDB-4F68-BF38-762075CFEAB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79" id="{FAC90D7A-076D-4EC6-9683-DB1AD8E81FF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8" id="{6F82422B-67F4-4191-9B7D-CFBA9DE9FB1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7" id="{EDD03FD3-E7FB-4F7F-8302-E55DBD78E49A}">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6" id="{09A0060A-F7FA-4A78-BEAC-EDD997AA2F4D}">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5" id="{B84B32CE-3787-4F3F-A82B-AC62D80CF876}">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4" id="{BA80B0DB-9F62-4CC0-AAFE-D30B85E0E2AC}">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3" id="{B95B2AC7-946B-4727-8F77-DEFB6B78D044}">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2" id="{932C1625-2277-4231-A6D6-9E578AF297D7}">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1" id="{46D336FB-D8CE-463E-BC60-8E6941624311}">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0" id="{52812959-B721-4500-9EA2-B847B9BD7D40}">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68" id="{91CE46CB-3B36-479C-B3F2-1D80DB844461}">
            <xm:f>'Sprachen &amp; Rückgabewerte(4)'!$I$133=TRUE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15C9B86B-4BAD-43C1-B583-E8DBC8E12BF7}">
            <xm:f>AND($AL$39="",'Sprachen &amp; Rückgabewerte(4)'!$I$22=TRUE)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7" id="{A6CE7B13-9E9B-41B3-9ED4-099B1CB8DC00}">
            <xm:f>'Sprachen &amp; Rückgabewerte(4)'!$I$22=FALSE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5" id="{5EAB42DC-0F68-4CA8-9F69-9B001A12EE90}">
            <xm:f>'Sprachen &amp; Rückgabewerte(4)'!$I$36=FALSE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2" id="{6A6FD92E-EDE4-4F6C-8B07-0D7AA5653BE3}">
            <xm:f>'Sprachen &amp; Rückgabewerte(4)'!$I$39=FALSE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4" id="{F24A3182-6E4C-4A9B-BF8E-C06AB46CD77C}">
            <xm:f>AND('Sprachen &amp; Rückgabewerte(4)'!$I$36=FALSE,'Sprachen &amp; Rückgabewerte(4)'!$I$39=FALSE)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3" id="{A046312A-C700-46D6-864A-685D63B5A7DA}">
            <xm:f>'Sprachen &amp; Rückgabewerte(4)'!$I$45=FALSE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1" id="{EFDF76CD-7FCB-4E3F-B126-B60BD2C3F2F5}">
            <xm:f>'Sprachen &amp; Rückgabewerte(4)'!$L$67=TRUE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0" id="{15BCD903-44C2-4FC7-8F81-2DC5D0686043}">
            <xm:f>'Sprachen &amp; Rückgabewerte(4)'!$L$68=TRUE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6" id="{28637727-26FA-4D17-8622-C7C3AD32AFA5}">
            <xm:f>AND($AY$43&lt;&gt;0,'Sprachen &amp; Rückgabewerte(4)'!$I$19=TRUE)</xm:f>
            <x14:dxf>
              <border>
                <left style="thin">
                  <color rgb="FFFF0000"/>
                </left>
                <bottom/>
                <vertical/>
                <horizontal/>
              </border>
            </x14:dxf>
          </x14:cfRule>
          <x14:cfRule type="expression" priority="159" id="{BB595BAC-9A16-45F5-B36E-061DB76C67C5}">
            <xm:f>'Sprachen &amp; Rückgabewerte(4)'!$L$51=0</xm:f>
            <x14:dxf>
              <border>
                <left style="thin">
                  <color rgb="FFFF0000"/>
                </left>
                <vertical/>
                <horizontal/>
              </border>
            </x14:dxf>
          </x14:cfRule>
          <xm:sqref>AD32:AD40</xm:sqref>
        </x14:conditionalFormatting>
        <x14:conditionalFormatting xmlns:xm="http://schemas.microsoft.com/office/excel/2006/main">
          <x14:cfRule type="expression" priority="95" id="{36AD1D80-8568-49BB-A6BF-F98614930812}">
            <xm:f>AND($AY$43&lt;&gt;0,'Sprachen &amp; Rückgabewerte(4)'!$I$19=TRUE)</xm:f>
            <x14:dxf>
              <border>
                <bottom style="thin">
                  <color rgb="FFFF0000"/>
                </bottom>
                <vertical/>
                <horizontal/>
              </border>
            </x14:dxf>
          </x14:cfRule>
          <x14:cfRule type="expression" priority="158" id="{B8548BCF-1890-4C9F-9FD0-CA8FBE50BF0F}">
            <xm:f>'Sprachen &amp; Rückgabewerte(4)'!$L$51=0</xm:f>
            <x14:dxf>
              <border>
                <bottom style="thin">
                  <color rgb="FFFF0000"/>
                </bottom>
                <vertical/>
                <horizontal/>
              </border>
            </x14:dxf>
          </x14:cfRule>
          <xm:sqref>AD40</xm:sqref>
        </x14:conditionalFormatting>
        <x14:conditionalFormatting xmlns:xm="http://schemas.microsoft.com/office/excel/2006/main">
          <x14:cfRule type="expression" priority="157" id="{1A876147-7799-4386-A3F8-8CF269C59241}">
            <xm:f>'Sprachen &amp; Rückgabewerte(4)'!$L$51=0</xm:f>
            <x14:dxf>
              <border>
                <top style="thin">
                  <color rgb="FFFF0000"/>
                </top>
                <vertical/>
                <horizontal/>
              </border>
            </x14:dxf>
          </x14:cfRule>
          <xm:sqref>AD32</xm:sqref>
        </x14:conditionalFormatting>
        <x14:conditionalFormatting xmlns:xm="http://schemas.microsoft.com/office/excel/2006/main">
          <x14:cfRule type="expression" priority="156" id="{8D43A6E7-8727-4F2A-A2D6-58A49125B3D2}">
            <xm:f>'Sprachen &amp; Rückgabewerte(4)'!$L$52=0</xm:f>
            <x14:dxf>
              <border>
                <left style="thin">
                  <color rgb="FFFF0000"/>
                </left>
                <vertical/>
                <horizontal/>
              </border>
            </x14:dxf>
          </x14:cfRule>
          <xm:sqref>AD42:AD50</xm:sqref>
        </x14:conditionalFormatting>
        <x14:conditionalFormatting xmlns:xm="http://schemas.microsoft.com/office/excel/2006/main">
          <x14:cfRule type="expression" priority="155" id="{DE42C742-6B6D-491A-B97E-A9556E0E2E38}">
            <xm:f>'Sprachen &amp; Rückgabewerte(4)'!$L$52=0</xm:f>
            <x14:dxf>
              <border>
                <top style="thin">
                  <color rgb="FFFF0000"/>
                </top>
                <vertical/>
                <horizontal/>
              </border>
            </x14:dxf>
          </x14:cfRule>
          <xm:sqref>AD42</xm:sqref>
        </x14:conditionalFormatting>
        <x14:conditionalFormatting xmlns:xm="http://schemas.microsoft.com/office/excel/2006/main">
          <x14:cfRule type="expression" priority="154" id="{EDAB282C-0A99-4CB7-8D3F-684BD5A844BC}">
            <xm:f>'Sprachen &amp; Rückgabewerte(4)'!$L$52=0</xm:f>
            <x14:dxf>
              <border>
                <bottom style="thin">
                  <color rgb="FFFF0000"/>
                </bottom>
                <vertical/>
                <horizontal/>
              </border>
            </x14:dxf>
          </x14:cfRule>
          <xm:sqref>AD50</xm:sqref>
        </x14:conditionalFormatting>
        <x14:conditionalFormatting xmlns:xm="http://schemas.microsoft.com/office/excel/2006/main">
          <x14:cfRule type="expression" priority="153" id="{2CFA6515-7BB8-4443-A8BA-7CEE058B2E2D}">
            <xm:f>'Sprachen &amp; Rückgabewerte(4)'!$L$53=0</xm:f>
            <x14:dxf>
              <border>
                <left style="thin">
                  <color rgb="FFFF0000"/>
                </left>
                <vertical/>
                <horizontal/>
              </border>
            </x14:dxf>
          </x14:cfRule>
          <xm:sqref>AD52:AD58</xm:sqref>
        </x14:conditionalFormatting>
        <x14:conditionalFormatting xmlns:xm="http://schemas.microsoft.com/office/excel/2006/main">
          <x14:cfRule type="expression" priority="152" id="{FAC57BB4-D99E-4822-ADFC-D64F3149A111}">
            <xm:f>'Sprachen &amp; Rückgabewerte(4)'!$L$53=0</xm:f>
            <x14:dxf>
              <border>
                <top style="thin">
                  <color rgb="FFFF0000"/>
                </top>
                <vertical/>
                <horizontal/>
              </border>
            </x14:dxf>
          </x14:cfRule>
          <xm:sqref>AD52</xm:sqref>
        </x14:conditionalFormatting>
        <x14:conditionalFormatting xmlns:xm="http://schemas.microsoft.com/office/excel/2006/main">
          <x14:cfRule type="expression" priority="151" id="{FD917B13-8239-4EE8-9005-26070C7A36D7}">
            <xm:f>'Sprachen &amp; Rückgabewerte(4)'!$L$53=0</xm:f>
            <x14:dxf>
              <border>
                <bottom style="thin">
                  <color rgb="FFFF0000"/>
                </bottom>
                <vertical/>
                <horizontal/>
              </border>
            </x14:dxf>
          </x14:cfRule>
          <xm:sqref>AD58</xm:sqref>
        </x14:conditionalFormatting>
        <x14:conditionalFormatting xmlns:xm="http://schemas.microsoft.com/office/excel/2006/main">
          <x14:cfRule type="expression" priority="150" id="{C9CE3B72-4676-4169-BCC5-F379708AE238}">
            <xm:f>'Sprachen &amp; Rückgabewerte(4)'!$L$54=0</xm:f>
            <x14:dxf>
              <border>
                <left style="thin">
                  <color rgb="FFFF0000"/>
                </left>
                <vertical/>
                <horizontal/>
              </border>
            </x14:dxf>
          </x14:cfRule>
          <xm:sqref>AD60:AD71</xm:sqref>
        </x14:conditionalFormatting>
        <x14:conditionalFormatting xmlns:xm="http://schemas.microsoft.com/office/excel/2006/main">
          <x14:cfRule type="expression" priority="149" id="{42DD1814-72FF-46AF-99BD-5053AD12524E}">
            <xm:f>'Sprachen &amp; Rückgabewerte(4)'!$L$54=0</xm:f>
            <x14:dxf>
              <border>
                <top style="thin">
                  <color rgb="FFFF0000"/>
                </top>
                <vertical/>
                <horizontal/>
              </border>
            </x14:dxf>
          </x14:cfRule>
          <xm:sqref>AD60</xm:sqref>
        </x14:conditionalFormatting>
        <x14:conditionalFormatting xmlns:xm="http://schemas.microsoft.com/office/excel/2006/main">
          <x14:cfRule type="expression" priority="148" id="{076B0F4F-51D5-4B51-87C9-913224BAAE0B}">
            <xm:f>'Sprachen &amp; Rückgabewerte(4)'!$L$54=0</xm:f>
            <x14:dxf>
              <border>
                <bottom style="thin">
                  <color rgb="FFFF0000"/>
                </bottom>
                <vertical/>
                <horizontal/>
              </border>
            </x14:dxf>
          </x14:cfRule>
          <xm:sqref>AD71</xm:sqref>
        </x14:conditionalFormatting>
        <x14:conditionalFormatting xmlns:xm="http://schemas.microsoft.com/office/excel/2006/main">
          <x14:cfRule type="expression" priority="131" id="{E63B7554-C522-438E-A31B-3A3CACB6107C}">
            <xm:f>'Sprachen &amp; Rückgabewerte(4)'!$C$64=0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6" id="{DCA4A82D-43BB-4FD6-BF7E-B796FA5E929A}">
            <xm:f>'Sprachen &amp; Rückgabewerte(4)'!$L$55=0</xm:f>
            <x14:dxf>
              <border>
                <left style="thin">
                  <color rgb="FFFF0000"/>
                </left>
                <vertical/>
                <horizontal/>
              </border>
            </x14:dxf>
          </x14:cfRule>
          <xm:sqref>AD83:AD93</xm:sqref>
        </x14:conditionalFormatting>
        <x14:conditionalFormatting xmlns:xm="http://schemas.microsoft.com/office/excel/2006/main">
          <x14:cfRule type="expression" priority="145" id="{0275E70C-1ABE-4F0D-801D-1AC99741492A}">
            <xm:f>'Sprachen &amp; Rückgabewerte(4)'!$L$55=0</xm:f>
            <x14:dxf>
              <border>
                <top style="thin">
                  <color rgb="FFFF0000"/>
                </top>
                <vertical/>
                <horizontal/>
              </border>
            </x14:dxf>
          </x14:cfRule>
          <xm:sqref>AD83</xm:sqref>
        </x14:conditionalFormatting>
        <x14:conditionalFormatting xmlns:xm="http://schemas.microsoft.com/office/excel/2006/main">
          <x14:cfRule type="expression" priority="144" id="{A61344CB-65BA-42EF-B76F-FB87B7A26D8D}">
            <xm:f>'Sprachen &amp; Rückgabewerte(4)'!$L$55=0</xm:f>
            <x14:dxf>
              <border>
                <bottom style="thin">
                  <color rgb="FFFF0000"/>
                </bottom>
                <vertical/>
                <horizontal/>
              </border>
            </x14:dxf>
          </x14:cfRule>
          <xm:sqref>AD93</xm:sqref>
        </x14:conditionalFormatting>
        <x14:conditionalFormatting xmlns:xm="http://schemas.microsoft.com/office/excel/2006/main">
          <x14:cfRule type="expression" priority="122" id="{A35FA7D3-DC88-44CB-AFBF-6C8893830ABB}">
            <xm:f>AND($AE$85="",$AE$84='Sprachen &amp; Rückgabewerte(4)'!$H$89)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8" id="{C1DAA118-3445-435E-99FB-E396E33869D7}">
            <xm:f>$AE$84='Sprachen &amp; Rückgabewerte(4)'!$H$89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3" id="{B00D717B-2BAA-4CA1-8C6D-E45131B71F82}">
            <xm:f>'Sprachen &amp; Rückgabewerte(4)'!$M$62=2</xm:f>
            <x14:dxf>
              <border>
                <left style="thin">
                  <color rgb="FFFF0000"/>
                </left>
                <vertical/>
                <horizontal/>
              </border>
            </x14:dxf>
          </x14:cfRule>
          <x14:cfRule type="expression" priority="284" id="{C83711A9-AF1C-4709-91D2-EAD22783A59B}">
            <xm:f>'Sprachen &amp; Rückgabewerte(4)'!$M$62=3</xm:f>
            <x14:dxf>
              <border>
                <left style="thin">
                  <color rgb="FFFF0000"/>
                </left>
                <vertical/>
                <horizontal/>
              </border>
            </x14:dxf>
          </x14:cfRule>
          <x14:cfRule type="expression" priority="285" id="{A4EC5428-F387-4C96-AE89-3941EA4B20E1}">
            <xm:f>'Sprachen &amp; Rückgabewerte(4)'!$M$59=0</xm:f>
            <x14:dxf>
              <border>
                <left style="thin">
                  <color rgb="FFFF0000"/>
                </left>
                <vertical/>
                <horizontal/>
              </border>
            </x14:dxf>
          </x14:cfRule>
          <xm:sqref>L86:L97</xm:sqref>
        </x14:conditionalFormatting>
        <x14:conditionalFormatting xmlns:xm="http://schemas.microsoft.com/office/excel/2006/main">
          <x14:cfRule type="expression" priority="286" id="{28E854D0-CA7F-49BC-A7AF-717DBBE38583}">
            <xm:f>'Sprachen &amp; Rückgabewerte(4)'!$C$48=FALSE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8" id="{C7A21E70-0CB6-4782-8AC2-576CC6E14428}">
            <xm:f>'Sprachen &amp; Rückgabewerte(4)'!$M$62=3</xm:f>
            <x14:dxf>
              <border>
                <left style="thin">
                  <color rgb="FFFF0000"/>
                </left>
                <vertical/>
                <horizontal/>
              </border>
            </x14:dxf>
          </x14:cfRule>
          <x14:cfRule type="expression" priority="289" id="{6BDDEFF7-57B5-499E-BC37-55BAFFF8F270}">
            <xm:f>'Sprachen &amp; Rückgabewerte(4)'!$M$62=2</xm:f>
            <x14:dxf>
              <border>
                <left style="thin">
                  <color rgb="FFFF0000"/>
                </left>
                <vertical/>
                <horizontal/>
              </border>
            </x14:dxf>
          </x14:cfRule>
          <xm:sqref>C73:C97</xm:sqref>
        </x14:conditionalFormatting>
        <x14:conditionalFormatting xmlns:xm="http://schemas.microsoft.com/office/excel/2006/main">
          <x14:cfRule type="expression" priority="290" id="{784A5493-6873-473B-833D-50E1049591FB}">
            <xm:f>'Sprachen &amp; Rückgabewerte(4)'!$M$62=2</xm:f>
            <x14:dxf>
              <border>
                <top style="thin">
                  <color rgb="FFFF0000"/>
                </top>
                <vertical/>
                <horizontal/>
              </border>
            </x14:dxf>
          </x14:cfRule>
          <x14:cfRule type="expression" priority="291" id="{5774C880-769B-48F8-B6AC-2746A67193BD}">
            <xm:f>'Sprachen &amp; Rückgabewerte(4)'!$M$62=3</xm:f>
            <x14:dxf>
              <border>
                <top style="thin">
                  <color rgb="FFFF0000"/>
                </top>
                <vertical/>
                <horizontal/>
              </border>
            </x14:dxf>
          </x14:cfRule>
          <xm:sqref>C73:AB73</xm:sqref>
        </x14:conditionalFormatting>
        <x14:conditionalFormatting xmlns:xm="http://schemas.microsoft.com/office/excel/2006/main">
          <x14:cfRule type="expression" priority="292" id="{B3781773-A016-463E-B842-07655967579D}">
            <xm:f>'Sprachen &amp; Rückgabewerte(4)'!$M$62=2</xm:f>
            <x14:dxf>
              <border>
                <right style="thin">
                  <color rgb="FFFF0000"/>
                </right>
                <vertical/>
                <horizontal/>
              </border>
            </x14:dxf>
          </x14:cfRule>
          <x14:cfRule type="expression" priority="293" id="{09950914-3EC6-4F8C-A981-5073FB353612}">
            <xm:f>'Sprachen &amp; Rückgabewerte(4)'!$M$62=3</xm:f>
            <x14:dxf>
              <border>
                <right style="thin">
                  <color rgb="FFFF0000"/>
                </right>
                <vertical/>
                <horizontal/>
              </border>
            </x14:dxf>
          </x14:cfRule>
          <xm:sqref>AB73:AB85</xm:sqref>
        </x14:conditionalFormatting>
        <x14:conditionalFormatting xmlns:xm="http://schemas.microsoft.com/office/excel/2006/main">
          <x14:cfRule type="expression" priority="169" id="{3DBC0A0E-080C-45AB-9A9B-734ABDC2E995}">
            <xm:f>'Sprachen &amp; Rückgabewerte(4)'!$M$62=2</xm:f>
            <x14:dxf>
              <border>
                <bottom style="thin">
                  <color rgb="FFFF0000"/>
                </bottom>
                <vertical/>
                <horizontal/>
              </border>
            </x14:dxf>
          </x14:cfRule>
          <x14:cfRule type="expression" priority="205" id="{8BC17814-4D33-4A75-9993-CC69CF5FB8F4}">
            <xm:f>'Sprachen &amp; Rückgabewerte(4)'!$M$62=3</xm:f>
            <x14:dxf>
              <border>
                <bottom style="thin">
                  <color rgb="FFFF0000"/>
                </bottom>
                <vertical/>
                <horizontal/>
              </border>
            </x14:dxf>
          </x14:cfRule>
          <xm:sqref>L85:AB85</xm:sqref>
        </x14:conditionalFormatting>
        <x14:conditionalFormatting xmlns:xm="http://schemas.microsoft.com/office/excel/2006/main">
          <x14:cfRule type="expression" priority="296" id="{E32C50C6-C02F-4D93-9C8F-AA8D809128F4}">
            <xm:f>'Sprachen &amp; Rückgabewerte(4)'!$M$62=3</xm:f>
            <x14:dxf>
              <border>
                <bottom style="thin">
                  <color rgb="FFFF0000"/>
                </bottom>
                <vertical/>
                <horizontal/>
              </border>
            </x14:dxf>
          </x14:cfRule>
          <x14:cfRule type="expression" priority="297" id="{75FA752F-8621-492F-9127-F7FE77CED7D3}">
            <xm:f>'Sprachen &amp; Rückgabewerte(4)'!$M$62=2</xm:f>
            <x14:dxf>
              <border>
                <bottom style="thin">
                  <color rgb="FFFF0000"/>
                </bottom>
                <vertical/>
                <horizontal/>
              </border>
            </x14:dxf>
          </x14:cfRule>
          <xm:sqref>C97:K97</xm:sqref>
        </x14:conditionalFormatting>
        <x14:conditionalFormatting xmlns:xm="http://schemas.microsoft.com/office/excel/2006/main">
          <x14:cfRule type="expression" priority="298" id="{4E7871F5-F760-4CE8-9637-CE903BF716F1}">
            <xm:f>'Sprachen &amp; Rückgabewerte(4)'!$M$60=0</xm:f>
            <x14:dxf>
              <border>
                <left style="thin">
                  <color rgb="FFFF0000"/>
                </left>
                <vertical/>
                <horizontal/>
              </border>
            </x14:dxf>
          </x14:cfRule>
          <xm:sqref>M73:M85</xm:sqref>
        </x14:conditionalFormatting>
        <x14:conditionalFormatting xmlns:xm="http://schemas.microsoft.com/office/excel/2006/main">
          <x14:cfRule type="expression" priority="299" id="{8D7DC9E0-1479-4B4D-AD39-267B8D5BFDA3}">
            <xm:f>'Sprachen &amp; Rückgabewerte(4)'!$M$60=0</xm:f>
            <x14:dxf>
              <border>
                <top style="thin">
                  <color rgb="FFFF0000"/>
                </top>
                <vertical/>
                <horizontal/>
              </border>
            </x14:dxf>
          </x14:cfRule>
          <xm:sqref>M73:S73</xm:sqref>
        </x14:conditionalFormatting>
        <x14:conditionalFormatting xmlns:xm="http://schemas.microsoft.com/office/excel/2006/main">
          <x14:cfRule type="expression" priority="300" id="{4D04CA74-F563-4A03-9E1A-36D339BA0D19}">
            <xm:f>'Sprachen &amp; Rückgabewerte(4)'!$M$60=0</xm:f>
            <x14:dxf>
              <border>
                <right style="thin">
                  <color rgb="FFFF0000"/>
                </right>
                <vertical/>
                <horizontal/>
              </border>
            </x14:dxf>
          </x14:cfRule>
          <xm:sqref>S73:S85</xm:sqref>
        </x14:conditionalFormatting>
        <x14:conditionalFormatting xmlns:xm="http://schemas.microsoft.com/office/excel/2006/main">
          <x14:cfRule type="expression" priority="294" id="{65FBACDC-D9F4-40D7-8BD4-C1886FD860E9}">
            <xm:f>'Sprachen &amp; Rückgabewerte(4)'!$M$60=0</xm:f>
            <x14:dxf>
              <border>
                <bottom style="thin">
                  <color rgb="FFFF0000"/>
                </bottom>
                <vertical/>
                <horizontal/>
              </border>
            </x14:dxf>
          </x14:cfRule>
          <xm:sqref>M85:S85</xm:sqref>
        </x14:conditionalFormatting>
        <x14:conditionalFormatting xmlns:xm="http://schemas.microsoft.com/office/excel/2006/main">
          <x14:cfRule type="expression" priority="302" id="{B0DE1A85-74A6-428E-B8DE-45F2E9A7E485}">
            <xm:f>'Sprachen &amp; Rückgabewerte(4)'!$M$56=0</xm:f>
            <x14:dxf>
              <border>
                <left style="thin">
                  <color rgb="FFFF0000"/>
                </left>
                <vertical/>
                <horizontal/>
              </border>
            </x14:dxf>
          </x14:cfRule>
          <xm:sqref>C62:C72</xm:sqref>
        </x14:conditionalFormatting>
        <x14:conditionalFormatting xmlns:xm="http://schemas.microsoft.com/office/excel/2006/main">
          <x14:cfRule type="expression" priority="141" id="{C1A8BA3E-2311-4240-91A8-7DB4D4F1C2CA}">
            <xm:f>'Sprachen &amp; Rückgabewerte(4)'!$M$56=0</xm:f>
            <x14:dxf>
              <border>
                <bottom style="thin">
                  <color rgb="FFFF0000"/>
                </bottom>
                <vertical/>
                <horizontal/>
              </border>
            </x14:dxf>
          </x14:cfRule>
          <xm:sqref>C72:AB72</xm:sqref>
        </x14:conditionalFormatting>
        <x14:conditionalFormatting xmlns:xm="http://schemas.microsoft.com/office/excel/2006/main">
          <x14:cfRule type="expression" priority="304" id="{253873A6-A8AC-467E-A5F2-6DE6AAF58DED}">
            <xm:f>'Sprachen &amp; Rückgabewerte(4)'!$M$56=0</xm:f>
            <x14:dxf>
              <border>
                <right style="thin">
                  <color rgb="FFFF0000"/>
                </right>
                <vertical/>
                <horizontal/>
              </border>
            </x14:dxf>
          </x14:cfRule>
          <xm:sqref>AB62:AB72</xm:sqref>
        </x14:conditionalFormatting>
        <x14:conditionalFormatting xmlns:xm="http://schemas.microsoft.com/office/excel/2006/main">
          <x14:cfRule type="expression" priority="305" id="{4D12707D-FBA9-4204-BBB7-53CE63EAE898}">
            <xm:f>'Sprachen &amp; Rückgabewerte(4)'!$M$56=0</xm:f>
            <x14:dxf>
              <border>
                <top style="thin">
                  <color rgb="FFFF0000"/>
                </top>
                <vertical/>
                <horizontal/>
              </border>
            </x14:dxf>
          </x14:cfRule>
          <xm:sqref>C62:AB62</xm:sqref>
        </x14:conditionalFormatting>
        <x14:conditionalFormatting xmlns:xm="http://schemas.microsoft.com/office/excel/2006/main">
          <x14:cfRule type="expression" priority="127" id="{54398D15-9AD0-4372-8E01-93FD74852955}">
            <xm:f>'Sprachen &amp; Rückgabewerte(4)'!$M$66=FALSE</xm:f>
            <x14:dxf>
              <border>
                <left style="thin">
                  <color rgb="FFFF0000"/>
                </left>
                <vertical/>
                <horizontal/>
              </border>
            </x14:dxf>
          </x14:cfRule>
          <xm:sqref>AD73:AD81</xm:sqref>
        </x14:conditionalFormatting>
        <x14:conditionalFormatting xmlns:xm="http://schemas.microsoft.com/office/excel/2006/main">
          <x14:cfRule type="expression" priority="126" id="{4E53C1BB-A999-4C0E-9CA2-F105B135F83B}">
            <xm:f>'Sprachen &amp; Rückgabewerte(4)'!$M$66=FALSE</xm:f>
            <x14:dxf>
              <border>
                <top style="thin">
                  <color rgb="FFFF0000"/>
                </top>
                <vertical/>
                <horizontal/>
              </border>
            </x14:dxf>
          </x14:cfRule>
          <xm:sqref>AD73:AT73</xm:sqref>
        </x14:conditionalFormatting>
        <x14:conditionalFormatting xmlns:xm="http://schemas.microsoft.com/office/excel/2006/main">
          <x14:cfRule type="expression" priority="125" id="{ABE250F9-F47D-4FE2-B6F8-0FA30E9E6DBA}">
            <xm:f>'Sprachen &amp; Rückgabewerte(4)'!$M$66=FALSE</xm:f>
            <x14:dxf>
              <border>
                <right style="thin">
                  <color rgb="FFFF0000"/>
                </right>
                <vertical/>
                <horizontal/>
              </border>
            </x14:dxf>
          </x14:cfRule>
          <xm:sqref>AT73:AT81</xm:sqref>
        </x14:conditionalFormatting>
        <x14:conditionalFormatting xmlns:xm="http://schemas.microsoft.com/office/excel/2006/main">
          <x14:cfRule type="expression" priority="124" id="{F72F7F05-82A8-459B-AC16-3C3C4AA7B5BD}">
            <xm:f>'Sprachen &amp; Rückgabewerte(4)'!$M$66=FALSE</xm:f>
            <x14:dxf>
              <border>
                <bottom style="thin">
                  <color rgb="FFFF0000"/>
                </bottom>
                <vertical/>
                <horizontal/>
              </border>
            </x14:dxf>
          </x14:cfRule>
          <xm:sqref>AD81:AT81</xm:sqref>
        </x14:conditionalFormatting>
        <x14:conditionalFormatting xmlns:xm="http://schemas.microsoft.com/office/excel/2006/main">
          <x14:cfRule type="expression" priority="101" id="{236D4772-1B9A-489E-A7C4-9FF56256383E}">
            <xm:f>'Sprachen &amp; Rückgabewerte(4)'!$I$19=FALSE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8" id="{144691EF-CDA6-4AE2-9438-CDB4E80CA419}">
            <xm:f>'Sprachen &amp; Rückgabewerte(4)'!$I$13=FALSE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00" id="{415ED8FC-091D-4D31-91A5-6D80773A6C07}">
            <xm:f>AND($AY$43&lt;&gt;0,'Sprachen &amp; Rückgabewerte(4)'!$I$19=TRUE)</xm:f>
            <x14:dxf>
              <border>
                <top style="thin">
                  <color rgb="FFFF0000"/>
                </top>
                <vertical/>
                <horizontal/>
              </border>
            </x14:dxf>
          </x14:cfRule>
          <x14:cfRule type="expression" priority="105" id="{F457D292-E5BF-41DE-8A65-1EEC91C44BB6}">
            <xm:f>'Sprachen &amp; Rückgabewerte(4)'!$I$19=FALSE</xm:f>
            <x14:dxf>
              <border>
                <top/>
                <vertical/>
                <horizontal/>
              </border>
            </x14:dxf>
          </x14:cfRule>
          <xm:sqref>AU32:AV32</xm:sqref>
        </x14:conditionalFormatting>
        <x14:conditionalFormatting xmlns:xm="http://schemas.microsoft.com/office/excel/2006/main">
          <x14:cfRule type="expression" priority="104" id="{D98F8E1D-335C-4DFF-9565-22F770173A50}">
            <xm:f>AND($AY$43&lt;&gt;0,'Sprachen &amp; Rückgabewerte(4)'!$I$19=TRUE)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3" id="{59CDD599-3A4D-4F74-820C-0F29FB840BD3}">
            <xm:f>AND($AY$43&lt;&gt;0,'Sprachen &amp; Rückgabewerte(4)'!$I$19=TRUE)</xm:f>
            <x14:dxf>
              <border>
                <right style="thin">
                  <color rgb="FFFF0000"/>
                </right>
                <vertical/>
                <horizontal/>
              </border>
            </x14:dxf>
          </x14:cfRule>
          <xm:sqref>BA33:BA43</xm:sqref>
        </x14:conditionalFormatting>
        <x14:conditionalFormatting xmlns:xm="http://schemas.microsoft.com/office/excel/2006/main">
          <x14:cfRule type="expression" priority="102" id="{D29A1A89-69BE-400F-864D-BB72772451DF}">
            <xm:f>AND($AY$43&lt;&gt;0,'Sprachen &amp; Rückgabewerte(4)'!$I$19=TRUE)</xm:f>
            <x14:dxf>
              <border>
                <bottom style="thin">
                  <color rgb="FFFF0000"/>
                </bottom>
                <vertical/>
                <horizontal/>
              </border>
            </x14:dxf>
          </x14:cfRule>
          <xm:sqref>AW43:BA43</xm:sqref>
        </x14:conditionalFormatting>
        <x14:conditionalFormatting xmlns:xm="http://schemas.microsoft.com/office/excel/2006/main">
          <x14:cfRule type="expression" priority="106" id="{B0EE8E8E-A6AA-4093-8B82-B001725809B6}">
            <xm:f>AND($AY$43&lt;&gt;0,'Sprachen &amp; Rückgabewerte(4)'!$I$19=TRUE)</xm:f>
            <x14:dxf>
              <border>
                <left style="thin">
                  <color rgb="FFFF0000"/>
                </left>
                <vertical/>
                <horizontal/>
              </border>
            </x14:dxf>
          </x14:cfRule>
          <xm:sqref>AW33:AW43</xm:sqref>
        </x14:conditionalFormatting>
        <x14:conditionalFormatting xmlns:xm="http://schemas.microsoft.com/office/excel/2006/main">
          <x14:cfRule type="expression" priority="99" id="{06E4A271-CD3D-4836-A57E-9999B1C6C738}">
            <xm:f>AND($AY$43&lt;&gt;0,'Sprachen &amp; Rückgabewerte(4)'!$I$19=TRUE)</xm:f>
            <x14:dxf>
              <border>
                <top style="thin">
                  <color rgb="FFFF0000"/>
                </top>
                <vertical/>
                <horizontal/>
              </border>
            </x14:dxf>
          </x14:cfRule>
          <xm:sqref>AD32:AT32</xm:sqref>
        </x14:conditionalFormatting>
        <x14:conditionalFormatting xmlns:xm="http://schemas.microsoft.com/office/excel/2006/main">
          <x14:cfRule type="expression" priority="97" id="{669C7D63-450A-471B-A4FE-362D8A5569D7}">
            <xm:f>AND($AY$43&lt;&gt;0,'Sprachen &amp; Rückgabewerte(4)'!$I$19=TRUE)</xm:f>
            <x14:dxf>
              <border>
                <bottom style="thin">
                  <color rgb="FFFF0000"/>
                </bottom>
                <vertical/>
                <horizontal/>
              </border>
            </x14:dxf>
          </x14:cfRule>
          <xm:sqref>AD40:AT40</xm:sqref>
        </x14:conditionalFormatting>
        <x14:conditionalFormatting xmlns:xm="http://schemas.microsoft.com/office/excel/2006/main">
          <x14:cfRule type="expression" priority="94" id="{2A2DD469-31D3-4643-821A-A25293949EE4}">
            <xm:f>AND('Sprachen &amp; Rückgabewerte(4)'!$I$50=TRUE,'Sprachen &amp; Rückgabewerte(4)'!$C$95&lt;&gt;0)</xm:f>
            <x14:dxf>
              <border>
                <top style="thin">
                  <color rgb="FFFF0000"/>
                </top>
                <vertical/>
                <horizontal/>
              </border>
            </x14:dxf>
          </x14:cfRule>
          <xm:sqref>B101:AU101</xm:sqref>
        </x14:conditionalFormatting>
        <x14:conditionalFormatting xmlns:xm="http://schemas.microsoft.com/office/excel/2006/main">
          <x14:cfRule type="expression" priority="93" id="{05EF2C79-EF0C-47F5-B6A9-51498D09BB02}">
            <xm:f>AND('Sprachen &amp; Rückgabewerte(4)'!$I$50=TRUE,'Sprachen &amp; Rückgabewerte(4)'!$C$95&lt;&gt;0)</xm:f>
            <x14:dxf>
              <border>
                <right style="thin">
                  <color rgb="FFFF0000"/>
                </right>
                <vertical/>
                <horizontal/>
              </border>
            </x14:dxf>
          </x14:cfRule>
          <xm:sqref>AU101:AU136</xm:sqref>
        </x14:conditionalFormatting>
        <x14:conditionalFormatting xmlns:xm="http://schemas.microsoft.com/office/excel/2006/main">
          <x14:cfRule type="expression" priority="92" id="{99419BF2-431B-4569-B072-FFED964136AD}">
            <xm:f>AND('Sprachen &amp; Rückgabewerte(4)'!$I$50=TRUE,'Sprachen &amp; Rückgabewerte(4)'!$C$95&lt;&gt;0)</xm:f>
            <x14:dxf>
              <border>
                <bottom style="thin">
                  <color rgb="FFFF0000"/>
                </bottom>
                <vertical/>
                <horizontal/>
              </border>
            </x14:dxf>
          </x14:cfRule>
          <xm:sqref>B136:AU136</xm:sqref>
        </x14:conditionalFormatting>
        <x14:conditionalFormatting xmlns:xm="http://schemas.microsoft.com/office/excel/2006/main">
          <x14:cfRule type="expression" priority="91" id="{C1A131B8-CA0D-4F04-8448-75DAB33739C5}">
            <xm:f>AND('Sprachen &amp; Rückgabewerte(4)'!$I$50=TRUE,'Sprachen &amp; Rückgabewerte(4)'!$C$95&lt;&gt;0)</xm:f>
            <x14:dxf>
              <border>
                <left style="thin">
                  <color rgb="FFFF0000"/>
                </left>
                <vertical/>
                <horizontal/>
              </border>
            </x14:dxf>
          </x14:cfRule>
          <xm:sqref>B101:B136</xm:sqref>
        </x14:conditionalFormatting>
        <x14:conditionalFormatting xmlns:xm="http://schemas.microsoft.com/office/excel/2006/main">
          <x14:cfRule type="expression" priority="90" id="{9D428B5A-E339-486C-9D0F-F8B826D5E6D2}">
            <xm:f>AND('Sprachen &amp; Rückgabewerte(4)'!$I$50=TRUE,'Sprachen &amp; Rückgabewerte(4)'!$C$95&lt;&gt;0)</xm:f>
            <x14:dxf>
              <border>
                <top style="thin">
                  <color rgb="FFFF0000"/>
                </top>
                <bottom/>
                <vertical/>
                <horizontal/>
              </border>
            </x14:dxf>
          </x14:cfRule>
          <xm:sqref>AV101</xm:sqref>
        </x14:conditionalFormatting>
        <x14:conditionalFormatting xmlns:xm="http://schemas.microsoft.com/office/excel/2006/main">
          <x14:cfRule type="expression" priority="86" id="{CC07CEBA-4DA2-47F2-8C6A-9840452776E3}">
            <xm:f>'Sprachen &amp; Rückgabewerte(4)'!$I$50=FALSE</xm:f>
            <x14:dxf>
              <border>
                <right/>
                <vertical/>
                <horizontal/>
              </border>
            </x14:dxf>
          </x14:cfRule>
          <x14:cfRule type="expression" priority="89" id="{ECBDBE71-19AA-44A6-B813-8058980332C4}">
            <xm:f>AND('Sprachen &amp; Rückgabewerte(4)'!$I$50=TRUE,'Sprachen &amp; Rückgabewerte(4)'!$C$95&lt;&gt;0)</xm:f>
            <x14:dxf>
              <border>
                <right style="thin">
                  <color rgb="FFFF0000"/>
                </right>
                <vertical/>
                <horizontal/>
              </border>
            </x14:dxf>
          </x14:cfRule>
          <xm:sqref>AV84:AV100</xm:sqref>
        </x14:conditionalFormatting>
        <x14:conditionalFormatting xmlns:xm="http://schemas.microsoft.com/office/excel/2006/main">
          <x14:cfRule type="expression" priority="87" id="{22D8E0B9-9457-4DE4-9920-5C621B5FB21B}">
            <xm:f>'Sprachen &amp; Rückgabewerte(4)'!$I$50=FALSE</xm:f>
            <x14:dxf>
              <border>
                <top/>
                <vertical/>
                <horizontal/>
              </border>
            </x14:dxf>
          </x14:cfRule>
          <x14:cfRule type="expression" priority="88" id="{81AA5D93-98E6-49EA-9504-9D80DB0D321B}">
            <xm:f>AND('Sprachen &amp; Rückgabewerte(4)'!$I$50=TRUE,'Sprachen &amp; Rückgabewerte(4)'!$C$95&lt;&gt;0)</xm:f>
            <x14:dxf>
              <border>
                <top style="thin">
                  <color rgb="FFFF0000"/>
                </top>
                <vertical/>
                <horizontal/>
              </border>
            </x14:dxf>
          </x14:cfRule>
          <xm:sqref>AU84:AV84</xm:sqref>
        </x14:conditionalFormatting>
        <x14:conditionalFormatting xmlns:xm="http://schemas.microsoft.com/office/excel/2006/main">
          <x14:cfRule type="expression" priority="85" id="{12F00441-8E7E-44E6-A861-1A1B1479E0A1}">
            <xm:f>'Sprachen &amp; Rückgabewerte(4)'!$I$50=FALSE</xm:f>
            <x14:dxf>
              <border>
                <bottom/>
                <vertical/>
                <horizontal/>
              </border>
            </x14:dxf>
          </x14:cfRule>
          <xm:sqref>AV100</xm:sqref>
        </x14:conditionalFormatting>
        <x14:conditionalFormatting xmlns:xm="http://schemas.microsoft.com/office/excel/2006/main">
          <x14:cfRule type="expression" priority="74" id="{7F1B0DDF-62D1-459B-A38E-1468D29B032D}">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6" id="{61FE9521-2549-41FE-AFB0-7B2E4011F414}">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87128B0D-1D77-46F0-9195-CF0F98E00462}">
            <xm:f>'Sprachen &amp; Rückgabewerte(4)'!$S$41=1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8" id="{E760B58C-5207-45F4-BFCB-3B939C700D8D}">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9" id="{1C6006AD-EC86-4274-B283-CED80713A4DA}">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0" id="{C2F7395F-4D13-4090-A791-BFDD92E731ED}">
            <xm:f>'Sprachen &amp; Rückgabewerte(4)'!$S$41=3</xm:f>
            <x14:dxf>
              <font>
                <b/>
                <i val="0"/>
                <color theme="1"/>
              </font>
            </x14:dxf>
          </x14:cfRule>
          <x14:cfRule type="expression" priority="311" id="{6DB08C42-6C77-4096-B421-600C7A36DA36}">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2" id="{42E99149-32E0-4136-8893-31FABE93C139}">
            <xm:f>'Sprachen &amp; Rückgabewerte(4)'!$S$41=3</xm:f>
            <x14:dxf>
              <font>
                <b/>
                <i val="0"/>
                <color theme="1"/>
              </font>
            </x14:dxf>
          </x14:cfRule>
          <xm:sqref>L46</xm:sqref>
        </x14:conditionalFormatting>
        <x14:conditionalFormatting xmlns:xm="http://schemas.microsoft.com/office/excel/2006/main">
          <x14:cfRule type="expression" priority="313" id="{2131DF41-5912-4972-A459-1A6727DD230B}">
            <xm:f>'Sprachen &amp; Rückgabewerte(4)'!$S$41=2</xm:f>
            <x14:dxf>
              <font>
                <b/>
                <i val="0"/>
                <color theme="1"/>
              </font>
            </x14:dxf>
          </x14:cfRule>
          <x14:cfRule type="expression" priority="314" id="{8249A049-4A38-4159-A711-0FF31D55CDBE}">
            <xm:f>'Sprachen &amp; Rückgabewerte(4)'!$S$41=3</xm:f>
            <x14:dxf>
              <font>
                <b/>
                <i val="0"/>
                <color theme="1"/>
              </font>
            </x14:dxf>
          </x14:cfRule>
          <xm:sqref>L47</xm:sqref>
        </x14:conditionalFormatting>
        <x14:conditionalFormatting xmlns:xm="http://schemas.microsoft.com/office/excel/2006/main">
          <x14:cfRule type="expression" priority="315" id="{7C982E5F-BD3F-461F-BB92-AB91FB2686F7}">
            <xm:f>'Sprachen &amp; Rückgabewerte(4)'!$S$41=3</xm:f>
            <x14:dxf>
              <font>
                <b/>
                <i val="0"/>
                <color theme="1"/>
              </font>
            </x14:dxf>
          </x14:cfRule>
          <x14:cfRule type="expression" priority="316" id="{AE21C324-DB7C-48A0-AC49-6B1BA232EBCD}">
            <xm:f>'Sprachen &amp; Rückgabewerte(4)'!$S$41=2</xm:f>
            <x14:dxf>
              <font>
                <b/>
                <i val="0"/>
                <color theme="1"/>
              </font>
            </x14:dxf>
          </x14:cfRule>
          <x14:cfRule type="expression" priority="317" id="{940621FD-7FD9-44D5-90BB-9B2A3B37EE12}">
            <xm:f>'Sprachen &amp; Rückgabewerte(4)'!$S$41=1</xm:f>
            <x14:dxf>
              <font>
                <b/>
                <i val="0"/>
                <color theme="1"/>
              </font>
            </x14:dxf>
          </x14:cfRule>
          <xm:sqref>L48</xm:sqref>
        </x14:conditionalFormatting>
        <x14:conditionalFormatting xmlns:xm="http://schemas.microsoft.com/office/excel/2006/main">
          <x14:cfRule type="expression" priority="82" id="{5D662A62-1DFC-4986-B9E2-60FE3E28BC63}">
            <xm:f>'Sprachen &amp; Rückgabewerte(4)'!$M$71=0</xm:f>
            <x14:dxf>
              <border>
                <top style="thin">
                  <color rgb="FFFF0000"/>
                </top>
                <vertical/>
                <horizontal/>
              </border>
            </x14:dxf>
          </x14:cfRule>
          <xm:sqref>AW45:AX45</xm:sqref>
        </x14:conditionalFormatting>
        <x14:conditionalFormatting xmlns:xm="http://schemas.microsoft.com/office/excel/2006/main">
          <x14:cfRule type="expression" priority="81" id="{E09D2290-B790-4879-B132-D4FA382FF79B}">
            <xm:f>'Sprachen &amp; Rückgabewerte(4)'!$M$71=0</xm:f>
            <x14:dxf>
              <border>
                <right style="thin">
                  <color rgb="FFFF0000"/>
                </right>
                <vertical/>
                <horizontal/>
              </border>
            </x14:dxf>
          </x14:cfRule>
          <xm:sqref>AX45:AX47 AW48:AX48 AX49</xm:sqref>
        </x14:conditionalFormatting>
        <x14:conditionalFormatting xmlns:xm="http://schemas.microsoft.com/office/excel/2006/main">
          <x14:cfRule type="expression" priority="80" id="{19AAD1C7-FDA7-433D-AE84-A56136A71016}">
            <xm:f>'Sprachen &amp; Rückgabewerte(4)'!$M$71=0</xm:f>
            <x14:dxf>
              <border>
                <bottom style="thin">
                  <color rgb="FFFF0000"/>
                </bottom>
                <vertical/>
                <horizontal/>
              </border>
            </x14:dxf>
          </x14:cfRule>
          <xm:sqref>AW49:AX49</xm:sqref>
        </x14:conditionalFormatting>
        <x14:conditionalFormatting xmlns:xm="http://schemas.microsoft.com/office/excel/2006/main">
          <x14:cfRule type="expression" priority="79" id="{6EBD597C-F187-4460-BAB3-0E0626FA11C6}">
            <xm:f>'Sprachen &amp; Rückgabewerte(4)'!$M$71=0</xm:f>
            <x14:dxf>
              <border>
                <left style="thin">
                  <color rgb="FFFF0000"/>
                </left>
                <vertical/>
                <horizontal/>
              </border>
            </x14:dxf>
          </x14:cfRule>
          <xm:sqref>AW49 AW48:AX48 AW45:AW47</xm:sqref>
        </x14:conditionalFormatting>
        <x14:conditionalFormatting xmlns:xm="http://schemas.microsoft.com/office/excel/2006/main">
          <x14:cfRule type="expression" priority="76" id="{18DDE2C7-A0F4-44DB-87BD-F052586132B8}">
            <xm:f>'Sprachen &amp; Rückgabewerte(4)'!$L$71=1</xm:f>
            <x14:dxf>
              <font>
                <color theme="0" tint="-0.14996795556505021"/>
              </font>
              <fill>
                <patternFill>
                  <bgColor theme="0" tint="-0.14996795556505021"/>
                </patternFill>
              </fill>
              <border>
                <top/>
                <vertical/>
                <horizontal/>
              </border>
            </x14:dxf>
          </x14:cfRule>
          <x14:cfRule type="expression" priority="78" id="{5D471AFB-E25F-4C06-92CD-C90497EECAF9}">
            <xm:f>'Sprachen &amp; Rückgabewerte(4)'!$M$71=0</xm:f>
            <x14:dxf>
              <border>
                <top style="thin">
                  <color rgb="FFFF0000"/>
                </top>
                <vertical/>
                <horizontal/>
              </border>
            </x14:dxf>
          </x14:cfRule>
          <xm:sqref>AU45:AV45</xm:sqref>
        </x14:conditionalFormatting>
        <x14:conditionalFormatting xmlns:xm="http://schemas.microsoft.com/office/excel/2006/main">
          <x14:cfRule type="expression" priority="77" id="{4EE9BFCD-A757-4D80-8ECE-EEB8CC40C182}">
            <xm:f>'Sprachen &amp; Rückgabewerte(4)'!$L$71=1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6" id="{2D77B488-1705-442C-865B-AA48167F375B}">
            <xm:f>'Sprachen &amp; Rückgabewerte(4)'!$I$50=FALSE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5" id="{E8345BE4-5045-4637-B3F6-B089F9731D54}">
            <xm:f>'Sprachen &amp; Rückgabewerte(4)'!$I$50=FALSE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4" id="{AAC22AA2-157E-478A-A4A0-39F88BFDDACD}">
            <xm:f>$AX$19='Sprachen &amp; Rückgabewerte(4)'!$H$155</xm:f>
            <x14:dxf>
              <font>
                <color rgb="FFFF0000"/>
              </font>
            </x14:dxf>
          </x14:cfRule>
          <xm:sqref>AX19:BA20</xm:sqref>
        </x14:conditionalFormatting>
        <x14:conditionalFormatting xmlns:xm="http://schemas.microsoft.com/office/excel/2006/main">
          <x14:cfRule type="expression" priority="51" id="{7ABFB12C-5F0E-454F-9BF1-C6A94CAB2766}">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5" id="{CF3DA500-FEF1-4A34-B426-6BEF731B7D35}">
            <xm:f>$AN$80&lt;&gt;'Sprachen &amp; Rückgabewerte(4)'!$H$85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4" id="{3D463646-065A-463A-A474-6C83081DE6AE}">
            <xm:f>$AN$80&lt;&gt;'Sprachen &amp; Rückgabewerte(4)'!$H$86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9" id="{0C263B87-5AB0-4F24-8D75-443F85A9CAFC}">
            <xm:f>'Sprachen &amp; Rückgabewerte(4)'!$I$5=FALSE</xm:f>
            <x14:dxf>
              <font>
                <color theme="0" tint="-0.14996795556505021"/>
              </font>
              <fill>
                <patternFill>
                  <bgColor theme="0" tint="-0.14996795556505021"/>
                </patternFill>
              </fill>
              <border>
                <left/>
                <right/>
                <top/>
                <bottom/>
              </border>
            </x14:dxf>
          </x14:cfRule>
          <xm:sqref>M6:Q6</xm:sqref>
        </x14:conditionalFormatting>
        <x14:conditionalFormatting xmlns:xm="http://schemas.microsoft.com/office/excel/2006/main">
          <x14:cfRule type="expression" priority="38" id="{7BA21D5A-E235-479E-9710-A8BE4B19E9CA}">
            <xm:f>'Sprachen &amp; Rückgabewerte(4)'!$U$49=FALSE</xm:f>
            <x14:dxf>
              <border>
                <top style="thin">
                  <color rgb="FFFF0000"/>
                </top>
                <vertical/>
                <horizontal/>
              </border>
            </x14:dxf>
          </x14:cfRule>
          <xm:sqref>E23:AR23</xm:sqref>
        </x14:conditionalFormatting>
        <x14:conditionalFormatting xmlns:xm="http://schemas.microsoft.com/office/excel/2006/main">
          <x14:cfRule type="expression" priority="37" id="{63EE0280-750D-422F-BCC6-90BB3DE88500}">
            <xm:f>'Sprachen &amp; Rückgabewerte(4)'!$U$49=FALSE</xm:f>
            <x14:dxf>
              <border>
                <left style="thin">
                  <color rgb="FFFF0000"/>
                </left>
                <vertical/>
                <horizontal/>
              </border>
            </x14:dxf>
          </x14:cfRule>
          <xm:sqref>E23:H25</xm:sqref>
        </x14:conditionalFormatting>
        <x14:conditionalFormatting xmlns:xm="http://schemas.microsoft.com/office/excel/2006/main">
          <x14:cfRule type="expression" priority="35" id="{FF72B51D-B71A-4FFA-AE20-F06234B7AFBE}">
            <xm:f>'Sprachen &amp; Rückgabewerte(4)'!$U$49=FALSE</xm:f>
            <x14:dxf>
              <border>
                <right style="thin">
                  <color rgb="FFFF0000"/>
                </right>
                <vertical/>
                <horizontal/>
              </border>
            </x14:dxf>
          </x14:cfRule>
          <xm:sqref>AO23:AR25</xm:sqref>
        </x14:conditionalFormatting>
        <x14:conditionalFormatting xmlns:xm="http://schemas.microsoft.com/office/excel/2006/main">
          <x14:cfRule type="expression" priority="34" id="{DCA01141-4E89-48FE-AA1F-D8C1D226A1FC}">
            <xm:f>'Sprachen &amp; Rückgabewerte(4)'!$I$39=FALSE</xm:f>
            <x14:dxf>
              <font>
                <color theme="0" tint="-0.14996795556505021"/>
              </font>
              <fill>
                <patternFill>
                  <bgColor theme="0" tint="-0.14996795556505021"/>
                </patternFill>
              </fill>
              <border>
                <left/>
                <right/>
                <top/>
                <bottom/>
                <vertical/>
                <horizontal/>
              </border>
            </x14:dxf>
          </x14:cfRule>
          <xm:sqref>AG46</xm:sqref>
        </x14:conditionalFormatting>
        <x14:conditionalFormatting xmlns:xm="http://schemas.microsoft.com/office/excel/2006/main">
          <x14:cfRule type="expression" priority="33" id="{642672D2-7D47-49B9-95B7-2EFAC8E41D9D}">
            <xm:f>'Sprachen &amp; Rückgabewerte(4)'!$I$39=FALSE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0" id="{61C3A727-EF12-42F3-9DBB-605B74A8BB5F}">
            <xm:f>'Sprachen &amp; Rückgabewerte(4)'!$I$39=FALSE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29" id="{BD9CF597-2F95-48C4-B3E3-0C99F0B20389}">
            <xm:f>AND('Sprachen &amp; Rückgabewerte(4)'!$C$16=1,$F$16="")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8" id="{838D0391-2D62-46C8-B1FD-5C294DBF156A}">
            <xm:f>AND('Sprachen &amp; Rückgabewerte(4)'!$C$17=1,$J$16="")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7" id="{C5B9F464-70F2-4D08-9B1E-7EC4A5D346C9}">
            <xm:f>AND('Sprachen &amp; Rückgabewerte(4)'!$C$18=1,$N$16="")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6" id="{94B5AE1C-0EE0-4F1F-A4A2-B52BB67BB256}">
            <xm:f>AND('Sprachen &amp; Rückgabewerte(4)'!$C$19=1,$R$16="")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5" id="{3EA893CC-50C1-4FED-823D-C56F805A6475}">
            <xm:f>AND('Sprachen &amp; Rückgabewerte(4)'!$C$20=1,$V$16="")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4" id="{69D898F8-3A3A-4C2B-8F59-A20DA081DD34}">
            <xm:f>AND('Sprachen &amp; Rückgabewerte(4)'!$C$21=1,$Z$16="")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3" id="{4167F1C0-BEC3-48A5-8BEE-3E9B8470BFE4}">
            <xm:f>AND('Sprachen &amp; Rückgabewerte(4)'!$C$22=1,$AD$16="")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2" id="{7AF0974B-6AFD-4DFA-800B-9A1252C3F4B4}">
            <xm:f>AND('Sprachen &amp; Rückgabewerte(4)'!$C$23=1,$AH$16="")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1" id="{5FA3E327-5125-45C6-A1B2-D82E5BE87BE2}">
            <xm:f>AND('Sprachen &amp; Rückgabewerte(4)'!$C$24=1,$AL$16="")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0" id="{AF5913F4-54F9-4EFD-AD6B-CF1F736E30B8}">
            <xm:f>AND('Sprachen &amp; Rückgabewerte(4)'!$C$25=1,$AP$16="")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19" id="{C2C714DF-E326-4C6C-9A08-79F7970CBE79}">
            <xm:f>'Sprachen &amp; Rückgabewerte(4)'!$I$71=FALSE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8" id="{B3D650E5-A873-4AF1-9050-8BF62B9A1A88}">
            <xm:f>AND('Sprachen &amp; Rückgabewerte(4)'!$I$71=TRUE,$AP$74="",$AP$75="",$AP$76="")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5" id="{E8AE5DC4-339B-44D5-95FF-7601E668FB16}">
            <xm:f>OR($AQ$96='Sprachen &amp; Rückgabewerte(4)'!$H$96,$AQ$96="")</xm:f>
            <x14:dxf>
              <border>
                <bottom/>
                <vertical/>
                <horizontal/>
              </border>
            </x14:dxf>
          </x14:cfRule>
          <x14:cfRule type="expression" priority="16" id="{3690A052-88C5-412A-9629-8DA97565C94A}">
            <xm:f>AND($AQ$96='Sprachen &amp; Rückgabewerte(4)'!$H$95,$AW$96="")</xm:f>
            <x14:dxf>
              <border>
                <bottom style="thin">
                  <color rgb="FFFF0000"/>
                </bottom>
                <vertical/>
                <horizontal/>
              </border>
            </x14:dxf>
          </x14:cfRule>
          <xm:sqref>AS96:AV96</xm:sqref>
        </x14:conditionalFormatting>
        <x14:conditionalFormatting xmlns:xm="http://schemas.microsoft.com/office/excel/2006/main">
          <x14:cfRule type="expression" priority="13" id="{A7EDABDE-A3EA-4F08-9CE3-CF24E24E30D1}">
            <xm:f>OR($AQ$96='Sprachen &amp; Rückgabewerte(4)'!$H$96,$AQ$96="")</xm:f>
            <x14:dxf>
              <font>
                <color theme="0" tint="-0.14996795556505021"/>
              </font>
              <fill>
                <patternFill>
                  <bgColor theme="0" tint="-0.14996795556505021"/>
                </patternFill>
              </fill>
              <border>
                <left/>
                <right/>
                <top/>
                <bottom/>
                <vertical/>
                <horizontal/>
              </border>
            </x14:dxf>
          </x14:cfRule>
          <x14:cfRule type="expression" priority="14" id="{1B2EB75A-9F98-4D43-AB89-D6D53A074600}">
            <xm:f>AND($AQ$96='Sprachen &amp; Rückgabewerte(4)'!$H$95,$AW$96="")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2" id="{3F3EE1F7-954A-4428-8A5C-96606326458A}">
            <xm:f>OR($AQ$96='Sprachen &amp; Rückgabewerte(4)'!$H$96,$AQ$96="")</xm:f>
            <x14:dxf>
              <font>
                <color theme="0" tint="-0.14996795556505021"/>
              </font>
              <fill>
                <patternFill>
                  <bgColor theme="0" tint="-0.14996795556505021"/>
                </patternFill>
              </fill>
            </x14:dxf>
          </x14:cfRule>
          <xm:sqref>AW95</xm:sqref>
        </x14:conditionalFormatting>
        <x14:conditionalFormatting xmlns:xm="http://schemas.microsoft.com/office/excel/2006/main">
          <x14:cfRule type="expression" priority="11" id="{CC177C84-207C-4FF7-A9C1-12247F52611E}">
            <xm:f>'Sprachen &amp; Rückgabewerte(4)'!$W$68&gt;0</xm:f>
            <x14:dxf>
              <border>
                <bottom style="thin">
                  <color rgb="FFFF0000"/>
                </bottom>
                <vertical/>
                <horizontal/>
              </border>
            </x14:dxf>
          </x14:cfRule>
          <xm:sqref>AD97:AT97</xm:sqref>
        </x14:conditionalFormatting>
        <x14:conditionalFormatting xmlns:xm="http://schemas.microsoft.com/office/excel/2006/main">
          <x14:cfRule type="expression" priority="10" id="{8367803A-92C2-4064-BCDD-269216711CA6}">
            <xm:f>'Sprachen &amp; Rückgabewerte(4)'!$W$68&gt;0</xm:f>
            <x14:dxf>
              <border>
                <top style="thin">
                  <color rgb="FFFF0000"/>
                </top>
                <vertical/>
                <horizontal/>
              </border>
            </x14:dxf>
          </x14:cfRule>
          <xm:sqref>AD95:AT95</xm:sqref>
        </x14:conditionalFormatting>
        <x14:conditionalFormatting xmlns:xm="http://schemas.microsoft.com/office/excel/2006/main">
          <x14:cfRule type="expression" priority="9" id="{AEADA126-4C62-4429-8374-88CA236A04B8}">
            <xm:f>'Sprachen &amp; Rückgabewerte(4)'!$W$68&gt;0</xm:f>
            <x14:dxf>
              <border>
                <left style="thin">
                  <color rgb="FFFF0000"/>
                </left>
                <vertical/>
                <horizontal/>
              </border>
            </x14:dxf>
          </x14:cfRule>
          <xm:sqref>AD95:AD97</xm:sqref>
        </x14:conditionalFormatting>
        <x14:conditionalFormatting xmlns:xm="http://schemas.microsoft.com/office/excel/2006/main">
          <x14:cfRule type="expression" priority="8" id="{8E572819-BCF9-438F-AAF5-BD8F4C44A9C5}">
            <xm:f>'Sprachen &amp; Rückgabewerte(4)'!$W$68&gt;0</xm:f>
            <x14:dxf>
              <border>
                <right style="thin">
                  <color rgb="FFFF0000"/>
                </right>
                <vertical/>
                <horizontal/>
              </border>
            </x14:dxf>
          </x14:cfRule>
          <xm:sqref>AT95:AT97</xm:sqref>
        </x14:conditionalFormatting>
        <x14:conditionalFormatting xmlns:xm="http://schemas.microsoft.com/office/excel/2006/main">
          <x14:cfRule type="expression" priority="4" id="{4BE482EF-DEAC-4758-A63A-2C336882343A}">
            <xm:f>'Sprachen &amp; Rückgabewerte(4)'!$W$78&lt;&gt;0</xm:f>
            <x14:dxf>
              <border>
                <bottom style="thin">
                  <color rgb="FFFF0000"/>
                </bottom>
                <vertical/>
                <horizontal/>
              </border>
            </x14:dxf>
          </x14:cfRule>
          <xm:sqref>AW11:BB11</xm:sqref>
        </x14:conditionalFormatting>
        <x14:conditionalFormatting xmlns:xm="http://schemas.microsoft.com/office/excel/2006/main">
          <x14:cfRule type="expression" priority="3" id="{EA4024A8-8E88-4CE3-8F1B-CB5145D973CF}">
            <xm:f>'Sprachen &amp; Rückgabewerte(4)'!$W$78&lt;&gt;0</xm:f>
            <x14:dxf>
              <border>
                <top style="thin">
                  <color rgb="FFFF0000"/>
                </top>
                <vertical/>
                <horizontal/>
              </border>
            </x14:dxf>
          </x14:cfRule>
          <xm:sqref>AW6:BB6</xm:sqref>
        </x14:conditionalFormatting>
        <x14:conditionalFormatting xmlns:xm="http://schemas.microsoft.com/office/excel/2006/main">
          <x14:cfRule type="expression" priority="2" id="{B347BC09-3A1E-4186-8490-F2B1E8256765}">
            <xm:f>'Sprachen &amp; Rückgabewerte(4)'!$W$78&lt;&gt;0</xm:f>
            <x14:dxf>
              <border>
                <left style="thin">
                  <color rgb="FFFF0000"/>
                </left>
                <vertical/>
                <horizontal/>
              </border>
            </x14:dxf>
          </x14:cfRule>
          <xm:sqref>AW6:AW11</xm:sqref>
        </x14:conditionalFormatting>
        <x14:conditionalFormatting xmlns:xm="http://schemas.microsoft.com/office/excel/2006/main">
          <x14:cfRule type="expression" priority="1" id="{4A4856D3-8E9D-4A2B-B980-DF0FADE9809E}">
            <xm:f>'Sprachen &amp; Rückgabewerte(4)'!$W$78&lt;&gt;0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1">
        <x14:dataValidation type="list" allowBlank="1" showInputMessage="1" showErrorMessage="1" xr:uid="{148D7BA3-930F-4AB7-B27D-DE77E866A9E3}">
          <x14:formula1>
            <xm:f>'Sprachen &amp; Rückgabewerte(4)'!$M$86:$M$138</xm:f>
          </x14:formula1>
          <xm:sqref>AM88:AR88</xm:sqref>
        </x14:dataValidation>
        <x14:dataValidation type="list" showInputMessage="1" showErrorMessage="1" xr:uid="{E7639815-1475-432E-8B73-C18B0C15B8DA}">
          <x14:formula1>
            <xm:f>'Sprachen &amp; Rückgabewerte(4)'!$B$70:$B$72</xm:f>
          </x14:formula1>
          <xm:sqref>H85:K85 V85:Y85 O85:R85 X72:AA72</xm:sqref>
        </x14:dataValidation>
        <x14:dataValidation type="list" allowBlank="1" showInputMessage="1" showErrorMessage="1" xr:uid="{BB9307E3-7ECA-474B-8F91-AAB46A1F0978}">
          <x14:formula1>
            <xm:f>'Sprachen &amp; Rückgabewerte(4)'!$H$103:$H$107</xm:f>
          </x14:formula1>
          <xm:sqref>G20:AP20</xm:sqref>
        </x14:dataValidation>
        <x14:dataValidation type="list" showInputMessage="1" showErrorMessage="1" xr:uid="{5A07E8B4-90A3-48FA-8467-27A81B3C18AF}">
          <x14:formula1>
            <xm:f>'Sprachen &amp; Rückgabewerte(4)'!$B$33:$B$34</xm:f>
          </x14:formula1>
          <xm:sqref>E23:AR25</xm:sqref>
        </x14:dataValidation>
        <x14:dataValidation type="list" showInputMessage="1" showErrorMessage="1" xr:uid="{64252A53-9D39-4E6B-A0D5-DDD7FEFA6BE1}">
          <x14:formula1>
            <xm:f>'Sprachen &amp; Rückgabewerte(4)'!$A$11:$A$18</xm:f>
          </x14:formula1>
          <xm:sqref>AM43:AQ43</xm:sqref>
        </x14:dataValidation>
        <x14:dataValidation type="list" showInputMessage="1" showErrorMessage="1" xr:uid="{C51EA645-0AB9-48A2-9315-D6CE01F46577}">
          <x14:formula1>
            <xm:f>'Sprachen &amp; Rückgabewerte(4)'!$A$19:$A$21</xm:f>
          </x14:formula1>
          <xm:sqref>AR43:AS43</xm:sqref>
        </x14:dataValidation>
        <x14:dataValidation type="list" allowBlank="1" showInputMessage="1" showErrorMessage="1" xr:uid="{D8200BA9-A623-4A98-B73E-4708DE32BA2D}">
          <x14:formula1>
            <xm:f>'Sprachen &amp; Rückgabewerte(4)'!$J$67:$J$69</xm:f>
          </x14:formula1>
          <xm:sqref>AN70:AS70</xm:sqref>
        </x14:dataValidation>
        <x14:dataValidation type="list" allowBlank="1" showInputMessage="1" showErrorMessage="1" xr:uid="{08D59E68-0ECD-412F-99B9-B16F1FB33999}">
          <x14:formula1>
            <xm:f>'Sprachen &amp; Rückgabewerte(4)'!$J$77:$J$79</xm:f>
          </x14:formula1>
          <xm:sqref>AN78:AP78</xm:sqref>
        </x14:dataValidation>
        <x14:dataValidation type="list" allowBlank="1" showInputMessage="1" showErrorMessage="1" xr:uid="{F69C8FEC-9851-4735-9D5F-A4DAAD7BC232}">
          <x14:formula1>
            <xm:f>'Sprachen &amp; Rückgabewerte(4)'!$J$80:$J$82</xm:f>
          </x14:formula1>
          <xm:sqref>AN79:AP79</xm:sqref>
        </x14:dataValidation>
        <x14:dataValidation type="list" allowBlank="1" showInputMessage="1" showErrorMessage="1" xr:uid="{4DA6959D-8A09-4373-A157-CDC93D37C18B}">
          <x14:formula1>
            <xm:f>'Sprachen &amp; Rückgabewerte(4)'!$J$84:$J$86</xm:f>
          </x14:formula1>
          <xm:sqref>AN80:AS80</xm:sqref>
        </x14:dataValidation>
        <x14:dataValidation type="list" showInputMessage="1" showErrorMessage="1" xr:uid="{500B1D0E-AAF7-48BA-AFD4-2B9223C77A33}">
          <x14:formula1>
            <xm:f>'Sprachen &amp; Rückgabewerte(4)'!$B$73:$B$75</xm:f>
          </x14:formula1>
          <xm:sqref>H96:K96</xm:sqref>
        </x14:dataValidation>
        <x14:dataValidation type="list" showInputMessage="1" showErrorMessage="1" xr:uid="{DC8DCD66-D7A8-4B75-94BF-E0FE844C9322}">
          <x14:formula1>
            <xm:f>'Sprachen &amp; Rückgabewerte(4)'!$B$76:$B$78</xm:f>
          </x14:formula1>
          <xm:sqref>O96:R96</xm:sqref>
        </x14:dataValidation>
        <x14:dataValidation type="list" allowBlank="1" showInputMessage="1" showErrorMessage="1" xr:uid="{7BE29CA8-75A0-408D-BA9F-9C28CEF44510}">
          <x14:formula1>
            <xm:f>'Sprachen &amp; Rückgabewerte(4)'!$B$9:$B$14</xm:f>
          </x14:formula1>
          <xm:sqref>F10:G10 J10:K10 N10:O10 R10:S10 V10:W10 Z10:AA10 AD10:AE10 AH10:AI10 AL10:AM10 AP10:AQ10</xm:sqref>
        </x14:dataValidation>
        <x14:dataValidation type="list" showInputMessage="1" showErrorMessage="1" xr:uid="{A72E1E11-F664-46F6-8CF0-EE03D35F48B3}">
          <x14:formula1>
            <xm:f>'Sprachen &amp; Rückgabewerte(4)'!$B$67:$B$69</xm:f>
          </x14:formula1>
          <xm:sqref>F72:I72 L72:O72 R72:U72</xm:sqref>
        </x14:dataValidation>
        <x14:dataValidation type="list" allowBlank="1" showInputMessage="1" showErrorMessage="1" xr:uid="{BEE9C5CC-978C-40B3-8A5C-264EC5E4C4C2}">
          <x14:formula1>
            <xm:f>'Sprachen &amp; Rückgabewerte(4)'!$J$91:$J$93</xm:f>
          </x14:formula1>
          <xm:sqref>AM49:AP49</xm:sqref>
        </x14:dataValidation>
        <x14:dataValidation type="list" allowBlank="1" showInputMessage="1" showErrorMessage="1" xr:uid="{6179C238-67A8-4CE1-A299-C0CE5D231734}">
          <x14:formula1>
            <xm:f>'Sprachen &amp; Rückgabewerte(4)'!$N$78:$N$80</xm:f>
          </x14:formula1>
          <xm:sqref>AE70:AL70</xm:sqref>
        </x14:dataValidation>
        <x14:dataValidation type="list" allowBlank="1" showInputMessage="1" showErrorMessage="1" xr:uid="{CE057BEF-41EC-478A-B1CB-AFB4866A11D1}">
          <x14:formula1>
            <xm:f>'Sprachen &amp; Rückgabewerte(4)'!$J$133:$J$136</xm:f>
          </x14:formula1>
          <xm:sqref>AX33:AY42</xm:sqref>
        </x14:dataValidation>
        <x14:dataValidation type="list" allowBlank="1" showInputMessage="1" showErrorMessage="1" xr:uid="{CF1F08AC-5B2D-443D-96BA-6566D13CD9D8}">
          <x14:formula1>
            <xm:f>'Sprachen &amp; Rückgabewerte(4)'!$B$81:$B$84</xm:f>
          </x14:formula1>
          <xm:sqref>T104</xm:sqref>
        </x14:dataValidation>
        <x14:dataValidation type="list" allowBlank="1" showInputMessage="1" showErrorMessage="1" xr:uid="{16174793-9167-46CD-A5EE-7310FFBC5008}">
          <x14:formula1>
            <xm:f>'Sprachen &amp; Rückgabewerte(4)'!$J$142:$J$144</xm:f>
          </x14:formula1>
          <xm:sqref>T110</xm:sqref>
        </x14:dataValidation>
        <x14:dataValidation type="list" allowBlank="1" showInputMessage="1" showErrorMessage="1" xr:uid="{3F8EEAA9-0B98-4317-8908-5197CEE1527B}">
          <x14:formula1>
            <xm:f>'Sprachen &amp; Rückgabewerte(4)'!$J$145:$J$147</xm:f>
          </x14:formula1>
          <xm:sqref>T114</xm:sqref>
        </x14:dataValidation>
        <x14:dataValidation type="list" showInputMessage="1" showErrorMessage="1" xr:uid="{DD3E6720-97F3-41D1-9B59-EEF22C3403E2}">
          <x14:formula1>
            <xm:f>'Sprachen &amp; Rückgabewerte(4)'!$R$41:$R$43</xm:f>
          </x14:formula1>
          <xm:sqref>AF11:AG11 AN11:AO11 X11:Y11 T11:U11 P11:Q11 L11:M11 AB11:AC11 AJ11:AK11 H11:I11</xm:sqref>
        </x14:dataValidation>
        <x14:dataValidation type="list" allowBlank="1" showInputMessage="1" showErrorMessage="1" xr:uid="{3B7B4E3C-1F9F-4D5A-BE89-D86AF14A07EA}">
          <x14:formula1>
            <xm:f>'Sprachen &amp; Rückgabewerte(4)'!$Q$41:$Q$51</xm:f>
          </x14:formula1>
          <xm:sqref>AP74:AP76</xm:sqref>
        </x14:dataValidation>
        <x14:dataValidation type="list" showInputMessage="1" showErrorMessage="1" errorTitle="SG-Typ auswählen" error="Bitte wählen Sie einen Sky-Glass Typ aus. Spezialaufbau bitte im Feld Speziell eingeben!" xr:uid="{A06DAB6B-D7B1-454F-AC22-191ECF0B08F6}">
          <x14:formula1>
            <xm:f>'Sprachen &amp; Rückgabewerte(4)'!$V$3:$V$9</xm:f>
          </x14:formula1>
          <xm:sqref>AE53:AG53</xm:sqref>
        </x14:dataValidation>
        <x14:dataValidation type="list" allowBlank="1" showInputMessage="1" showErrorMessage="1" xr:uid="{8CD20D93-BF04-4DD0-956A-FFE6205AF32A}">
          <x14:formula1>
            <xm:f>'Sprachen &amp; Rückgabewerte(4)'!$J$150:$J$153</xm:f>
          </x14:formula1>
          <xm:sqref>AW48:AX48</xm:sqref>
        </x14:dataValidation>
        <x14:dataValidation type="list" allowBlank="1" showInputMessage="1" showErrorMessage="1" xr:uid="{BA353BAF-EF0E-40A5-AB94-5D745D17AFEE}">
          <x14:formula1>
            <xm:f>'Sprachen &amp; Rückgabewerte(4)'!$J$87:$J$89</xm:f>
          </x14:formula1>
          <xm:sqref>AE84:AL84</xm:sqref>
        </x14:dataValidation>
        <x14:dataValidation type="list" showInputMessage="1" showErrorMessage="1" xr:uid="{61C7ABFF-0550-4C0D-AF68-90379346E82D}">
          <x14:formula1>
            <xm:f>'Sprachen &amp; Rückgabewerte(4)'!$J$174:$J$175</xm:f>
          </x14:formula1>
          <xm:sqref>AM46:AS46</xm:sqref>
        </x14:dataValidation>
        <x14:dataValidation type="list" showInputMessage="1" showErrorMessage="1" xr:uid="{390D2180-E3B4-49BE-84B2-82E392EBCB7A}">
          <x14:formula1>
            <xm:f>'Sprachen &amp; Rückgabewerte(4)'!$J$177:$J$178</xm:f>
          </x14:formula1>
          <xm:sqref>AM47:AS47</xm:sqref>
        </x14:dataValidation>
        <x14:dataValidation type="list" allowBlank="1" showInputMessage="1" showErrorMessage="1" xr:uid="{CB245CCB-C8F9-4A20-8293-D76F1FBB62A5}">
          <x14:formula1>
            <xm:f>'Sprachen &amp; Rückgabewerte(4)'!$A$28:$A$30</xm:f>
          </x14:formula1>
          <xm:sqref>F16:G17 J16:K17 N16:O17 R16:S17 V16:W17 Z16:AA17 AD16:AE17 AH16:AI17 AL16:AM17 AP16:AQ17</xm:sqref>
        </x14:dataValidation>
        <x14:dataValidation type="list" allowBlank="1" showInputMessage="1" showErrorMessage="1" xr:uid="{9F8EDDA1-9EEC-4B8A-AEAE-E58F0382D71C}">
          <x14:formula1>
            <xm:f>'Sprachen &amp; Rückgabewerte(4)'!$H$95:$H$96</xm:f>
          </x14:formula1>
          <xm:sqref>AQ96:AR96</xm:sqref>
        </x14:dataValidation>
        <x14:dataValidation type="list" allowBlank="1" showInputMessage="1" showErrorMessage="1" xr:uid="{DEFE63EA-F38E-4A4D-90AF-8B115F4C8964}">
          <x14:formula1>
            <xm:f>'Sprachen &amp; Rückgabewerte(4)'!$H$198:$H$199</xm:f>
          </x14:formula1>
          <xm:sqref>AZ9:BA9</xm:sqref>
        </x14:dataValidation>
        <x14:dataValidation type="list" allowBlank="1" showInputMessage="1" showErrorMessage="1" xr:uid="{5594D055-C49A-4A5C-910A-FDCD512C0FDD}">
          <x14:formula1>
            <xm:f>'Sprachen &amp; Rückgabewerte(4)'!$H$196:$H$197</xm:f>
          </x14:formula1>
          <xm:sqref>AZ10:BA10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55A5-B996-4A8B-A74B-E3FBEAF08516}">
  <dimension ref="A1:AF206"/>
  <sheetViews>
    <sheetView showGridLines="0" zoomScale="70" zoomScaleNormal="70" workbookViewId="0">
      <selection activeCell="B3" sqref="B3"/>
    </sheetView>
  </sheetViews>
  <sheetFormatPr baseColWidth="10" defaultRowHeight="12.75" x14ac:dyDescent="0.2"/>
  <cols>
    <col min="1" max="1" width="19.140625" style="279" customWidth="1"/>
    <col min="2" max="2" width="16.7109375" style="279" customWidth="1"/>
    <col min="3" max="3" width="11.42578125" style="279" customWidth="1"/>
    <col min="4" max="7" width="40.7109375" style="279" customWidth="1"/>
    <col min="8" max="8" width="34.28515625" style="279" customWidth="1"/>
    <col min="9" max="9" width="30.42578125" style="279" customWidth="1"/>
    <col min="10" max="10" width="25.7109375" style="279" customWidth="1"/>
    <col min="11" max="11" width="15.5703125" style="279" customWidth="1"/>
    <col min="12" max="12" width="13.42578125" style="279" customWidth="1"/>
    <col min="13" max="13" width="16.140625" style="279" customWidth="1"/>
    <col min="14" max="17" width="11.42578125" style="279"/>
    <col min="18" max="18" width="12.5703125" style="279" customWidth="1"/>
    <col min="19" max="19" width="10.140625" style="279" customWidth="1"/>
    <col min="20" max="20" width="10.28515625" style="279" customWidth="1"/>
    <col min="21" max="21" width="21.5703125" style="279" customWidth="1"/>
    <col min="22" max="26" width="11.42578125" style="279"/>
    <col min="27" max="27" width="12.28515625" style="279" customWidth="1"/>
    <col min="28" max="28" width="11.42578125" style="279"/>
    <col min="29" max="31" width="26.42578125" style="279" customWidth="1"/>
    <col min="32" max="16384" width="11.42578125" style="279"/>
  </cols>
  <sheetData>
    <row r="1" spans="1:32" ht="13.5" thickBot="1" x14ac:dyDescent="0.25">
      <c r="H1" s="45" t="s">
        <v>214</v>
      </c>
      <c r="L1" s="279" t="s">
        <v>181</v>
      </c>
      <c r="M1" s="279" t="s">
        <v>182</v>
      </c>
      <c r="N1" s="279" t="s">
        <v>183</v>
      </c>
      <c r="R1" s="279" t="s">
        <v>608</v>
      </c>
      <c r="S1" s="279" t="s">
        <v>609</v>
      </c>
      <c r="T1" s="279" t="s">
        <v>610</v>
      </c>
      <c r="W1" s="316" t="str">
        <f>IF($I$125=TRUE,R1,L1)</f>
        <v>Ug=</v>
      </c>
      <c r="X1" s="330" t="str">
        <f>IF($I$125=TRUE,S1,M1)</f>
        <v>Lt=</v>
      </c>
      <c r="Y1" s="330" t="str">
        <f>IF($I$125=TRUE,T1,N1)</f>
        <v>g=</v>
      </c>
    </row>
    <row r="2" spans="1:32" x14ac:dyDescent="0.2">
      <c r="B2" s="28" t="s">
        <v>178</v>
      </c>
      <c r="C2" s="29" t="s">
        <v>91</v>
      </c>
      <c r="D2" s="15" t="s">
        <v>443</v>
      </c>
      <c r="E2" s="16" t="s">
        <v>444</v>
      </c>
      <c r="F2" s="16" t="s">
        <v>445</v>
      </c>
      <c r="G2" s="17" t="s">
        <v>446</v>
      </c>
      <c r="H2" s="436" t="str">
        <f>IF($B$3=$A$3,D2,IF($B$3=$A$4,E2,IF($B$3=$A$5,F2,IF($B$3=$A$6,G2,""))))</f>
        <v>Sprache:</v>
      </c>
      <c r="I2" s="45" t="s">
        <v>194</v>
      </c>
      <c r="K2" s="33" t="s">
        <v>611</v>
      </c>
      <c r="L2" s="437"/>
      <c r="M2" s="437"/>
      <c r="N2" s="437"/>
      <c r="O2" s="437"/>
      <c r="P2" s="438"/>
      <c r="Q2" s="33" t="s">
        <v>612</v>
      </c>
      <c r="R2" s="437"/>
      <c r="S2" s="437"/>
      <c r="T2" s="437"/>
      <c r="U2" s="438"/>
      <c r="V2" s="33" t="s">
        <v>613</v>
      </c>
      <c r="W2" s="437"/>
      <c r="X2" s="437"/>
      <c r="Y2" s="437"/>
      <c r="Z2" s="437"/>
      <c r="AA2" s="438"/>
      <c r="AB2" s="439"/>
      <c r="AC2" s="439"/>
      <c r="AD2" s="439"/>
      <c r="AE2" s="439"/>
      <c r="AF2" s="439"/>
    </row>
    <row r="3" spans="1:32" x14ac:dyDescent="0.2">
      <c r="A3" s="279">
        <v>1</v>
      </c>
      <c r="B3" s="440">
        <v>1</v>
      </c>
      <c r="C3" s="441" t="s">
        <v>92</v>
      </c>
      <c r="D3" s="442" t="s">
        <v>92</v>
      </c>
      <c r="E3" s="443" t="s">
        <v>93</v>
      </c>
      <c r="F3" s="443" t="s">
        <v>94</v>
      </c>
      <c r="G3" s="444" t="s">
        <v>95</v>
      </c>
      <c r="H3" s="436" t="str">
        <f>IF($B$3=$A$3,D3,IF($B$3=$A$4,E3,IF($B$3=$A$5,F3,IF($B$3=$A$6,G3,""))))</f>
        <v>DEUTSCH</v>
      </c>
      <c r="I3" s="445"/>
      <c r="K3" s="329" t="s">
        <v>781</v>
      </c>
      <c r="L3" s="330">
        <v>5.7</v>
      </c>
      <c r="M3" s="330">
        <v>89</v>
      </c>
      <c r="N3" s="330">
        <v>84</v>
      </c>
      <c r="O3" s="330" t="s">
        <v>787</v>
      </c>
      <c r="P3" s="446"/>
      <c r="Q3" s="329" t="s">
        <v>232</v>
      </c>
      <c r="R3" s="447">
        <v>0.34</v>
      </c>
      <c r="S3" s="330">
        <v>0.49</v>
      </c>
      <c r="T3" s="330">
        <v>0.67</v>
      </c>
      <c r="U3" s="446" t="s">
        <v>643</v>
      </c>
      <c r="V3" s="329" t="str">
        <f t="shared" ref="V3:Z25" si="0">IF($I$125=TRUE,Q3,K3)</f>
        <v>SG-71</v>
      </c>
      <c r="W3" s="316">
        <f t="shared" si="0"/>
        <v>5.7</v>
      </c>
      <c r="X3" s="330">
        <f t="shared" si="0"/>
        <v>89</v>
      </c>
      <c r="Y3" s="330">
        <f t="shared" si="0"/>
        <v>84</v>
      </c>
      <c r="Z3" s="330" t="str">
        <f t="shared" si="0"/>
        <v>ESG 6</v>
      </c>
      <c r="AA3" s="446"/>
      <c r="AB3" s="439"/>
      <c r="AC3" s="448"/>
      <c r="AD3" s="448"/>
      <c r="AE3" s="448"/>
      <c r="AF3" s="439"/>
    </row>
    <row r="4" spans="1:32" x14ac:dyDescent="0.2">
      <c r="A4" s="279">
        <v>2</v>
      </c>
      <c r="B4" s="449"/>
      <c r="C4" s="450" t="s">
        <v>93</v>
      </c>
      <c r="D4" s="329" t="s">
        <v>96</v>
      </c>
      <c r="E4" s="451" t="s">
        <v>97</v>
      </c>
      <c r="F4" s="451" t="s">
        <v>98</v>
      </c>
      <c r="G4" s="452" t="s">
        <v>99</v>
      </c>
      <c r="H4" s="436" t="str">
        <f>IF($B$3=$A$3,D4,IF($B$3=$A$4,E4,IF($B$3=$A$5,F4,IF($B$3=$A$6,G4,""))))</f>
        <v>BESTELLUNG</v>
      </c>
      <c r="I4" s="445"/>
      <c r="K4" s="280" t="s">
        <v>782</v>
      </c>
      <c r="L4" s="316">
        <v>5.6</v>
      </c>
      <c r="M4" s="316">
        <v>88</v>
      </c>
      <c r="N4" s="316">
        <v>80</v>
      </c>
      <c r="O4" s="316" t="s">
        <v>788</v>
      </c>
      <c r="P4" s="317"/>
      <c r="Q4" s="280" t="s">
        <v>233</v>
      </c>
      <c r="R4" s="316">
        <v>0.34</v>
      </c>
      <c r="S4" s="316">
        <v>0.48</v>
      </c>
      <c r="T4" s="316">
        <v>0.66</v>
      </c>
      <c r="U4" s="317" t="s">
        <v>644</v>
      </c>
      <c r="V4" s="280" t="str">
        <f t="shared" si="0"/>
        <v>SG-72</v>
      </c>
      <c r="W4" s="316">
        <f t="shared" si="0"/>
        <v>5.6</v>
      </c>
      <c r="X4" s="316">
        <f t="shared" si="0"/>
        <v>88</v>
      </c>
      <c r="Y4" s="316">
        <f t="shared" si="0"/>
        <v>80</v>
      </c>
      <c r="Z4" s="316" t="str">
        <f t="shared" si="0"/>
        <v>ESG 10</v>
      </c>
      <c r="AA4" s="317"/>
      <c r="AB4" s="714"/>
      <c r="AC4" s="453"/>
      <c r="AD4" s="453"/>
      <c r="AE4" s="453"/>
      <c r="AF4" s="439"/>
    </row>
    <row r="5" spans="1:32" x14ac:dyDescent="0.2">
      <c r="A5" s="279">
        <v>3</v>
      </c>
      <c r="B5" s="449"/>
      <c r="C5" s="450" t="s">
        <v>94</v>
      </c>
      <c r="D5" s="280" t="s">
        <v>0</v>
      </c>
      <c r="E5" s="316" t="s">
        <v>1</v>
      </c>
      <c r="F5" s="316" t="s">
        <v>101</v>
      </c>
      <c r="G5" s="317" t="s">
        <v>100</v>
      </c>
      <c r="H5" s="436" t="str">
        <f>IF($B$3=$A$3,D5,IF($B$3=$A$4,E5,IF($B$3=$A$5,F5,IF($B$3=$A$6,G5,""))))</f>
        <v>Gemäss Zeichnung Nr.:</v>
      </c>
      <c r="I5" s="445" t="b">
        <v>0</v>
      </c>
      <c r="K5" s="280" t="s">
        <v>783</v>
      </c>
      <c r="L5" s="316">
        <v>5.5</v>
      </c>
      <c r="M5" s="316">
        <v>87</v>
      </c>
      <c r="N5" s="316">
        <v>77</v>
      </c>
      <c r="O5" s="316" t="s">
        <v>789</v>
      </c>
      <c r="P5" s="317"/>
      <c r="Q5" s="280" t="s">
        <v>234</v>
      </c>
      <c r="R5" s="316">
        <v>0.34</v>
      </c>
      <c r="S5" s="316">
        <v>0.49</v>
      </c>
      <c r="T5" s="316">
        <v>0.68</v>
      </c>
      <c r="U5" s="317" t="s">
        <v>645</v>
      </c>
      <c r="V5" s="280" t="str">
        <f t="shared" si="0"/>
        <v>SG-73</v>
      </c>
      <c r="W5" s="316">
        <f t="shared" si="0"/>
        <v>5.5</v>
      </c>
      <c r="X5" s="316">
        <f t="shared" si="0"/>
        <v>87</v>
      </c>
      <c r="Y5" s="316">
        <f t="shared" si="0"/>
        <v>77</v>
      </c>
      <c r="Z5" s="316" t="str">
        <f t="shared" si="0"/>
        <v>ESG 12</v>
      </c>
      <c r="AA5" s="317"/>
      <c r="AB5" s="714"/>
      <c r="AC5" s="453"/>
      <c r="AD5" s="453"/>
      <c r="AE5" s="453"/>
      <c r="AF5" s="439"/>
    </row>
    <row r="6" spans="1:32" ht="13.5" thickBot="1" x14ac:dyDescent="0.25">
      <c r="A6" s="279">
        <v>4</v>
      </c>
      <c r="B6" s="454"/>
      <c r="C6" s="455" t="s">
        <v>95</v>
      </c>
      <c r="D6" s="280" t="s">
        <v>102</v>
      </c>
      <c r="E6" s="316" t="s">
        <v>103</v>
      </c>
      <c r="F6" s="316" t="s">
        <v>104</v>
      </c>
      <c r="G6" s="317" t="s">
        <v>364</v>
      </c>
      <c r="H6" s="436" t="str">
        <f>IF($B$3=$A$3,D6,IF($B$3=$A$4,E6,IF($B$3=$A$5,F6,IF($B$3=$A$6,G6,""))))</f>
        <v>Gemäss Skizze: (Ansicht von Aussen)</v>
      </c>
      <c r="I6" s="445" t="b">
        <v>0</v>
      </c>
      <c r="K6" s="280">
        <v>0</v>
      </c>
      <c r="L6" s="316">
        <v>0</v>
      </c>
      <c r="M6" s="316">
        <v>0</v>
      </c>
      <c r="N6" s="316">
        <v>0</v>
      </c>
      <c r="O6" s="316" t="str">
        <f>$H$54</f>
        <v>Glastyp wählen</v>
      </c>
      <c r="P6" s="317"/>
      <c r="Q6" s="280" t="s">
        <v>235</v>
      </c>
      <c r="R6" s="316">
        <v>0.34</v>
      </c>
      <c r="S6" s="316">
        <v>0.48</v>
      </c>
      <c r="T6" s="316">
        <v>0.66</v>
      </c>
      <c r="U6" s="317" t="s">
        <v>646</v>
      </c>
      <c r="V6" s="280">
        <f t="shared" si="0"/>
        <v>0</v>
      </c>
      <c r="W6" s="316">
        <f t="shared" si="0"/>
        <v>0</v>
      </c>
      <c r="X6" s="316">
        <f t="shared" si="0"/>
        <v>0</v>
      </c>
      <c r="Y6" s="316">
        <f t="shared" si="0"/>
        <v>0</v>
      </c>
      <c r="Z6" s="316" t="str">
        <f t="shared" si="0"/>
        <v>Glastyp wählen</v>
      </c>
      <c r="AA6" s="317"/>
      <c r="AB6" s="714"/>
      <c r="AC6" s="453"/>
      <c r="AD6" s="453"/>
      <c r="AE6" s="453"/>
      <c r="AF6" s="439"/>
    </row>
    <row r="7" spans="1:32" ht="13.5" thickBot="1" x14ac:dyDescent="0.25">
      <c r="D7" s="280" t="s">
        <v>499</v>
      </c>
      <c r="E7" s="316" t="s">
        <v>500</v>
      </c>
      <c r="F7" s="316" t="s">
        <v>501</v>
      </c>
      <c r="G7" s="317" t="s">
        <v>502</v>
      </c>
      <c r="H7" s="436" t="str">
        <f t="shared" ref="H7:H71" si="1">IF($B$3=$A$3,D7,IF($B$3=$A$4,E7,IF($B$3=$A$5,F7,IF($B$3=$A$6,G7,""))))</f>
        <v xml:space="preserve">Objekt: </v>
      </c>
      <c r="I7" s="445"/>
      <c r="K7" s="280" t="s">
        <v>784</v>
      </c>
      <c r="L7" s="316">
        <v>5.6</v>
      </c>
      <c r="M7" s="316">
        <v>88</v>
      </c>
      <c r="N7" s="316">
        <v>77</v>
      </c>
      <c r="O7" s="316" t="s">
        <v>792</v>
      </c>
      <c r="P7" s="317"/>
      <c r="Q7" s="280" t="s">
        <v>236</v>
      </c>
      <c r="R7" s="316">
        <v>0.34</v>
      </c>
      <c r="S7" s="316">
        <v>0.47</v>
      </c>
      <c r="T7" s="316">
        <v>0.66</v>
      </c>
      <c r="U7" s="317" t="s">
        <v>647</v>
      </c>
      <c r="V7" s="280" t="str">
        <f t="shared" si="0"/>
        <v>SG-74</v>
      </c>
      <c r="W7" s="316">
        <f t="shared" si="0"/>
        <v>5.6</v>
      </c>
      <c r="X7" s="316">
        <f t="shared" si="0"/>
        <v>88</v>
      </c>
      <c r="Y7" s="316">
        <f t="shared" si="0"/>
        <v>77</v>
      </c>
      <c r="Z7" s="316" t="str">
        <f t="shared" si="0"/>
        <v>VSG 8-2 (4/4-2)</v>
      </c>
      <c r="AA7" s="317"/>
      <c r="AB7" s="714"/>
      <c r="AC7" s="453"/>
      <c r="AD7" s="453"/>
      <c r="AE7" s="453"/>
      <c r="AF7" s="439"/>
    </row>
    <row r="8" spans="1:32" x14ac:dyDescent="0.2">
      <c r="B8" s="15" t="s">
        <v>186</v>
      </c>
      <c r="C8" s="17" t="s">
        <v>190</v>
      </c>
      <c r="D8" s="280" t="s">
        <v>184</v>
      </c>
      <c r="E8" s="316" t="s">
        <v>185</v>
      </c>
      <c r="F8" s="316" t="s">
        <v>105</v>
      </c>
      <c r="G8" s="317" t="s">
        <v>106</v>
      </c>
      <c r="H8" s="436" t="str">
        <f t="shared" si="1"/>
        <v>Bestelldatum:</v>
      </c>
      <c r="I8" s="445"/>
      <c r="K8" s="280" t="s">
        <v>785</v>
      </c>
      <c r="L8" s="316">
        <v>5.6</v>
      </c>
      <c r="M8" s="316">
        <v>87</v>
      </c>
      <c r="N8" s="316">
        <v>76</v>
      </c>
      <c r="O8" s="316" t="s">
        <v>791</v>
      </c>
      <c r="P8" s="317"/>
      <c r="Q8" s="280" t="s">
        <v>237</v>
      </c>
      <c r="R8" s="316">
        <v>0.33</v>
      </c>
      <c r="S8" s="316">
        <v>0.46</v>
      </c>
      <c r="T8" s="316">
        <v>0.65</v>
      </c>
      <c r="U8" s="317" t="s">
        <v>648</v>
      </c>
      <c r="V8" s="280" t="str">
        <f t="shared" si="0"/>
        <v>SG-75</v>
      </c>
      <c r="W8" s="316">
        <f t="shared" si="0"/>
        <v>5.6</v>
      </c>
      <c r="X8" s="316">
        <f t="shared" si="0"/>
        <v>87</v>
      </c>
      <c r="Y8" s="316">
        <f t="shared" si="0"/>
        <v>76</v>
      </c>
      <c r="Z8" s="316" t="str">
        <f t="shared" si="0"/>
        <v>VSG 10-2 (6/4-2)</v>
      </c>
      <c r="AA8" s="317"/>
      <c r="AB8" s="714"/>
      <c r="AC8" s="453"/>
      <c r="AD8" s="453"/>
      <c r="AE8" s="453"/>
      <c r="AF8" s="439"/>
    </row>
    <row r="9" spans="1:32" ht="13.5" thickBot="1" x14ac:dyDescent="0.25">
      <c r="B9" s="329" t="s">
        <v>835</v>
      </c>
      <c r="C9" s="362" t="s">
        <v>836</v>
      </c>
      <c r="D9" s="280" t="s">
        <v>2</v>
      </c>
      <c r="E9" s="316" t="s">
        <v>3</v>
      </c>
      <c r="F9" s="316" t="s">
        <v>4</v>
      </c>
      <c r="G9" s="317" t="s">
        <v>107</v>
      </c>
      <c r="H9" s="436" t="str">
        <f t="shared" si="1"/>
        <v>Projekt-Nr.:</v>
      </c>
      <c r="I9" s="445"/>
      <c r="K9" s="280" t="s">
        <v>786</v>
      </c>
      <c r="L9" s="316">
        <v>5.5</v>
      </c>
      <c r="M9" s="316">
        <v>86</v>
      </c>
      <c r="N9" s="316">
        <v>74</v>
      </c>
      <c r="O9" s="316" t="s">
        <v>790</v>
      </c>
      <c r="P9" s="317"/>
      <c r="Q9" s="280">
        <v>0</v>
      </c>
      <c r="R9" s="316">
        <v>0</v>
      </c>
      <c r="S9" s="316">
        <v>0</v>
      </c>
      <c r="T9" s="316">
        <v>0</v>
      </c>
      <c r="U9" s="317" t="str">
        <f>$H$54</f>
        <v>Glastyp wählen</v>
      </c>
      <c r="V9" s="280" t="str">
        <f t="shared" si="0"/>
        <v>SG-76</v>
      </c>
      <c r="W9" s="316">
        <f t="shared" si="0"/>
        <v>5.5</v>
      </c>
      <c r="X9" s="316">
        <f t="shared" si="0"/>
        <v>86</v>
      </c>
      <c r="Y9" s="316">
        <f t="shared" si="0"/>
        <v>74</v>
      </c>
      <c r="Z9" s="316" t="str">
        <f t="shared" si="0"/>
        <v>VSG 12-2 /6/6-2)</v>
      </c>
      <c r="AA9" s="317"/>
      <c r="AB9" s="714"/>
      <c r="AC9" s="453"/>
      <c r="AD9" s="453"/>
      <c r="AE9" s="453"/>
      <c r="AF9" s="439"/>
    </row>
    <row r="10" spans="1:32" x14ac:dyDescent="0.2">
      <c r="A10" s="56" t="s">
        <v>44</v>
      </c>
      <c r="B10" s="456" t="s">
        <v>187</v>
      </c>
      <c r="C10" s="457" t="s">
        <v>191</v>
      </c>
      <c r="D10" s="280" t="s">
        <v>5</v>
      </c>
      <c r="E10" s="316" t="s">
        <v>6</v>
      </c>
      <c r="F10" s="316" t="s">
        <v>7</v>
      </c>
      <c r="G10" s="317" t="s">
        <v>340</v>
      </c>
      <c r="H10" s="436" t="str">
        <f t="shared" si="1"/>
        <v>2-gleisig</v>
      </c>
      <c r="I10" s="458" t="b">
        <v>0</v>
      </c>
      <c r="K10" s="280">
        <v>0</v>
      </c>
      <c r="L10" s="51">
        <v>0</v>
      </c>
      <c r="M10" s="316">
        <v>0</v>
      </c>
      <c r="N10" s="316">
        <v>0</v>
      </c>
      <c r="O10" s="316" t="str">
        <f t="shared" ref="O10:O35" si="2">$H$54</f>
        <v>Glastyp wählen</v>
      </c>
      <c r="P10" s="317"/>
      <c r="Q10" s="280" t="s">
        <v>238</v>
      </c>
      <c r="R10" s="316">
        <v>0.34</v>
      </c>
      <c r="S10" s="316">
        <v>0.41</v>
      </c>
      <c r="T10" s="316">
        <v>0.59</v>
      </c>
      <c r="U10" s="317" t="s">
        <v>642</v>
      </c>
      <c r="V10" s="280">
        <f t="shared" si="0"/>
        <v>0</v>
      </c>
      <c r="W10" s="316">
        <f t="shared" si="0"/>
        <v>0</v>
      </c>
      <c r="X10" s="316">
        <f t="shared" si="0"/>
        <v>0</v>
      </c>
      <c r="Y10" s="316">
        <f t="shared" si="0"/>
        <v>0</v>
      </c>
      <c r="Z10" s="316" t="str">
        <f t="shared" si="0"/>
        <v>Glastyp wählen</v>
      </c>
      <c r="AA10" s="317"/>
      <c r="AB10" s="714"/>
      <c r="AC10" s="453"/>
      <c r="AD10" s="453"/>
      <c r="AE10" s="453"/>
      <c r="AF10" s="439"/>
    </row>
    <row r="11" spans="1:32" x14ac:dyDescent="0.2">
      <c r="A11" s="459"/>
      <c r="B11" s="460" t="s">
        <v>188</v>
      </c>
      <c r="C11" s="461" t="s">
        <v>192</v>
      </c>
      <c r="D11" s="280" t="s">
        <v>8</v>
      </c>
      <c r="E11" s="316" t="s">
        <v>9</v>
      </c>
      <c r="F11" s="316" t="s">
        <v>779</v>
      </c>
      <c r="G11" s="317" t="s">
        <v>341</v>
      </c>
      <c r="H11" s="436" t="str">
        <f t="shared" si="1"/>
        <v>3-gleisig</v>
      </c>
      <c r="I11" s="458" t="b">
        <v>0</v>
      </c>
      <c r="K11" s="280">
        <v>0</v>
      </c>
      <c r="L11" s="316">
        <v>0</v>
      </c>
      <c r="M11" s="316">
        <v>0</v>
      </c>
      <c r="N11" s="316">
        <v>0</v>
      </c>
      <c r="O11" s="316" t="str">
        <f t="shared" si="2"/>
        <v>Glastyp wählen</v>
      </c>
      <c r="P11" s="317"/>
      <c r="Q11" s="280" t="s">
        <v>239</v>
      </c>
      <c r="R11" s="316">
        <v>0.33</v>
      </c>
      <c r="S11" s="316">
        <v>0.4</v>
      </c>
      <c r="T11" s="316">
        <v>0.57999999999999996</v>
      </c>
      <c r="U11" s="317" t="s">
        <v>649</v>
      </c>
      <c r="V11" s="280">
        <f t="shared" si="0"/>
        <v>0</v>
      </c>
      <c r="W11" s="316">
        <f t="shared" si="0"/>
        <v>0</v>
      </c>
      <c r="X11" s="316">
        <f t="shared" si="0"/>
        <v>0</v>
      </c>
      <c r="Y11" s="316">
        <f t="shared" si="0"/>
        <v>0</v>
      </c>
      <c r="Z11" s="316" t="str">
        <f t="shared" si="0"/>
        <v>Glastyp wählen</v>
      </c>
      <c r="AA11" s="317"/>
      <c r="AB11" s="714"/>
      <c r="AC11" s="453"/>
      <c r="AD11" s="453"/>
      <c r="AE11" s="453"/>
      <c r="AF11" s="439"/>
    </row>
    <row r="12" spans="1:32" x14ac:dyDescent="0.2">
      <c r="A12" s="436" t="s">
        <v>180</v>
      </c>
      <c r="B12" s="460" t="s">
        <v>189</v>
      </c>
      <c r="C12" s="461" t="s">
        <v>193</v>
      </c>
      <c r="D12" s="280" t="s">
        <v>10</v>
      </c>
      <c r="E12" s="316" t="s">
        <v>11</v>
      </c>
      <c r="F12" s="316" t="s">
        <v>780</v>
      </c>
      <c r="G12" s="317" t="s">
        <v>342</v>
      </c>
      <c r="H12" s="436" t="str">
        <f t="shared" si="1"/>
        <v>4-gleisig</v>
      </c>
      <c r="I12" s="458" t="b">
        <v>0</v>
      </c>
      <c r="K12" s="280">
        <v>0</v>
      </c>
      <c r="L12" s="316">
        <v>0</v>
      </c>
      <c r="M12" s="316">
        <v>0</v>
      </c>
      <c r="N12" s="316">
        <v>0</v>
      </c>
      <c r="O12" s="316" t="str">
        <f t="shared" si="2"/>
        <v>Glastyp wählen</v>
      </c>
      <c r="P12" s="317"/>
      <c r="Q12" s="280" t="s">
        <v>240</v>
      </c>
      <c r="R12" s="316">
        <v>0.34</v>
      </c>
      <c r="S12" s="316">
        <v>0.4</v>
      </c>
      <c r="T12" s="316">
        <v>0.57999999999999996</v>
      </c>
      <c r="U12" s="317" t="s">
        <v>650</v>
      </c>
      <c r="V12" s="280">
        <f t="shared" si="0"/>
        <v>0</v>
      </c>
      <c r="W12" s="316">
        <f t="shared" si="0"/>
        <v>0</v>
      </c>
      <c r="X12" s="316">
        <f t="shared" si="0"/>
        <v>0</v>
      </c>
      <c r="Y12" s="316">
        <f t="shared" si="0"/>
        <v>0</v>
      </c>
      <c r="Z12" s="316" t="str">
        <f t="shared" si="0"/>
        <v>Glastyp wählen</v>
      </c>
      <c r="AA12" s="317"/>
      <c r="AB12" s="714"/>
      <c r="AC12" s="453"/>
      <c r="AD12" s="453"/>
      <c r="AE12" s="453"/>
      <c r="AF12" s="439"/>
    </row>
    <row r="13" spans="1:32" x14ac:dyDescent="0.2">
      <c r="A13" s="436" t="s">
        <v>225</v>
      </c>
      <c r="B13" s="462" t="s">
        <v>440</v>
      </c>
      <c r="C13" s="463" t="s">
        <v>439</v>
      </c>
      <c r="D13" s="280" t="s">
        <v>12</v>
      </c>
      <c r="E13" s="316" t="s">
        <v>13</v>
      </c>
      <c r="F13" s="316" t="s">
        <v>14</v>
      </c>
      <c r="G13" s="317" t="s">
        <v>108</v>
      </c>
      <c r="H13" s="436" t="str">
        <f t="shared" si="1"/>
        <v>Teilung Achsmasse</v>
      </c>
      <c r="I13" s="445" t="b">
        <v>0</v>
      </c>
      <c r="K13" s="280">
        <v>0</v>
      </c>
      <c r="L13" s="316">
        <v>0</v>
      </c>
      <c r="M13" s="316">
        <v>0</v>
      </c>
      <c r="N13" s="316">
        <v>0</v>
      </c>
      <c r="O13" s="316" t="str">
        <f t="shared" si="2"/>
        <v>Glastyp wählen</v>
      </c>
      <c r="P13" s="317"/>
      <c r="Q13" s="280" t="s">
        <v>241</v>
      </c>
      <c r="R13" s="316">
        <v>0.33</v>
      </c>
      <c r="S13" s="316">
        <v>0.4</v>
      </c>
      <c r="T13" s="316">
        <v>0.57999999999999996</v>
      </c>
      <c r="U13" s="317" t="s">
        <v>651</v>
      </c>
      <c r="V13" s="280">
        <f t="shared" si="0"/>
        <v>0</v>
      </c>
      <c r="W13" s="316">
        <f t="shared" si="0"/>
        <v>0</v>
      </c>
      <c r="X13" s="316">
        <f t="shared" si="0"/>
        <v>0</v>
      </c>
      <c r="Y13" s="316">
        <f t="shared" si="0"/>
        <v>0</v>
      </c>
      <c r="Z13" s="316" t="str">
        <f t="shared" si="0"/>
        <v>Glastyp wählen</v>
      </c>
      <c r="AA13" s="317"/>
      <c r="AB13" s="714"/>
      <c r="AC13" s="453"/>
      <c r="AD13" s="453"/>
      <c r="AE13" s="453"/>
      <c r="AF13" s="439"/>
    </row>
    <row r="14" spans="1:32" ht="13.5" thickBot="1" x14ac:dyDescent="0.25">
      <c r="A14" s="436" t="s">
        <v>224</v>
      </c>
      <c r="B14" s="377" t="s">
        <v>441</v>
      </c>
      <c r="C14" s="464" t="s">
        <v>438</v>
      </c>
      <c r="D14" s="280" t="s">
        <v>110</v>
      </c>
      <c r="E14" s="316" t="s">
        <v>109</v>
      </c>
      <c r="F14" s="5" t="s">
        <v>15</v>
      </c>
      <c r="G14" s="58" t="s">
        <v>365</v>
      </c>
      <c r="H14" s="436" t="str">
        <f t="shared" si="1"/>
        <v>alle Gläser gleiche Breite (Empfehlung)</v>
      </c>
      <c r="I14" s="445" t="b">
        <v>0</v>
      </c>
      <c r="K14" s="280">
        <v>0</v>
      </c>
      <c r="L14" s="316">
        <v>0</v>
      </c>
      <c r="M14" s="316">
        <v>0</v>
      </c>
      <c r="N14" s="316">
        <v>0</v>
      </c>
      <c r="O14" s="316" t="str">
        <f t="shared" si="2"/>
        <v>Glastyp wählen</v>
      </c>
      <c r="P14" s="317"/>
      <c r="Q14" s="280" t="s">
        <v>242</v>
      </c>
      <c r="R14" s="316">
        <v>0.33</v>
      </c>
      <c r="S14" s="316">
        <v>0.39</v>
      </c>
      <c r="T14" s="316">
        <v>0.56999999999999995</v>
      </c>
      <c r="U14" s="317" t="s">
        <v>652</v>
      </c>
      <c r="V14" s="280">
        <f t="shared" si="0"/>
        <v>0</v>
      </c>
      <c r="W14" s="316">
        <f t="shared" si="0"/>
        <v>0</v>
      </c>
      <c r="X14" s="316">
        <f t="shared" si="0"/>
        <v>0</v>
      </c>
      <c r="Y14" s="316">
        <f t="shared" si="0"/>
        <v>0</v>
      </c>
      <c r="Z14" s="316" t="str">
        <f t="shared" si="0"/>
        <v>Glastyp wählen</v>
      </c>
      <c r="AA14" s="317"/>
      <c r="AB14" s="714"/>
      <c r="AC14" s="453"/>
      <c r="AD14" s="453"/>
      <c r="AE14" s="453"/>
      <c r="AF14" s="439"/>
    </row>
    <row r="15" spans="1:32" x14ac:dyDescent="0.2">
      <c r="A15" s="436" t="s">
        <v>226</v>
      </c>
      <c r="B15" s="85" t="s">
        <v>197</v>
      </c>
      <c r="C15" s="34"/>
      <c r="D15" s="280" t="s">
        <v>16</v>
      </c>
      <c r="E15" s="316" t="s">
        <v>16</v>
      </c>
      <c r="F15" s="316" t="s">
        <v>16</v>
      </c>
      <c r="G15" s="317" t="s">
        <v>16</v>
      </c>
      <c r="H15" s="436" t="str">
        <f t="shared" si="1"/>
        <v>Standard</v>
      </c>
      <c r="I15" s="445" t="b">
        <v>0</v>
      </c>
      <c r="K15" s="280">
        <v>0</v>
      </c>
      <c r="L15" s="316">
        <v>0</v>
      </c>
      <c r="M15" s="316">
        <v>0</v>
      </c>
      <c r="N15" s="316">
        <v>0</v>
      </c>
      <c r="O15" s="316" t="str">
        <f t="shared" si="2"/>
        <v>Glastyp wählen</v>
      </c>
      <c r="P15" s="317"/>
      <c r="Q15" s="280" t="s">
        <v>243</v>
      </c>
      <c r="R15" s="316">
        <v>0.33</v>
      </c>
      <c r="S15" s="316">
        <v>0.39</v>
      </c>
      <c r="T15" s="316">
        <v>0.56999999999999995</v>
      </c>
      <c r="U15" s="317" t="s">
        <v>653</v>
      </c>
      <c r="V15" s="280">
        <f t="shared" si="0"/>
        <v>0</v>
      </c>
      <c r="W15" s="316">
        <f t="shared" si="0"/>
        <v>0</v>
      </c>
      <c r="X15" s="316">
        <f t="shared" si="0"/>
        <v>0</v>
      </c>
      <c r="Y15" s="316">
        <f t="shared" si="0"/>
        <v>0</v>
      </c>
      <c r="Z15" s="316" t="str">
        <f t="shared" si="0"/>
        <v>Glastyp wählen</v>
      </c>
      <c r="AA15" s="317"/>
      <c r="AB15" s="714"/>
      <c r="AC15" s="453"/>
      <c r="AD15" s="453"/>
      <c r="AE15" s="453"/>
      <c r="AF15" s="439"/>
    </row>
    <row r="16" spans="1:32" x14ac:dyDescent="0.2">
      <c r="A16" s="436" t="s">
        <v>227</v>
      </c>
      <c r="B16" s="465" t="s">
        <v>198</v>
      </c>
      <c r="C16" s="457">
        <f>IF(AND($I$20=TRUE,OR('Pos. 5'!$F$10='Sprachen &amp; Rückgabewerte(5)'!$B$10,'Pos. 5'!$F$10='Sprachen &amp; Rückgabewerte(5)'!$B$11)),1,0)</f>
        <v>0</v>
      </c>
      <c r="D16" s="280" t="s">
        <v>17</v>
      </c>
      <c r="E16" s="316" t="s">
        <v>18</v>
      </c>
      <c r="F16" s="316" t="s">
        <v>19</v>
      </c>
      <c r="G16" s="317" t="s">
        <v>343</v>
      </c>
      <c r="H16" s="436" t="str">
        <f t="shared" si="1"/>
        <v>Einbruchschutz RC2</v>
      </c>
      <c r="I16" s="445" t="b">
        <v>0</v>
      </c>
      <c r="K16" s="280">
        <v>0</v>
      </c>
      <c r="L16" s="316">
        <v>0</v>
      </c>
      <c r="M16" s="316">
        <v>0</v>
      </c>
      <c r="N16" s="316">
        <v>0</v>
      </c>
      <c r="O16" s="316" t="str">
        <f t="shared" si="2"/>
        <v>Glastyp wählen</v>
      </c>
      <c r="P16" s="317"/>
      <c r="Q16" s="280">
        <v>0</v>
      </c>
      <c r="R16" s="316">
        <v>0</v>
      </c>
      <c r="S16" s="316">
        <v>0</v>
      </c>
      <c r="T16" s="316">
        <v>0</v>
      </c>
      <c r="U16" s="317" t="str">
        <f t="shared" ref="U16:U23" si="3">$H$54</f>
        <v>Glastyp wählen</v>
      </c>
      <c r="V16" s="280">
        <f t="shared" si="0"/>
        <v>0</v>
      </c>
      <c r="W16" s="316">
        <f t="shared" si="0"/>
        <v>0</v>
      </c>
      <c r="X16" s="316">
        <f t="shared" si="0"/>
        <v>0</v>
      </c>
      <c r="Y16" s="316">
        <f t="shared" si="0"/>
        <v>0</v>
      </c>
      <c r="Z16" s="316" t="str">
        <f t="shared" si="0"/>
        <v>Glastyp wählen</v>
      </c>
      <c r="AA16" s="317"/>
      <c r="AB16" s="714"/>
      <c r="AC16" s="453"/>
      <c r="AD16" s="453"/>
      <c r="AE16" s="453"/>
      <c r="AF16" s="439"/>
    </row>
    <row r="17" spans="1:32" x14ac:dyDescent="0.2">
      <c r="A17" s="436" t="s">
        <v>228</v>
      </c>
      <c r="B17" s="460" t="s">
        <v>199</v>
      </c>
      <c r="C17" s="461">
        <f>IF(AND($I$20=TRUE,OR('Pos. 5'!$J$10='Sprachen &amp; Rückgabewerte(5)'!$B$10,'Pos. 5'!$J$10='Sprachen &amp; Rückgabewerte(5)'!$B$11)),1,0)</f>
        <v>0</v>
      </c>
      <c r="D17" s="280" t="s">
        <v>334</v>
      </c>
      <c r="E17" s="316" t="s">
        <v>20</v>
      </c>
      <c r="F17" s="316" t="s">
        <v>21</v>
      </c>
      <c r="G17" s="317" t="s">
        <v>125</v>
      </c>
      <c r="H17" s="436" t="str">
        <f t="shared" si="1"/>
        <v>Positionsüberwachung (P)</v>
      </c>
      <c r="I17" s="445" t="b">
        <v>0</v>
      </c>
      <c r="K17" s="280">
        <v>0</v>
      </c>
      <c r="L17" s="316">
        <v>0</v>
      </c>
      <c r="M17" s="316">
        <v>0</v>
      </c>
      <c r="N17" s="316">
        <v>0</v>
      </c>
      <c r="O17" s="316" t="str">
        <f t="shared" si="2"/>
        <v>Glastyp wählen</v>
      </c>
      <c r="P17" s="317"/>
      <c r="Q17" s="280" t="s">
        <v>244</v>
      </c>
      <c r="R17" s="316">
        <v>0.34</v>
      </c>
      <c r="S17" s="316">
        <v>0.26</v>
      </c>
      <c r="T17" s="316">
        <v>0.53</v>
      </c>
      <c r="U17" s="317" t="s">
        <v>654</v>
      </c>
      <c r="V17" s="280">
        <f t="shared" si="0"/>
        <v>0</v>
      </c>
      <c r="W17" s="316">
        <f t="shared" si="0"/>
        <v>0</v>
      </c>
      <c r="X17" s="316">
        <f t="shared" si="0"/>
        <v>0</v>
      </c>
      <c r="Y17" s="316">
        <f t="shared" si="0"/>
        <v>0</v>
      </c>
      <c r="Z17" s="316" t="str">
        <f t="shared" si="0"/>
        <v>Glastyp wählen</v>
      </c>
      <c r="AA17" s="317"/>
      <c r="AB17" s="714"/>
      <c r="AC17" s="453"/>
      <c r="AD17" s="453"/>
      <c r="AE17" s="453"/>
      <c r="AF17" s="439"/>
    </row>
    <row r="18" spans="1:32" x14ac:dyDescent="0.2">
      <c r="A18" s="436" t="s">
        <v>229</v>
      </c>
      <c r="B18" s="460" t="s">
        <v>200</v>
      </c>
      <c r="C18" s="461">
        <f>IF(AND($I$20=TRUE,OR('Pos. 5'!$N$10='Sprachen &amp; Rückgabewerte(5)'!$B$10,'Pos. 5'!$N$10='Sprachen &amp; Rückgabewerte(5)'!$B$11)),1,0)</f>
        <v>0</v>
      </c>
      <c r="D18" s="280" t="s">
        <v>335</v>
      </c>
      <c r="E18" s="316" t="s">
        <v>22</v>
      </c>
      <c r="F18" s="316" t="s">
        <v>336</v>
      </c>
      <c r="G18" s="317" t="s">
        <v>126</v>
      </c>
      <c r="H18" s="436" t="str">
        <f t="shared" si="1"/>
        <v xml:space="preserve">Riegelüberwachung (R) </v>
      </c>
      <c r="I18" s="445" t="b">
        <v>0</v>
      </c>
      <c r="K18" s="280">
        <v>0</v>
      </c>
      <c r="L18" s="316">
        <v>0</v>
      </c>
      <c r="M18" s="316">
        <v>0</v>
      </c>
      <c r="N18" s="316">
        <v>0</v>
      </c>
      <c r="O18" s="316" t="str">
        <f t="shared" si="2"/>
        <v>Glastyp wählen</v>
      </c>
      <c r="P18" s="317"/>
      <c r="Q18" s="280" t="s">
        <v>245</v>
      </c>
      <c r="R18" s="316">
        <v>0.33</v>
      </c>
      <c r="S18" s="316">
        <v>0.26</v>
      </c>
      <c r="T18" s="316">
        <v>0.52</v>
      </c>
      <c r="U18" s="317" t="s">
        <v>655</v>
      </c>
      <c r="V18" s="280">
        <f t="shared" si="0"/>
        <v>0</v>
      </c>
      <c r="W18" s="316">
        <f t="shared" si="0"/>
        <v>0</v>
      </c>
      <c r="X18" s="316">
        <f t="shared" si="0"/>
        <v>0</v>
      </c>
      <c r="Y18" s="316">
        <f t="shared" si="0"/>
        <v>0</v>
      </c>
      <c r="Z18" s="316" t="str">
        <f t="shared" si="0"/>
        <v>Glastyp wählen</v>
      </c>
      <c r="AA18" s="317"/>
      <c r="AB18" s="714"/>
      <c r="AC18" s="453"/>
      <c r="AD18" s="453"/>
      <c r="AE18" s="453"/>
      <c r="AF18" s="439"/>
    </row>
    <row r="19" spans="1:32" x14ac:dyDescent="0.2">
      <c r="A19" s="436"/>
      <c r="B19" s="460" t="s">
        <v>201</v>
      </c>
      <c r="C19" s="461">
        <f>IF(AND($I$20=TRUE,OR('Pos. 5'!$R$10='Sprachen &amp; Rückgabewerte(5)'!$B$10,'Pos. 5'!$R$10='Sprachen &amp; Rückgabewerte(5)'!$B$11)),1,0)</f>
        <v>0</v>
      </c>
      <c r="D19" s="280" t="s">
        <v>337</v>
      </c>
      <c r="E19" s="316" t="s">
        <v>23</v>
      </c>
      <c r="F19" s="316" t="s">
        <v>24</v>
      </c>
      <c r="G19" s="317" t="s">
        <v>124</v>
      </c>
      <c r="H19" s="436" t="str">
        <f t="shared" si="1"/>
        <v>Glasbruchüberwachung (G)</v>
      </c>
      <c r="I19" s="445" t="b">
        <v>0</v>
      </c>
      <c r="K19" s="280">
        <v>0</v>
      </c>
      <c r="L19" s="316">
        <v>0</v>
      </c>
      <c r="M19" s="316">
        <v>0</v>
      </c>
      <c r="N19" s="316">
        <v>0</v>
      </c>
      <c r="O19" s="316" t="str">
        <f t="shared" si="2"/>
        <v>Glastyp wählen</v>
      </c>
      <c r="P19" s="317"/>
      <c r="Q19" s="280" t="s">
        <v>246</v>
      </c>
      <c r="R19" s="316">
        <v>0.34</v>
      </c>
      <c r="S19" s="316">
        <v>0.26</v>
      </c>
      <c r="T19" s="316">
        <v>0.52</v>
      </c>
      <c r="U19" s="317" t="s">
        <v>656</v>
      </c>
      <c r="V19" s="280">
        <f t="shared" si="0"/>
        <v>0</v>
      </c>
      <c r="W19" s="316">
        <f t="shared" si="0"/>
        <v>0</v>
      </c>
      <c r="X19" s="316">
        <f t="shared" si="0"/>
        <v>0</v>
      </c>
      <c r="Y19" s="316">
        <f t="shared" si="0"/>
        <v>0</v>
      </c>
      <c r="Z19" s="316" t="str">
        <f t="shared" si="0"/>
        <v>Glastyp wählen</v>
      </c>
      <c r="AA19" s="317"/>
      <c r="AB19" s="439"/>
      <c r="AC19" s="439"/>
      <c r="AD19" s="439"/>
      <c r="AE19" s="439"/>
      <c r="AF19" s="439"/>
    </row>
    <row r="20" spans="1:32" x14ac:dyDescent="0.2">
      <c r="A20" s="436" t="s">
        <v>230</v>
      </c>
      <c r="B20" s="460" t="s">
        <v>202</v>
      </c>
      <c r="C20" s="461">
        <f>IF(AND($I$20=TRUE,OR('Pos. 5'!$V$10='Sprachen &amp; Rückgabewerte(5)'!$B$10,'Pos. 5'!$V$10='Sprachen &amp; Rückgabewerte(5)'!$B$11)),1,0)</f>
        <v>0</v>
      </c>
      <c r="D20" s="280" t="s">
        <v>25</v>
      </c>
      <c r="E20" s="316" t="s">
        <v>195</v>
      </c>
      <c r="F20" s="316" t="s">
        <v>26</v>
      </c>
      <c r="G20" s="317" t="s">
        <v>127</v>
      </c>
      <c r="H20" s="436" t="str">
        <f t="shared" si="1"/>
        <v>Elektrischer Antrieb, Anzahl</v>
      </c>
      <c r="I20" s="445" t="b">
        <v>0</v>
      </c>
      <c r="K20" s="280">
        <v>0</v>
      </c>
      <c r="L20" s="316">
        <v>0</v>
      </c>
      <c r="M20" s="316">
        <v>0</v>
      </c>
      <c r="N20" s="316">
        <v>0</v>
      </c>
      <c r="O20" s="316" t="str">
        <f t="shared" si="2"/>
        <v>Glastyp wählen</v>
      </c>
      <c r="P20" s="317"/>
      <c r="Q20" s="280" t="s">
        <v>247</v>
      </c>
      <c r="R20" s="316">
        <v>0.33</v>
      </c>
      <c r="S20" s="316">
        <v>0.26</v>
      </c>
      <c r="T20" s="316">
        <v>0.52</v>
      </c>
      <c r="U20" s="317" t="s">
        <v>657</v>
      </c>
      <c r="V20" s="280">
        <f t="shared" si="0"/>
        <v>0</v>
      </c>
      <c r="W20" s="316">
        <f t="shared" si="0"/>
        <v>0</v>
      </c>
      <c r="X20" s="316">
        <f t="shared" si="0"/>
        <v>0</v>
      </c>
      <c r="Y20" s="316">
        <f t="shared" si="0"/>
        <v>0</v>
      </c>
      <c r="Z20" s="316" t="str">
        <f t="shared" si="0"/>
        <v>Glastyp wählen</v>
      </c>
      <c r="AA20" s="317"/>
      <c r="AB20" s="439"/>
      <c r="AC20" s="439"/>
      <c r="AD20" s="439"/>
      <c r="AE20" s="439"/>
      <c r="AF20" s="439"/>
    </row>
    <row r="21" spans="1:32" x14ac:dyDescent="0.2">
      <c r="A21" s="436" t="s">
        <v>231</v>
      </c>
      <c r="B21" s="460" t="s">
        <v>203</v>
      </c>
      <c r="C21" s="461">
        <f>IF(AND($I$20=TRUE,OR('Pos. 5'!$Z$10='Sprachen &amp; Rückgabewerte(5)'!$B$10,'Pos. 5'!$Z$10='Sprachen &amp; Rückgabewerte(5)'!$B$11)),1,0)</f>
        <v>0</v>
      </c>
      <c r="D21" s="280" t="s">
        <v>27</v>
      </c>
      <c r="E21" s="316" t="s">
        <v>752</v>
      </c>
      <c r="F21" s="316" t="s">
        <v>28</v>
      </c>
      <c r="G21" s="317" t="s">
        <v>128</v>
      </c>
      <c r="H21" s="436" t="str">
        <f t="shared" si="1"/>
        <v>Stk.</v>
      </c>
      <c r="I21" s="445"/>
      <c r="K21" s="280">
        <v>0</v>
      </c>
      <c r="L21" s="316">
        <v>0</v>
      </c>
      <c r="M21" s="316">
        <v>0</v>
      </c>
      <c r="N21" s="316">
        <v>0</v>
      </c>
      <c r="O21" s="316" t="str">
        <f t="shared" si="2"/>
        <v>Glastyp wählen</v>
      </c>
      <c r="P21" s="317"/>
      <c r="Q21" s="280" t="s">
        <v>248</v>
      </c>
      <c r="R21" s="316">
        <v>0.33</v>
      </c>
      <c r="S21" s="316">
        <v>0.26</v>
      </c>
      <c r="T21" s="316">
        <v>0.52</v>
      </c>
      <c r="U21" s="317" t="s">
        <v>658</v>
      </c>
      <c r="V21" s="280">
        <f t="shared" si="0"/>
        <v>0</v>
      </c>
      <c r="W21" s="316">
        <f t="shared" si="0"/>
        <v>0</v>
      </c>
      <c r="X21" s="316">
        <f t="shared" si="0"/>
        <v>0</v>
      </c>
      <c r="Y21" s="316">
        <f t="shared" si="0"/>
        <v>0</v>
      </c>
      <c r="Z21" s="316" t="str">
        <f t="shared" si="0"/>
        <v>Glastyp wählen</v>
      </c>
      <c r="AA21" s="317"/>
      <c r="AB21" s="439"/>
      <c r="AC21" s="439"/>
      <c r="AD21" s="439"/>
      <c r="AE21" s="439"/>
      <c r="AF21" s="439"/>
    </row>
    <row r="22" spans="1:32" x14ac:dyDescent="0.2">
      <c r="A22" s="436"/>
      <c r="B22" s="460" t="s">
        <v>204</v>
      </c>
      <c r="C22" s="461">
        <f>IF(AND($I$20=TRUE,OR('Pos. 5'!$AD$10='Sprachen &amp; Rückgabewerte(5)'!$B$10,'Pos. 5'!$AD$10='Sprachen &amp; Rückgabewerte(5)'!$B$11)),1,0)</f>
        <v>0</v>
      </c>
      <c r="D22" s="280" t="s">
        <v>29</v>
      </c>
      <c r="E22" s="316" t="s">
        <v>333</v>
      </c>
      <c r="F22" s="316" t="s">
        <v>332</v>
      </c>
      <c r="G22" s="317" t="s">
        <v>494</v>
      </c>
      <c r="H22" s="436" t="str">
        <f t="shared" si="1"/>
        <v>geforderte Klassen:</v>
      </c>
      <c r="I22" s="445" t="b">
        <v>0</v>
      </c>
      <c r="K22" s="280">
        <v>0</v>
      </c>
      <c r="L22" s="316">
        <v>0</v>
      </c>
      <c r="M22" s="316">
        <v>0</v>
      </c>
      <c r="N22" s="316">
        <v>0</v>
      </c>
      <c r="O22" s="316" t="str">
        <f t="shared" si="2"/>
        <v>Glastyp wählen</v>
      </c>
      <c r="P22" s="317"/>
      <c r="Q22" s="280" t="s">
        <v>249</v>
      </c>
      <c r="R22" s="316">
        <v>0.33</v>
      </c>
      <c r="S22" s="316">
        <v>0.26</v>
      </c>
      <c r="T22" s="316">
        <v>0.51</v>
      </c>
      <c r="U22" s="317" t="s">
        <v>659</v>
      </c>
      <c r="V22" s="280">
        <f t="shared" si="0"/>
        <v>0</v>
      </c>
      <c r="W22" s="316">
        <f t="shared" si="0"/>
        <v>0</v>
      </c>
      <c r="X22" s="316">
        <f t="shared" si="0"/>
        <v>0</v>
      </c>
      <c r="Y22" s="316">
        <f t="shared" si="0"/>
        <v>0</v>
      </c>
      <c r="Z22" s="316" t="str">
        <f t="shared" si="0"/>
        <v>Glastyp wählen</v>
      </c>
      <c r="AA22" s="317"/>
      <c r="AB22" s="439"/>
      <c r="AC22" s="439"/>
      <c r="AD22" s="439"/>
      <c r="AE22" s="439"/>
      <c r="AF22" s="439"/>
    </row>
    <row r="23" spans="1:32" x14ac:dyDescent="0.2">
      <c r="A23" s="370">
        <v>1</v>
      </c>
      <c r="B23" s="460" t="s">
        <v>205</v>
      </c>
      <c r="C23" s="461">
        <f>IF(AND($I$20=TRUE,OR('Pos. 5'!$AH$10='Sprachen &amp; Rückgabewerte(5)'!$B$10,'Pos. 5'!$AH$10='Sprachen &amp; Rückgabewerte(5)'!$B$11)),1,0)</f>
        <v>0</v>
      </c>
      <c r="D23" s="6" t="s">
        <v>119</v>
      </c>
      <c r="E23" s="7" t="s">
        <v>121</v>
      </c>
      <c r="F23" s="7" t="s">
        <v>122</v>
      </c>
      <c r="G23" s="8" t="s">
        <v>344</v>
      </c>
      <c r="H23" s="436" t="str">
        <f t="shared" si="1"/>
        <v>(Schlagregen, Luftdurchlässigkeit)</v>
      </c>
      <c r="I23" s="445"/>
      <c r="K23" s="280">
        <v>0</v>
      </c>
      <c r="L23" s="316">
        <v>0</v>
      </c>
      <c r="M23" s="316">
        <v>0</v>
      </c>
      <c r="N23" s="316">
        <v>0</v>
      </c>
      <c r="O23" s="316" t="str">
        <f t="shared" si="2"/>
        <v>Glastyp wählen</v>
      </c>
      <c r="P23" s="317"/>
      <c r="Q23" s="280">
        <v>0</v>
      </c>
      <c r="R23" s="316">
        <v>0</v>
      </c>
      <c r="S23" s="316">
        <v>0</v>
      </c>
      <c r="T23" s="316">
        <v>0</v>
      </c>
      <c r="U23" s="317" t="str">
        <f t="shared" si="3"/>
        <v>Glastyp wählen</v>
      </c>
      <c r="V23" s="280">
        <f t="shared" si="0"/>
        <v>0</v>
      </c>
      <c r="W23" s="316">
        <f t="shared" si="0"/>
        <v>0</v>
      </c>
      <c r="X23" s="316">
        <f t="shared" si="0"/>
        <v>0</v>
      </c>
      <c r="Y23" s="316">
        <f t="shared" si="0"/>
        <v>0</v>
      </c>
      <c r="Z23" s="316" t="str">
        <f t="shared" si="0"/>
        <v>Glastyp wählen</v>
      </c>
      <c r="AA23" s="317"/>
      <c r="AB23" s="439"/>
      <c r="AC23" s="439"/>
      <c r="AD23" s="439"/>
      <c r="AE23" s="439"/>
      <c r="AF23" s="439"/>
    </row>
    <row r="24" spans="1:32" ht="13.5" thickBot="1" x14ac:dyDescent="0.25">
      <c r="A24" s="466">
        <v>2</v>
      </c>
      <c r="B24" s="460" t="s">
        <v>206</v>
      </c>
      <c r="C24" s="461">
        <f>IF(AND($I$20=TRUE,OR('Pos. 5'!$AL$10='Sprachen &amp; Rückgabewerte(5)'!$B$10,'Pos. 5'!$AL$10='Sprachen &amp; Rückgabewerte(5)'!$B$11)),1,0)</f>
        <v>0</v>
      </c>
      <c r="D24" s="280" t="s">
        <v>111</v>
      </c>
      <c r="E24" s="316" t="s">
        <v>112</v>
      </c>
      <c r="F24" s="316" t="s">
        <v>113</v>
      </c>
      <c r="G24" s="317" t="s">
        <v>114</v>
      </c>
      <c r="H24" s="436" t="str">
        <f t="shared" si="1"/>
        <v>Speziell:</v>
      </c>
      <c r="I24" s="445"/>
      <c r="K24" s="280">
        <v>0</v>
      </c>
      <c r="L24" s="316">
        <v>0</v>
      </c>
      <c r="M24" s="316">
        <v>0</v>
      </c>
      <c r="N24" s="316">
        <v>0</v>
      </c>
      <c r="O24" s="316" t="str">
        <f t="shared" si="2"/>
        <v>Glastyp wählen</v>
      </c>
      <c r="P24" s="317"/>
      <c r="Q24" s="280" t="s">
        <v>660</v>
      </c>
      <c r="R24" s="316">
        <v>0.34</v>
      </c>
      <c r="S24" s="316">
        <v>0.22</v>
      </c>
      <c r="T24" s="316">
        <v>0.43</v>
      </c>
      <c r="U24" s="317" t="s">
        <v>661</v>
      </c>
      <c r="V24" s="280">
        <f t="shared" si="0"/>
        <v>0</v>
      </c>
      <c r="W24" s="316">
        <f t="shared" si="0"/>
        <v>0</v>
      </c>
      <c r="X24" s="316">
        <f t="shared" si="0"/>
        <v>0</v>
      </c>
      <c r="Y24" s="316">
        <f t="shared" si="0"/>
        <v>0</v>
      </c>
      <c r="Z24" s="316" t="str">
        <f t="shared" si="0"/>
        <v>Glastyp wählen</v>
      </c>
      <c r="AA24" s="317"/>
      <c r="AB24" s="439"/>
      <c r="AC24" s="439"/>
      <c r="AD24" s="439"/>
      <c r="AE24" s="439"/>
      <c r="AF24" s="439"/>
    </row>
    <row r="25" spans="1:32" ht="13.5" thickBot="1" x14ac:dyDescent="0.25">
      <c r="B25" s="467" t="s">
        <v>207</v>
      </c>
      <c r="C25" s="464">
        <f>IF(AND($I$20=TRUE,OR('Pos. 5'!$AP$10='Sprachen &amp; Rückgabewerte(5)'!$B$10,'Pos. 5'!$AP$10='Sprachen &amp; Rückgabewerte(5)'!$B$11)),1,0)</f>
        <v>0</v>
      </c>
      <c r="D25" s="280" t="s">
        <v>30</v>
      </c>
      <c r="E25" s="316" t="s">
        <v>30</v>
      </c>
      <c r="F25" s="316" t="s">
        <v>30</v>
      </c>
      <c r="G25" s="317" t="s">
        <v>30</v>
      </c>
      <c r="H25" s="436" t="str">
        <f t="shared" si="1"/>
        <v>Pool</v>
      </c>
      <c r="I25" s="445" t="b">
        <v>0</v>
      </c>
      <c r="K25" s="280">
        <v>0</v>
      </c>
      <c r="L25" s="316">
        <v>0</v>
      </c>
      <c r="M25" s="316">
        <v>0</v>
      </c>
      <c r="N25" s="316">
        <v>0</v>
      </c>
      <c r="O25" s="316" t="str">
        <f t="shared" si="2"/>
        <v>Glastyp wählen</v>
      </c>
      <c r="P25" s="317"/>
      <c r="Q25" s="280" t="s">
        <v>662</v>
      </c>
      <c r="R25" s="316">
        <v>0.33</v>
      </c>
      <c r="S25" s="316">
        <v>0.22</v>
      </c>
      <c r="T25" s="316">
        <v>0.42</v>
      </c>
      <c r="U25" s="317" t="s">
        <v>663</v>
      </c>
      <c r="V25" s="468">
        <f t="shared" si="0"/>
        <v>0</v>
      </c>
      <c r="W25" s="469">
        <f t="shared" si="0"/>
        <v>0</v>
      </c>
      <c r="X25" s="469">
        <f t="shared" si="0"/>
        <v>0</v>
      </c>
      <c r="Y25" s="469">
        <f t="shared" si="0"/>
        <v>0</v>
      </c>
      <c r="Z25" s="469" t="str">
        <f t="shared" si="0"/>
        <v>Glastyp wählen</v>
      </c>
      <c r="AA25" s="470"/>
      <c r="AB25" s="439"/>
      <c r="AC25" s="439"/>
      <c r="AD25" s="439"/>
      <c r="AE25" s="439"/>
      <c r="AF25" s="439"/>
    </row>
    <row r="26" spans="1:32" ht="13.5" thickBot="1" x14ac:dyDescent="0.25">
      <c r="D26" s="280" t="s">
        <v>115</v>
      </c>
      <c r="E26" s="316" t="s">
        <v>120</v>
      </c>
      <c r="F26" s="316" t="s">
        <v>123</v>
      </c>
      <c r="G26" s="317" t="s">
        <v>345</v>
      </c>
      <c r="H26" s="436" t="str">
        <f t="shared" si="1"/>
        <v>Schallschutz</v>
      </c>
      <c r="I26" s="445"/>
      <c r="K26" s="280">
        <v>0</v>
      </c>
      <c r="L26" s="316">
        <v>0</v>
      </c>
      <c r="M26" s="316">
        <v>0</v>
      </c>
      <c r="N26" s="316">
        <v>0</v>
      </c>
      <c r="O26" s="316" t="str">
        <f t="shared" si="2"/>
        <v>Glastyp wählen</v>
      </c>
      <c r="P26" s="317"/>
      <c r="Q26" s="471" t="s">
        <v>664</v>
      </c>
      <c r="R26" s="472">
        <v>0.34</v>
      </c>
      <c r="S26" s="472">
        <v>0.22</v>
      </c>
      <c r="T26" s="472">
        <v>0.43</v>
      </c>
      <c r="U26" s="317" t="s">
        <v>665</v>
      </c>
      <c r="V26" s="280">
        <f t="shared" ref="V26:Z35" si="4">IF($I$125=TRUE,Q26,K26)</f>
        <v>0</v>
      </c>
      <c r="W26" s="316">
        <f t="shared" si="4"/>
        <v>0</v>
      </c>
      <c r="X26" s="316">
        <f t="shared" si="4"/>
        <v>0</v>
      </c>
      <c r="Y26" s="316">
        <f t="shared" si="4"/>
        <v>0</v>
      </c>
      <c r="Z26" s="316" t="str">
        <f t="shared" si="4"/>
        <v>Glastyp wählen</v>
      </c>
      <c r="AA26" s="317"/>
      <c r="AB26" s="439"/>
      <c r="AC26" s="439"/>
      <c r="AD26" s="439"/>
      <c r="AE26" s="439"/>
      <c r="AF26" s="439"/>
    </row>
    <row r="27" spans="1:32" x14ac:dyDescent="0.2">
      <c r="A27" s="56" t="s">
        <v>860</v>
      </c>
      <c r="B27" s="33" t="s">
        <v>208</v>
      </c>
      <c r="C27" s="438"/>
      <c r="D27" s="280" t="s">
        <v>116</v>
      </c>
      <c r="E27" s="316" t="s">
        <v>116</v>
      </c>
      <c r="F27" s="316" t="s">
        <v>116</v>
      </c>
      <c r="G27" s="317" t="s">
        <v>116</v>
      </c>
      <c r="H27" s="436" t="str">
        <f t="shared" si="1"/>
        <v>MINERGIE Modul</v>
      </c>
      <c r="I27" s="445"/>
      <c r="K27" s="280">
        <v>0</v>
      </c>
      <c r="L27" s="316">
        <v>0</v>
      </c>
      <c r="M27" s="316">
        <v>0</v>
      </c>
      <c r="N27" s="316">
        <v>0</v>
      </c>
      <c r="O27" s="316" t="str">
        <f t="shared" si="2"/>
        <v>Glastyp wählen</v>
      </c>
      <c r="P27" s="317"/>
      <c r="Q27" s="471" t="s">
        <v>666</v>
      </c>
      <c r="R27" s="472">
        <v>0.33</v>
      </c>
      <c r="S27" s="472">
        <v>0.22</v>
      </c>
      <c r="T27" s="472">
        <v>0.42</v>
      </c>
      <c r="U27" s="317" t="s">
        <v>667</v>
      </c>
      <c r="V27" s="280">
        <f t="shared" si="4"/>
        <v>0</v>
      </c>
      <c r="W27" s="316">
        <f t="shared" si="4"/>
        <v>0</v>
      </c>
      <c r="X27" s="316">
        <f t="shared" si="4"/>
        <v>0</v>
      </c>
      <c r="Y27" s="316">
        <f t="shared" si="4"/>
        <v>0</v>
      </c>
      <c r="Z27" s="316" t="str">
        <f t="shared" si="4"/>
        <v>Glastyp wählen</v>
      </c>
      <c r="AA27" s="317"/>
      <c r="AB27" s="439"/>
      <c r="AC27" s="439"/>
      <c r="AD27" s="439"/>
      <c r="AE27" s="439"/>
      <c r="AF27" s="439"/>
    </row>
    <row r="28" spans="1:32" x14ac:dyDescent="0.2">
      <c r="A28" s="369"/>
      <c r="B28" s="329" t="s">
        <v>209</v>
      </c>
      <c r="C28" s="362" t="str">
        <f>IF($I$17=TRUE,"P","")</f>
        <v/>
      </c>
      <c r="D28" s="280" t="s">
        <v>117</v>
      </c>
      <c r="E28" s="316" t="s">
        <v>117</v>
      </c>
      <c r="F28" s="316" t="s">
        <v>117</v>
      </c>
      <c r="G28" s="317" t="s">
        <v>117</v>
      </c>
      <c r="H28" s="436" t="str">
        <f t="shared" si="1"/>
        <v>MINERGIE-P Modul</v>
      </c>
      <c r="I28" s="445"/>
      <c r="K28" s="280">
        <v>0</v>
      </c>
      <c r="L28" s="316">
        <v>0</v>
      </c>
      <c r="M28" s="316">
        <v>0</v>
      </c>
      <c r="N28" s="316">
        <v>0</v>
      </c>
      <c r="O28" s="316" t="str">
        <f t="shared" si="2"/>
        <v>Glastyp wählen</v>
      </c>
      <c r="P28" s="317"/>
      <c r="Q28" s="471" t="s">
        <v>668</v>
      </c>
      <c r="R28" s="472">
        <v>0.33</v>
      </c>
      <c r="S28" s="472">
        <v>0.22</v>
      </c>
      <c r="T28" s="472">
        <v>0.42</v>
      </c>
      <c r="U28" s="317" t="s">
        <v>669</v>
      </c>
      <c r="V28" s="280">
        <f t="shared" si="4"/>
        <v>0</v>
      </c>
      <c r="W28" s="316">
        <f t="shared" si="4"/>
        <v>0</v>
      </c>
      <c r="X28" s="316">
        <f t="shared" si="4"/>
        <v>0</v>
      </c>
      <c r="Y28" s="316">
        <f t="shared" si="4"/>
        <v>0</v>
      </c>
      <c r="Z28" s="316" t="str">
        <f t="shared" si="4"/>
        <v>Glastyp wählen</v>
      </c>
      <c r="AA28" s="317"/>
      <c r="AB28" s="439"/>
      <c r="AC28" s="439"/>
      <c r="AD28" s="439"/>
      <c r="AE28" s="439"/>
      <c r="AF28" s="439"/>
    </row>
    <row r="29" spans="1:32" x14ac:dyDescent="0.2">
      <c r="A29" s="370" t="s">
        <v>862</v>
      </c>
      <c r="B29" s="280" t="s">
        <v>210</v>
      </c>
      <c r="C29" s="461" t="str">
        <f>IF($I$18=TRUE,"R","")</f>
        <v/>
      </c>
      <c r="D29" s="280" t="s">
        <v>118</v>
      </c>
      <c r="E29" s="316" t="s">
        <v>118</v>
      </c>
      <c r="F29" s="316" t="s">
        <v>118</v>
      </c>
      <c r="G29" s="317" t="s">
        <v>118</v>
      </c>
      <c r="H29" s="436" t="str">
        <f t="shared" si="1"/>
        <v>Gun</v>
      </c>
      <c r="I29" s="445"/>
      <c r="K29" s="280">
        <v>0</v>
      </c>
      <c r="L29" s="316">
        <v>0</v>
      </c>
      <c r="M29" s="316">
        <v>0</v>
      </c>
      <c r="N29" s="316">
        <v>0</v>
      </c>
      <c r="O29" s="316" t="str">
        <f t="shared" si="2"/>
        <v>Glastyp wählen</v>
      </c>
      <c r="P29" s="317"/>
      <c r="Q29" s="471" t="s">
        <v>670</v>
      </c>
      <c r="R29" s="472">
        <v>0.33</v>
      </c>
      <c r="S29" s="472">
        <v>0.22</v>
      </c>
      <c r="T29" s="472">
        <v>0.42</v>
      </c>
      <c r="U29" s="317" t="s">
        <v>671</v>
      </c>
      <c r="V29" s="280">
        <f t="shared" si="4"/>
        <v>0</v>
      </c>
      <c r="W29" s="316">
        <f t="shared" si="4"/>
        <v>0</v>
      </c>
      <c r="X29" s="316">
        <f t="shared" si="4"/>
        <v>0</v>
      </c>
      <c r="Y29" s="316">
        <f t="shared" si="4"/>
        <v>0</v>
      </c>
      <c r="Z29" s="316" t="str">
        <f t="shared" si="4"/>
        <v>Glastyp wählen</v>
      </c>
      <c r="AA29" s="317"/>
      <c r="AB29" s="439"/>
      <c r="AC29" s="439"/>
      <c r="AD29" s="439"/>
      <c r="AE29" s="439"/>
      <c r="AF29" s="439"/>
    </row>
    <row r="30" spans="1:32" ht="13.5" thickBot="1" x14ac:dyDescent="0.25">
      <c r="A30" s="371" t="s">
        <v>861</v>
      </c>
      <c r="B30" s="467" t="s">
        <v>211</v>
      </c>
      <c r="C30" s="464" t="str">
        <f>IF($I$19=TRUE,"G","")</f>
        <v/>
      </c>
      <c r="D30" s="280" t="s">
        <v>31</v>
      </c>
      <c r="E30" s="316" t="s">
        <v>32</v>
      </c>
      <c r="F30" s="316" t="s">
        <v>33</v>
      </c>
      <c r="G30" s="317" t="s">
        <v>686</v>
      </c>
      <c r="H30" s="436" t="str">
        <f t="shared" si="1"/>
        <v>nach rechts</v>
      </c>
      <c r="I30" s="445" t="b">
        <v>0</v>
      </c>
      <c r="K30" s="280">
        <v>0</v>
      </c>
      <c r="L30" s="316">
        <v>0</v>
      </c>
      <c r="M30" s="316">
        <v>0</v>
      </c>
      <c r="N30" s="316">
        <v>0</v>
      </c>
      <c r="O30" s="316" t="str">
        <f t="shared" si="2"/>
        <v>Glastyp wählen</v>
      </c>
      <c r="P30" s="317"/>
      <c r="Q30" s="280">
        <v>0</v>
      </c>
      <c r="R30" s="316">
        <v>0</v>
      </c>
      <c r="S30" s="316">
        <v>0</v>
      </c>
      <c r="T30" s="316">
        <v>0</v>
      </c>
      <c r="U30" s="317" t="str">
        <f t="shared" ref="U30" si="5">$H$54</f>
        <v>Glastyp wählen</v>
      </c>
      <c r="V30" s="280">
        <f t="shared" si="4"/>
        <v>0</v>
      </c>
      <c r="W30" s="316">
        <f t="shared" si="4"/>
        <v>0</v>
      </c>
      <c r="X30" s="316">
        <f t="shared" si="4"/>
        <v>0</v>
      </c>
      <c r="Y30" s="316">
        <f t="shared" si="4"/>
        <v>0</v>
      </c>
      <c r="Z30" s="316" t="str">
        <f t="shared" si="4"/>
        <v>Glastyp wählen</v>
      </c>
      <c r="AA30" s="317"/>
      <c r="AB30" s="439"/>
      <c r="AC30" s="439"/>
      <c r="AD30" s="439"/>
      <c r="AE30" s="439"/>
      <c r="AF30" s="439"/>
    </row>
    <row r="31" spans="1:32" ht="13.5" thickBot="1" x14ac:dyDescent="0.25">
      <c r="B31" s="439"/>
      <c r="C31" s="473"/>
      <c r="D31" s="460" t="s">
        <v>34</v>
      </c>
      <c r="E31" s="316" t="s">
        <v>35</v>
      </c>
      <c r="F31" s="316" t="s">
        <v>36</v>
      </c>
      <c r="G31" s="317" t="s">
        <v>687</v>
      </c>
      <c r="H31" s="436" t="str">
        <f t="shared" si="1"/>
        <v>nach links</v>
      </c>
      <c r="I31" s="445" t="b">
        <v>0</v>
      </c>
      <c r="K31" s="280">
        <v>0</v>
      </c>
      <c r="L31" s="316">
        <v>0</v>
      </c>
      <c r="M31" s="316">
        <v>0</v>
      </c>
      <c r="N31" s="316">
        <v>0</v>
      </c>
      <c r="O31" s="316" t="str">
        <f t="shared" si="2"/>
        <v>Glastyp wählen</v>
      </c>
      <c r="P31" s="317"/>
      <c r="Q31" s="471" t="s">
        <v>672</v>
      </c>
      <c r="R31" s="472">
        <v>0.33</v>
      </c>
      <c r="S31" s="472">
        <v>0.46</v>
      </c>
      <c r="T31" s="472">
        <v>0.66</v>
      </c>
      <c r="U31" s="317" t="s">
        <v>676</v>
      </c>
      <c r="V31" s="280">
        <f t="shared" si="4"/>
        <v>0</v>
      </c>
      <c r="W31" s="316">
        <f t="shared" si="4"/>
        <v>0</v>
      </c>
      <c r="X31" s="316">
        <f t="shared" si="4"/>
        <v>0</v>
      </c>
      <c r="Y31" s="316">
        <f t="shared" si="4"/>
        <v>0</v>
      </c>
      <c r="Z31" s="316" t="str">
        <f t="shared" si="4"/>
        <v>Glastyp wählen</v>
      </c>
      <c r="AA31" s="317"/>
      <c r="AB31" s="439"/>
      <c r="AC31" s="439"/>
      <c r="AD31" s="439"/>
      <c r="AE31" s="439"/>
      <c r="AF31" s="439"/>
    </row>
    <row r="32" spans="1:32" x14ac:dyDescent="0.2">
      <c r="B32" s="33" t="s">
        <v>217</v>
      </c>
      <c r="C32" s="33"/>
      <c r="D32" s="460" t="s">
        <v>37</v>
      </c>
      <c r="E32" s="316" t="s">
        <v>38</v>
      </c>
      <c r="F32" s="316" t="s">
        <v>39</v>
      </c>
      <c r="G32" s="317" t="s">
        <v>129</v>
      </c>
      <c r="H32" s="436" t="str">
        <f t="shared" si="1"/>
        <v>Breite =</v>
      </c>
      <c r="I32" s="445"/>
      <c r="K32" s="280">
        <v>0</v>
      </c>
      <c r="L32" s="316">
        <v>0</v>
      </c>
      <c r="M32" s="316">
        <v>0</v>
      </c>
      <c r="N32" s="316">
        <v>0</v>
      </c>
      <c r="O32" s="316" t="str">
        <f t="shared" si="2"/>
        <v>Glastyp wählen</v>
      </c>
      <c r="P32" s="317"/>
      <c r="Q32" s="471" t="s">
        <v>673</v>
      </c>
      <c r="R32" s="472">
        <v>0.32</v>
      </c>
      <c r="S32" s="472">
        <v>0.39</v>
      </c>
      <c r="T32" s="472">
        <v>0.57999999999999996</v>
      </c>
      <c r="U32" s="317" t="s">
        <v>677</v>
      </c>
      <c r="V32" s="280">
        <f t="shared" si="4"/>
        <v>0</v>
      </c>
      <c r="W32" s="316">
        <f t="shared" si="4"/>
        <v>0</v>
      </c>
      <c r="X32" s="316">
        <f t="shared" si="4"/>
        <v>0</v>
      </c>
      <c r="Y32" s="316">
        <f t="shared" si="4"/>
        <v>0</v>
      </c>
      <c r="Z32" s="316" t="str">
        <f t="shared" si="4"/>
        <v>Glastyp wählen</v>
      </c>
      <c r="AA32" s="317"/>
      <c r="AB32" s="439"/>
      <c r="AC32" s="439"/>
      <c r="AD32" s="439"/>
      <c r="AE32" s="439"/>
      <c r="AF32" s="439"/>
    </row>
    <row r="33" spans="1:32" x14ac:dyDescent="0.2">
      <c r="B33" s="329"/>
      <c r="C33" s="446"/>
      <c r="D33" s="280" t="s">
        <v>132</v>
      </c>
      <c r="E33" s="316" t="s">
        <v>131</v>
      </c>
      <c r="F33" s="316" t="s">
        <v>40</v>
      </c>
      <c r="G33" s="317" t="s">
        <v>130</v>
      </c>
      <c r="H33" s="436" t="str">
        <f t="shared" si="1"/>
        <v>Griffhöhe:</v>
      </c>
      <c r="I33" s="445"/>
      <c r="K33" s="280">
        <v>0</v>
      </c>
      <c r="L33" s="316">
        <v>0</v>
      </c>
      <c r="M33" s="316">
        <v>0</v>
      </c>
      <c r="N33" s="316">
        <v>0</v>
      </c>
      <c r="O33" s="316" t="str">
        <f t="shared" si="2"/>
        <v>Glastyp wählen</v>
      </c>
      <c r="P33" s="317"/>
      <c r="Q33" s="471" t="s">
        <v>674</v>
      </c>
      <c r="R33" s="472">
        <v>0.32</v>
      </c>
      <c r="S33" s="472">
        <v>0.26</v>
      </c>
      <c r="T33" s="472">
        <v>0.52</v>
      </c>
      <c r="U33" s="317" t="s">
        <v>675</v>
      </c>
      <c r="V33" s="280">
        <f t="shared" si="4"/>
        <v>0</v>
      </c>
      <c r="W33" s="316">
        <f t="shared" si="4"/>
        <v>0</v>
      </c>
      <c r="X33" s="316">
        <f t="shared" si="4"/>
        <v>0</v>
      </c>
      <c r="Y33" s="316">
        <f t="shared" si="4"/>
        <v>0</v>
      </c>
      <c r="Z33" s="316" t="str">
        <f t="shared" si="4"/>
        <v>Glastyp wählen</v>
      </c>
      <c r="AA33" s="317"/>
      <c r="AB33" s="439"/>
      <c r="AC33" s="439"/>
      <c r="AD33" s="439"/>
      <c r="AE33" s="439"/>
      <c r="AF33" s="439"/>
    </row>
    <row r="34" spans="1:32" ht="13.5" thickBot="1" x14ac:dyDescent="0.25">
      <c r="B34" s="474" t="s">
        <v>218</v>
      </c>
      <c r="C34" s="475"/>
      <c r="D34" s="280" t="s">
        <v>41</v>
      </c>
      <c r="E34" s="316" t="s">
        <v>42</v>
      </c>
      <c r="F34" s="316" t="s">
        <v>43</v>
      </c>
      <c r="G34" s="317" t="s">
        <v>133</v>
      </c>
      <c r="H34" s="436" t="str">
        <f t="shared" si="1"/>
        <v xml:space="preserve">Höhe = </v>
      </c>
      <c r="I34" s="445"/>
      <c r="K34" s="280">
        <v>0</v>
      </c>
      <c r="L34" s="316">
        <v>0</v>
      </c>
      <c r="M34" s="316">
        <v>0</v>
      </c>
      <c r="N34" s="316">
        <v>0</v>
      </c>
      <c r="O34" s="316" t="str">
        <f t="shared" si="2"/>
        <v>Glastyp wählen</v>
      </c>
      <c r="P34" s="228"/>
      <c r="Q34" s="280">
        <v>0</v>
      </c>
      <c r="R34" s="316">
        <v>0</v>
      </c>
      <c r="S34" s="316">
        <v>0</v>
      </c>
      <c r="T34" s="316">
        <v>0</v>
      </c>
      <c r="U34" s="317" t="str">
        <f t="shared" ref="U34" si="6">$H$54</f>
        <v>Glastyp wählen</v>
      </c>
      <c r="V34" s="280">
        <f t="shared" si="4"/>
        <v>0</v>
      </c>
      <c r="W34" s="316">
        <f t="shared" si="4"/>
        <v>0</v>
      </c>
      <c r="X34" s="316">
        <f t="shared" si="4"/>
        <v>0</v>
      </c>
      <c r="Y34" s="316">
        <f t="shared" si="4"/>
        <v>0</v>
      </c>
      <c r="Z34" s="316" t="str">
        <f t="shared" si="4"/>
        <v>Glastyp wählen</v>
      </c>
      <c r="AA34" s="317"/>
      <c r="AB34" s="439"/>
      <c r="AC34" s="439"/>
      <c r="AD34" s="439"/>
      <c r="AE34" s="439"/>
      <c r="AF34" s="439"/>
    </row>
    <row r="35" spans="1:32" ht="13.5" thickBot="1" x14ac:dyDescent="0.25">
      <c r="D35" s="280" t="s">
        <v>44</v>
      </c>
      <c r="E35" s="316" t="s">
        <v>45</v>
      </c>
      <c r="F35" s="316" t="s">
        <v>45</v>
      </c>
      <c r="G35" s="317" t="s">
        <v>134</v>
      </c>
      <c r="H35" s="436" t="str">
        <f t="shared" si="1"/>
        <v>Oberfläche:</v>
      </c>
      <c r="I35" s="445"/>
      <c r="K35" s="467">
        <v>0</v>
      </c>
      <c r="L35" s="476">
        <v>0</v>
      </c>
      <c r="M35" s="476">
        <v>0</v>
      </c>
      <c r="N35" s="476">
        <v>0</v>
      </c>
      <c r="O35" s="476" t="str">
        <f t="shared" si="2"/>
        <v>Glastyp wählen</v>
      </c>
      <c r="P35" s="475"/>
      <c r="Q35" s="477" t="s">
        <v>678</v>
      </c>
      <c r="R35" s="478">
        <v>0.32</v>
      </c>
      <c r="S35" s="478">
        <v>0.22</v>
      </c>
      <c r="T35" s="478">
        <v>0.42</v>
      </c>
      <c r="U35" s="475" t="s">
        <v>679</v>
      </c>
      <c r="V35" s="467">
        <f t="shared" si="4"/>
        <v>0</v>
      </c>
      <c r="W35" s="476">
        <f t="shared" si="4"/>
        <v>0</v>
      </c>
      <c r="X35" s="476">
        <f t="shared" si="4"/>
        <v>0</v>
      </c>
      <c r="Y35" s="476">
        <f t="shared" si="4"/>
        <v>0</v>
      </c>
      <c r="Z35" s="476" t="str">
        <f t="shared" si="4"/>
        <v>Glastyp wählen</v>
      </c>
      <c r="AA35" s="475"/>
      <c r="AB35" s="439"/>
      <c r="AC35" s="439"/>
      <c r="AD35" s="439"/>
      <c r="AE35" s="439"/>
      <c r="AF35" s="439"/>
    </row>
    <row r="36" spans="1:32" x14ac:dyDescent="0.2">
      <c r="B36" s="33" t="s">
        <v>219</v>
      </c>
      <c r="C36" s="33"/>
      <c r="D36" s="280" t="s">
        <v>46</v>
      </c>
      <c r="E36" s="316" t="s">
        <v>47</v>
      </c>
      <c r="F36" s="316" t="s">
        <v>136</v>
      </c>
      <c r="G36" s="317" t="s">
        <v>135</v>
      </c>
      <c r="H36" s="436" t="str">
        <f t="shared" si="1"/>
        <v>eloxiert (Qualanod):</v>
      </c>
      <c r="I36" s="445" t="b">
        <v>0</v>
      </c>
      <c r="AB36" s="439"/>
      <c r="AC36" s="439"/>
      <c r="AD36" s="439"/>
      <c r="AE36" s="439"/>
      <c r="AF36" s="439"/>
    </row>
    <row r="37" spans="1:32" x14ac:dyDescent="0.2">
      <c r="B37" s="329" t="s">
        <v>221</v>
      </c>
      <c r="C37" s="446" t="b">
        <v>1</v>
      </c>
      <c r="D37" s="280" t="s">
        <v>48</v>
      </c>
      <c r="E37" s="316" t="s">
        <v>137</v>
      </c>
      <c r="F37" s="316" t="s">
        <v>137</v>
      </c>
      <c r="G37" s="317" t="s">
        <v>137</v>
      </c>
      <c r="H37" s="436" t="str">
        <f t="shared" si="1"/>
        <v>20 my (Standard)</v>
      </c>
      <c r="I37" s="445"/>
    </row>
    <row r="38" spans="1:32" x14ac:dyDescent="0.2">
      <c r="B38" s="280" t="s">
        <v>220</v>
      </c>
      <c r="C38" s="317" t="b">
        <v>1</v>
      </c>
      <c r="D38" s="280" t="s">
        <v>49</v>
      </c>
      <c r="E38" s="316" t="s">
        <v>50</v>
      </c>
      <c r="F38" s="316" t="s">
        <v>51</v>
      </c>
      <c r="G38" s="317" t="s">
        <v>346</v>
      </c>
      <c r="H38" s="436" t="str">
        <f t="shared" si="1"/>
        <v>25 my (Pool/Meer)</v>
      </c>
      <c r="I38" s="445"/>
    </row>
    <row r="39" spans="1:32" ht="13.5" thickBot="1" x14ac:dyDescent="0.25">
      <c r="B39" s="280" t="s">
        <v>222</v>
      </c>
      <c r="C39" s="317" t="b">
        <v>0</v>
      </c>
      <c r="D39" s="280" t="s">
        <v>369</v>
      </c>
      <c r="E39" s="316" t="s">
        <v>370</v>
      </c>
      <c r="F39" s="316" t="s">
        <v>371</v>
      </c>
      <c r="G39" s="317" t="s">
        <v>372</v>
      </c>
      <c r="H39" s="436" t="str">
        <f t="shared" si="1"/>
        <v>pulverbeschichtet:</v>
      </c>
      <c r="I39" s="445" t="b">
        <v>0</v>
      </c>
    </row>
    <row r="40" spans="1:32" x14ac:dyDescent="0.2">
      <c r="A40" s="281" t="s">
        <v>744</v>
      </c>
      <c r="B40" s="280" t="s">
        <v>223</v>
      </c>
      <c r="C40" s="317" t="b">
        <v>0</v>
      </c>
      <c r="D40" s="280" t="s">
        <v>850</v>
      </c>
      <c r="E40" s="316" t="s">
        <v>851</v>
      </c>
      <c r="F40" s="316" t="s">
        <v>852</v>
      </c>
      <c r="G40" s="317" t="s">
        <v>858</v>
      </c>
      <c r="H40" s="436" t="str">
        <f t="shared" si="1"/>
        <v>Vorbehandlung:</v>
      </c>
      <c r="I40" s="445"/>
      <c r="K40" s="56" t="s">
        <v>454</v>
      </c>
      <c r="L40" s="437"/>
      <c r="M40" s="438"/>
      <c r="N40" s="534" t="s">
        <v>606</v>
      </c>
      <c r="O40" s="535"/>
      <c r="P40" s="536"/>
      <c r="Q40" s="56" t="s">
        <v>309</v>
      </c>
      <c r="R40" s="56" t="s">
        <v>514</v>
      </c>
      <c r="S40" s="56" t="s">
        <v>518</v>
      </c>
      <c r="U40" s="33" t="s">
        <v>742</v>
      </c>
      <c r="V40" s="34"/>
    </row>
    <row r="41" spans="1:32" x14ac:dyDescent="0.2">
      <c r="A41" s="459" t="b">
        <f>IF(C41=FALSE,TRUE,(IF(AND(C41=TRUE,'Pos. 5'!F72=""),FALSE,TRUE)))</f>
        <v>1</v>
      </c>
      <c r="B41" s="280" t="s">
        <v>376</v>
      </c>
      <c r="C41" s="317" t="b">
        <v>0</v>
      </c>
      <c r="D41" s="367" t="s">
        <v>52</v>
      </c>
      <c r="E41" s="368" t="s">
        <v>53</v>
      </c>
      <c r="F41" s="368" t="s">
        <v>54</v>
      </c>
      <c r="G41" s="366" t="s">
        <v>138</v>
      </c>
      <c r="H41" s="436" t="str">
        <f t="shared" si="1"/>
        <v>+Voranodisieren</v>
      </c>
      <c r="I41" s="445"/>
      <c r="K41" s="479" t="s">
        <v>455</v>
      </c>
      <c r="L41" s="283">
        <f>IF(OR($I$5=TRUE,$I$6=TRUE),1,0)</f>
        <v>0</v>
      </c>
      <c r="M41" s="480"/>
      <c r="N41" s="192" t="str">
        <f>CONCATENATE("Pos. ",'Pos. 5'!$B$2,".1")</f>
        <v>Pos. 5.1</v>
      </c>
      <c r="O41" s="193" t="b">
        <f>IF(AND('Pos. 5'!AW32&lt;&gt;"",'Pos. 5'!AX32&lt;&gt;""),TRUE,FALSE)</f>
        <v>0</v>
      </c>
      <c r="P41" s="194"/>
      <c r="Q41" s="369"/>
      <c r="R41" s="369"/>
      <c r="S41" s="279">
        <f>COUNTA('Pos. 5'!G20:AP20)</f>
        <v>0</v>
      </c>
      <c r="U41" s="481" t="b">
        <f>IF(L41=0,FALSE,TRUE)</f>
        <v>0</v>
      </c>
      <c r="V41" s="482">
        <f>IF(U41=FALSE,1,0)</f>
        <v>1</v>
      </c>
    </row>
    <row r="42" spans="1:32" x14ac:dyDescent="0.2">
      <c r="A42" s="436" t="b">
        <f>IF(C42=FALSE,TRUE,(IF(AND(C42=TRUE,'Pos. 5'!L72=""),FALSE,TRUE)))</f>
        <v>1</v>
      </c>
      <c r="B42" s="280" t="s">
        <v>377</v>
      </c>
      <c r="C42" s="317" t="b">
        <v>0</v>
      </c>
      <c r="D42" s="280" t="s">
        <v>55</v>
      </c>
      <c r="E42" s="316" t="s">
        <v>56</v>
      </c>
      <c r="F42" s="316" t="s">
        <v>57</v>
      </c>
      <c r="G42" s="317" t="s">
        <v>139</v>
      </c>
      <c r="H42" s="436" t="str">
        <f t="shared" si="1"/>
        <v>Glas-Typ: SG = "Sky-Glass"</v>
      </c>
      <c r="I42" s="445"/>
      <c r="K42" s="310" t="s">
        <v>456</v>
      </c>
      <c r="L42" s="286">
        <f>IF(AND('Pos. 5'!$Y$5&lt;&gt;"",'Pos. 5'!$Y$7&lt;&gt;"",'Pos. 5'!$Y$6&lt;&gt;""),1,0)</f>
        <v>0</v>
      </c>
      <c r="M42" s="483"/>
      <c r="N42" s="192" t="str">
        <f>CONCATENATE("Pos. ",'Pos. 5'!$B$2,".2")</f>
        <v>Pos. 5.2</v>
      </c>
      <c r="O42" s="193" t="b">
        <f>IF(AND('Pos. 5'!AW33&lt;&gt;"",'Pos. 5'!AX33&lt;&gt;""),TRUE,FALSE)</f>
        <v>0</v>
      </c>
      <c r="P42" s="196"/>
      <c r="Q42" s="484">
        <v>1</v>
      </c>
      <c r="R42" s="485" t="s">
        <v>512</v>
      </c>
      <c r="U42" s="310" t="b">
        <f t="shared" ref="U42:U47" si="7">IF(L42=0,FALSE,TRUE)</f>
        <v>0</v>
      </c>
      <c r="V42" s="486">
        <f t="shared" ref="V42:V79" si="8">IF(U42=FALSE,1,0)</f>
        <v>1</v>
      </c>
    </row>
    <row r="43" spans="1:32" x14ac:dyDescent="0.2">
      <c r="A43" s="436" t="b">
        <f>IF(C43=FALSE,TRUE,(IF(AND(C43=TRUE,'Pos. 5'!R72=""),FALSE,TRUE)))</f>
        <v>1</v>
      </c>
      <c r="B43" s="280" t="s">
        <v>378</v>
      </c>
      <c r="C43" s="317" t="b">
        <v>0</v>
      </c>
      <c r="D43" s="280" t="s">
        <v>58</v>
      </c>
      <c r="E43" s="316" t="s">
        <v>59</v>
      </c>
      <c r="F43" s="316" t="s">
        <v>60</v>
      </c>
      <c r="G43" s="317" t="s">
        <v>140</v>
      </c>
      <c r="H43" s="436" t="str">
        <f t="shared" si="1"/>
        <v>Swisspacer-U schwarz</v>
      </c>
      <c r="I43" s="445" t="b">
        <v>0</v>
      </c>
      <c r="K43" s="310" t="s">
        <v>457</v>
      </c>
      <c r="L43" s="286">
        <f>IF(AND('Pos. 5'!$AJ$5&lt;&gt;"",'Pos. 5'!$AJ$6&lt;&gt;"",'Pos. 5'!$AJ$7&lt;&gt;""),1,0)</f>
        <v>0</v>
      </c>
      <c r="M43" s="483"/>
      <c r="N43" s="192" t="str">
        <f>CONCATENATE("Pos. ",'Pos. 5'!$B$2,".3")</f>
        <v>Pos. 5.3</v>
      </c>
      <c r="O43" s="193" t="b">
        <f>IF(AND('Pos. 5'!AW34&lt;&gt;"",'Pos. 5'!AX34&lt;&gt;""),TRUE,FALSE)</f>
        <v>0</v>
      </c>
      <c r="P43" s="196"/>
      <c r="Q43" s="370">
        <v>2</v>
      </c>
      <c r="R43" s="485" t="s">
        <v>513</v>
      </c>
      <c r="U43" s="310" t="b">
        <f t="shared" si="7"/>
        <v>0</v>
      </c>
      <c r="V43" s="486">
        <f t="shared" si="8"/>
        <v>1</v>
      </c>
    </row>
    <row r="44" spans="1:32" x14ac:dyDescent="0.2">
      <c r="A44" s="436" t="b">
        <f>IF(C44=FALSE,TRUE,(IF(AND(C44=TRUE,'Pos. 5'!X72=""),FALSE,TRUE)))</f>
        <v>1</v>
      </c>
      <c r="B44" s="280" t="str">
        <f>IF('Pos. 5'!AB62="","121101/121101","121401/121401")</f>
        <v>121101/121101</v>
      </c>
      <c r="C44" s="317" t="b">
        <v>0</v>
      </c>
      <c r="D44" s="280" t="s">
        <v>61</v>
      </c>
      <c r="E44" s="316" t="s">
        <v>62</v>
      </c>
      <c r="F44" s="316" t="s">
        <v>63</v>
      </c>
      <c r="G44" s="317" t="s">
        <v>141</v>
      </c>
      <c r="H44" s="436" t="str">
        <f t="shared" si="1"/>
        <v>Swisspacer-U grau</v>
      </c>
      <c r="I44" s="445" t="b">
        <v>0</v>
      </c>
      <c r="K44" s="310" t="s">
        <v>458</v>
      </c>
      <c r="L44" s="286">
        <f>IF(OR($I$10=TRUE,$I$11=TRUE,$I$12=TRUE),1,0)</f>
        <v>0</v>
      </c>
      <c r="M44" s="483"/>
      <c r="N44" s="192" t="str">
        <f>CONCATENATE("Pos. ",'Pos. 5'!$B$2,".4")</f>
        <v>Pos. 5.4</v>
      </c>
      <c r="O44" s="193" t="b">
        <f>IF(AND('Pos. 5'!AW35&lt;&gt;"",'Pos. 5'!AX35&lt;&gt;""),TRUE,FALSE)</f>
        <v>0</v>
      </c>
      <c r="P44" s="196"/>
      <c r="Q44" s="370">
        <v>3</v>
      </c>
      <c r="U44" s="310" t="b">
        <f t="shared" si="7"/>
        <v>0</v>
      </c>
      <c r="V44" s="486">
        <f t="shared" si="8"/>
        <v>1</v>
      </c>
    </row>
    <row r="45" spans="1:32" x14ac:dyDescent="0.2">
      <c r="A45" s="436" t="b">
        <f>IF(C45=FALSE,TRUE,(IF(AND(C45=TRUE,'Pos. 5'!H85=""),FALSE,TRUE)))</f>
        <v>1</v>
      </c>
      <c r="B45" s="280" t="s">
        <v>393</v>
      </c>
      <c r="C45" s="317" t="b">
        <v>0</v>
      </c>
      <c r="D45" s="280" t="s">
        <v>111</v>
      </c>
      <c r="E45" s="316" t="s">
        <v>112</v>
      </c>
      <c r="F45" s="316" t="s">
        <v>113</v>
      </c>
      <c r="G45" s="317" t="s">
        <v>114</v>
      </c>
      <c r="H45" s="436" t="str">
        <f t="shared" si="1"/>
        <v>Speziell:</v>
      </c>
      <c r="I45" s="445" t="b">
        <v>0</v>
      </c>
      <c r="K45" s="310" t="s">
        <v>459</v>
      </c>
      <c r="L45" s="286">
        <f>IF(AND('Pos. 5'!$F$10&lt;&gt;"",OR('Pos. 5'!$E$23&lt;&gt;"",'Pos. 5'!$E$24&lt;&gt;"",'Pos. 5'!$E$25&lt;&gt;"",'Pos. 5'!$E$26&lt;&gt;"")),1,0)</f>
        <v>0</v>
      </c>
      <c r="M45" s="483"/>
      <c r="N45" s="192" t="str">
        <f>CONCATENATE("Pos. ",'Pos. 5'!$B$2,".5")</f>
        <v>Pos. 5.5</v>
      </c>
      <c r="O45" s="193" t="b">
        <f>IF(AND('Pos. 5'!AW36&lt;&gt;"",'Pos. 5'!AX36&lt;&gt;""),TRUE,FALSE)</f>
        <v>0</v>
      </c>
      <c r="P45" s="196"/>
      <c r="Q45" s="370">
        <v>4</v>
      </c>
      <c r="U45" s="310" t="b">
        <f t="shared" si="7"/>
        <v>0</v>
      </c>
      <c r="V45" s="486">
        <f t="shared" si="8"/>
        <v>1</v>
      </c>
    </row>
    <row r="46" spans="1:32" x14ac:dyDescent="0.2">
      <c r="A46" s="436" t="b">
        <f>IF(C46=FALSE,TRUE,(IF(AND(C46=TRUE,'Pos. 5'!O85=""),FALSE,TRUE)))</f>
        <v>1</v>
      </c>
      <c r="B46" s="280" t="s">
        <v>394</v>
      </c>
      <c r="C46" s="317" t="b">
        <v>0</v>
      </c>
      <c r="D46" s="280" t="s">
        <v>64</v>
      </c>
      <c r="E46" s="316" t="s">
        <v>65</v>
      </c>
      <c r="F46" s="316" t="s">
        <v>66</v>
      </c>
      <c r="G46" s="317" t="s">
        <v>142</v>
      </c>
      <c r="H46" s="436" t="str">
        <f t="shared" si="1"/>
        <v>Statik:</v>
      </c>
      <c r="I46" s="445"/>
      <c r="K46" s="310" t="s">
        <v>460</v>
      </c>
      <c r="L46" s="286">
        <f>IF(AND($I$13=TRUE,'Pos. 5'!$E$28=""),0,1)</f>
        <v>1</v>
      </c>
      <c r="M46" s="483"/>
      <c r="N46" s="192" t="str">
        <f>CONCATENATE("Pos. ",'Pos. 5'!$B$2,".6")</f>
        <v>Pos. 5.6</v>
      </c>
      <c r="O46" s="193" t="b">
        <f>IF(AND('Pos. 5'!AW37&lt;&gt;"",'Pos. 5'!AX37&lt;&gt;""),TRUE,FALSE)</f>
        <v>0</v>
      </c>
      <c r="P46" s="196"/>
      <c r="Q46" s="370">
        <v>5</v>
      </c>
      <c r="U46" s="310" t="b">
        <f t="shared" si="7"/>
        <v>1</v>
      </c>
      <c r="V46" s="486">
        <f t="shared" si="8"/>
        <v>0</v>
      </c>
    </row>
    <row r="47" spans="1:32" x14ac:dyDescent="0.2">
      <c r="A47" s="436" t="b">
        <f>IF(C47=FALSE,TRUE,(IF(AND(C47=TRUE,'Pos. 5'!V85=""),FALSE,TRUE)))</f>
        <v>1</v>
      </c>
      <c r="B47" s="280" t="str">
        <f>IF('Pos. 5'!AB73="","322301/322301","400419/400419")</f>
        <v>322301/322301</v>
      </c>
      <c r="C47" s="317" t="b">
        <v>0</v>
      </c>
      <c r="D47" s="280" t="s">
        <v>67</v>
      </c>
      <c r="E47" s="316" t="s">
        <v>68</v>
      </c>
      <c r="F47" s="316" t="s">
        <v>69</v>
      </c>
      <c r="G47" s="317" t="s">
        <v>347</v>
      </c>
      <c r="H47" s="436" t="str">
        <f t="shared" si="1"/>
        <v>Windlast:</v>
      </c>
      <c r="I47" s="445"/>
      <c r="K47" s="310" t="s">
        <v>461</v>
      </c>
      <c r="L47" s="288">
        <f>IF(AND($I$13=FALSE,$I$14=FALSE),0,1)</f>
        <v>0</v>
      </c>
      <c r="M47" s="483"/>
      <c r="N47" s="192" t="str">
        <f>CONCATENATE("Pos. ",'Pos. 5'!$B$2,".7")</f>
        <v>Pos. 5.7</v>
      </c>
      <c r="O47" s="193" t="b">
        <f>IF(AND('Pos. 5'!AW38&lt;&gt;"",'Pos. 5'!AX38&lt;&gt;""),TRUE,FALSE)</f>
        <v>0</v>
      </c>
      <c r="P47" s="196"/>
      <c r="Q47" s="370">
        <v>6</v>
      </c>
      <c r="U47" s="310" t="b">
        <f t="shared" si="7"/>
        <v>0</v>
      </c>
      <c r="V47" s="486">
        <f t="shared" si="8"/>
        <v>1</v>
      </c>
    </row>
    <row r="48" spans="1:32" x14ac:dyDescent="0.2">
      <c r="A48" s="436" t="b">
        <f>IF(C48=FALSE,TRUE,(IF(AND(C48=TRUE,'Pos. 5'!H96=""),FALSE,TRUE)))</f>
        <v>1</v>
      </c>
      <c r="B48" s="280" t="s">
        <v>406</v>
      </c>
      <c r="C48" s="317" t="b">
        <v>0</v>
      </c>
      <c r="D48" s="280" t="s">
        <v>70</v>
      </c>
      <c r="E48" s="316" t="s">
        <v>71</v>
      </c>
      <c r="F48" s="316" t="s">
        <v>72</v>
      </c>
      <c r="G48" s="317" t="s">
        <v>348</v>
      </c>
      <c r="H48" s="436" t="str">
        <f t="shared" si="1"/>
        <v>Bemerkung:</v>
      </c>
      <c r="I48" s="445"/>
      <c r="K48" s="310" t="s">
        <v>463</v>
      </c>
      <c r="L48" s="487">
        <f>IF(OR(AND($C$37=FALSE,$C$39=FALSE),(AND($C$38=FALSE,$C$40=FALSE))),0,1)</f>
        <v>1</v>
      </c>
      <c r="M48" s="488">
        <f>IF($L$49=0,0,L48)</f>
        <v>0</v>
      </c>
      <c r="N48" s="192" t="str">
        <f>CONCATENATE("Pos. ",'Pos. 5'!$B$2,".8")</f>
        <v>Pos. 5.8</v>
      </c>
      <c r="O48" s="193" t="b">
        <f>IF(AND('Pos. 5'!AW39&lt;&gt;"",'Pos. 5'!AX39&lt;&gt;""),TRUE,FALSE)</f>
        <v>0</v>
      </c>
      <c r="P48" s="196"/>
      <c r="Q48" s="370">
        <v>7</v>
      </c>
      <c r="U48" s="310" t="b">
        <f>IF(M49=0,FALSE,TRUE)</f>
        <v>0</v>
      </c>
      <c r="V48" s="486">
        <f t="shared" si="8"/>
        <v>1</v>
      </c>
    </row>
    <row r="49" spans="1:22" ht="13.5" thickBot="1" x14ac:dyDescent="0.25">
      <c r="A49" s="489" t="b">
        <f>IF(C49=FALSE,TRUE,(IF(AND(C49=TRUE,'Pos. 5'!O96=""),FALSE,TRUE)))</f>
        <v>1</v>
      </c>
      <c r="B49" s="280" t="s">
        <v>407</v>
      </c>
      <c r="C49" s="317" t="b">
        <v>0</v>
      </c>
      <c r="D49" s="280" t="s">
        <v>73</v>
      </c>
      <c r="E49" s="316" t="s">
        <v>74</v>
      </c>
      <c r="F49" s="316" t="s">
        <v>331</v>
      </c>
      <c r="G49" s="317" t="s">
        <v>349</v>
      </c>
      <c r="H49" s="436" t="str">
        <f t="shared" si="1"/>
        <v>Zubehör:</v>
      </c>
      <c r="I49" s="445"/>
      <c r="K49" s="310" t="s">
        <v>462</v>
      </c>
      <c r="L49" s="490">
        <f>IF(L48=0,0,IF('Pos. 5'!$I$49&gt;0,1,0))</f>
        <v>0</v>
      </c>
      <c r="M49" s="292">
        <f>SUM(L49,M48)</f>
        <v>0</v>
      </c>
      <c r="N49" s="192" t="str">
        <f>CONCATENATE("Pos. ",'Pos. 5'!$B$2,".9")</f>
        <v>Pos. 5.9</v>
      </c>
      <c r="O49" s="193" t="b">
        <f>IF(AND('Pos. 5'!AW40&lt;&gt;"",'Pos. 5'!AX40&lt;&gt;""),TRUE,FALSE)</f>
        <v>0</v>
      </c>
      <c r="P49" s="196"/>
      <c r="Q49" s="370">
        <v>8</v>
      </c>
      <c r="T49" s="315" t="s">
        <v>845</v>
      </c>
      <c r="U49" s="310" t="b">
        <f>IF(AND(L44=1,AND('Pos. 5'!E23="",'Pos. 5'!E24="",'Pos. 5'!E25="")),FALSE,TRUE)</f>
        <v>1</v>
      </c>
      <c r="V49" s="486">
        <f t="shared" si="8"/>
        <v>0</v>
      </c>
    </row>
    <row r="50" spans="1:22" x14ac:dyDescent="0.2">
      <c r="A50" s="279">
        <f>COUNTIF(A41:A49,FALSE)</f>
        <v>0</v>
      </c>
      <c r="B50" s="280" t="s">
        <v>395</v>
      </c>
      <c r="C50" s="317" t="b">
        <v>0</v>
      </c>
      <c r="D50" s="280" t="s">
        <v>730</v>
      </c>
      <c r="E50" s="316" t="s">
        <v>731</v>
      </c>
      <c r="F50" s="316" t="s">
        <v>733</v>
      </c>
      <c r="G50" s="317" t="s">
        <v>732</v>
      </c>
      <c r="H50" s="436" t="str">
        <f t="shared" si="1"/>
        <v>Rinne (siehe unten)</v>
      </c>
      <c r="I50" s="445" t="b">
        <v>0</v>
      </c>
      <c r="K50" s="310" t="s">
        <v>464</v>
      </c>
      <c r="L50" s="293">
        <f>IF(AND(OR($C$53=TRUE,$C$54=TRUE),'Pos. 5'!$Z$42&lt;&gt;"",'Pos. 5'!$T$45&lt;&gt;""),1,0)</f>
        <v>0</v>
      </c>
      <c r="M50" s="483"/>
      <c r="N50" s="192" t="str">
        <f>CONCATENATE("Pos. ",'Pos. 5'!$B$2,".10")</f>
        <v>Pos. 5.10</v>
      </c>
      <c r="O50" s="193" t="b">
        <f>IF(AND('Pos. 5'!AW41&lt;&gt;"",'Pos. 5'!AX41&lt;&gt;""),TRUE,FALSE)</f>
        <v>0</v>
      </c>
      <c r="P50" s="196"/>
      <c r="Q50" s="370">
        <v>9</v>
      </c>
      <c r="U50" s="310" t="b">
        <f>IF(L50=0,FALSE,TRUE)</f>
        <v>0</v>
      </c>
      <c r="V50" s="486">
        <f t="shared" si="8"/>
        <v>1</v>
      </c>
    </row>
    <row r="51" spans="1:22" ht="13.5" thickBot="1" x14ac:dyDescent="0.25">
      <c r="B51" s="280" t="s">
        <v>416</v>
      </c>
      <c r="C51" s="317" t="b">
        <v>0</v>
      </c>
      <c r="D51" s="280" t="s">
        <v>327</v>
      </c>
      <c r="E51" s="316" t="s">
        <v>328</v>
      </c>
      <c r="F51" s="316" t="s">
        <v>329</v>
      </c>
      <c r="G51" s="317" t="s">
        <v>350</v>
      </c>
      <c r="H51" s="436" t="str">
        <f t="shared" si="1"/>
        <v>Wetterschenkel</v>
      </c>
      <c r="I51" s="445" t="b">
        <v>0</v>
      </c>
      <c r="K51" s="310" t="s">
        <v>465</v>
      </c>
      <c r="L51" s="286">
        <f>IF(OR($I$15=TRUE,$I$16=TRUE,$I$17=TRUE,$I$18=TRUE,$I$19=TRUE,$I$20=TRUE,$I$22=TRUE,$I$25=TRUE,$I$125=TRUE),1,0)</f>
        <v>0</v>
      </c>
      <c r="M51" s="483"/>
      <c r="N51" s="195" t="s">
        <v>607</v>
      </c>
      <c r="O51" s="197">
        <f>IF(P51=O52,1,0)</f>
        <v>0</v>
      </c>
      <c r="P51" s="198" t="str">
        <f>CONCATENATE("(",COUNTBLANK('Pos. 5'!AW32:AW41),")")</f>
        <v>(10)</v>
      </c>
      <c r="Q51" s="466">
        <v>10</v>
      </c>
      <c r="U51" s="310" t="b">
        <f t="shared" ref="U51:U55" si="9">IF(L51=0,FALSE,TRUE)</f>
        <v>0</v>
      </c>
      <c r="V51" s="486">
        <f t="shared" si="8"/>
        <v>1</v>
      </c>
    </row>
    <row r="52" spans="1:22" ht="13.5" thickBot="1" x14ac:dyDescent="0.25">
      <c r="B52" s="280"/>
      <c r="C52" s="317"/>
      <c r="D52" s="280" t="s">
        <v>319</v>
      </c>
      <c r="E52" s="316" t="s">
        <v>320</v>
      </c>
      <c r="F52" s="316" t="s">
        <v>321</v>
      </c>
      <c r="G52" s="317" t="s">
        <v>351</v>
      </c>
      <c r="H52" s="436" t="str">
        <f t="shared" si="1"/>
        <v>Standardgrundplatten:</v>
      </c>
      <c r="I52" s="445" t="b">
        <v>0</v>
      </c>
      <c r="K52" s="310" t="s">
        <v>466</v>
      </c>
      <c r="L52" s="286">
        <f>IF(OR(AND($I$36=TRUE,'Pos. 5'!$AM$43&lt;&gt;0,'Pos. 5'!$AR$43&lt;&gt;0,'Pos. 5'!$AM$49&lt;&gt;""),AND($I$39=TRUE,'Pos. 5'!$AM$45&lt;&gt;"",'Pos. 5'!$AM$49&lt;&gt;"",'Pos. 5'!$AM$46&lt;&gt;"",'Pos. 5'!$AM$47&lt;&gt;"")),1,0)</f>
        <v>0</v>
      </c>
      <c r="M52" s="483"/>
      <c r="N52" s="199"/>
      <c r="O52" s="200" t="str">
        <f>CONCATENATE("(",IF(I19=TRUE,COUNTIF(O41:O50,FALSE),""),")")</f>
        <v>()</v>
      </c>
      <c r="P52" s="201"/>
      <c r="U52" s="310" t="b">
        <f t="shared" si="9"/>
        <v>0</v>
      </c>
      <c r="V52" s="486">
        <f t="shared" si="8"/>
        <v>1</v>
      </c>
    </row>
    <row r="53" spans="1:22" x14ac:dyDescent="0.2">
      <c r="B53" s="280" t="s">
        <v>427</v>
      </c>
      <c r="C53" s="317" t="b">
        <v>0</v>
      </c>
      <c r="D53" s="280" t="s">
        <v>75</v>
      </c>
      <c r="E53" s="316" t="s">
        <v>75</v>
      </c>
      <c r="F53" s="316" t="s">
        <v>75</v>
      </c>
      <c r="G53" s="317" t="s">
        <v>75</v>
      </c>
      <c r="H53" s="436" t="str">
        <f t="shared" si="1"/>
        <v>Sun-Box</v>
      </c>
      <c r="I53" s="445"/>
      <c r="K53" s="310" t="s">
        <v>470</v>
      </c>
      <c r="L53" s="286">
        <f>IF('Pos. 5'!AT52=1,1,IF('Pos. 5'!$AE$53&lt;&gt;0,1,0))</f>
        <v>0</v>
      </c>
      <c r="M53" s="483"/>
      <c r="U53" s="310" t="b">
        <f t="shared" si="9"/>
        <v>0</v>
      </c>
      <c r="V53" s="486">
        <f t="shared" si="8"/>
        <v>1</v>
      </c>
    </row>
    <row r="54" spans="1:22" x14ac:dyDescent="0.2">
      <c r="B54" s="280" t="s">
        <v>428</v>
      </c>
      <c r="C54" s="317" t="b">
        <v>0</v>
      </c>
      <c r="D54" s="280" t="s">
        <v>76</v>
      </c>
      <c r="E54" s="316" t="s">
        <v>77</v>
      </c>
      <c r="F54" s="316" t="s">
        <v>78</v>
      </c>
      <c r="G54" s="317" t="s">
        <v>352</v>
      </c>
      <c r="H54" s="436" t="str">
        <f t="shared" si="1"/>
        <v>Glastyp wählen</v>
      </c>
      <c r="I54" s="445"/>
      <c r="K54" s="310" t="s">
        <v>471</v>
      </c>
      <c r="L54" s="286">
        <f>SUM(IF(AND('Pos. 5'!$AE$70&lt;&gt;"",'Pos. 5'!$AN$70&lt;&gt;"",OR($C$60=TRUE,$C$61=TRUE,$C$62=TRUE,$C$63=TRUE)),1,0),M54)</f>
        <v>1</v>
      </c>
      <c r="M54" s="483">
        <f>IF(AND(OR('Pos. 5'!F10="F",'Pos. 5'!F10=""),OR('Pos. 5'!N10="F",'Pos. 5'!N10=""),OR('Pos. 5'!R10="F",'Pos. 5'!R10=""),OR('Pos. 5'!V10="F",'Pos. 5'!V10=""),OR('Pos. 5'!Z10="F",'Pos. 5'!Z10=""),OR('Pos. 5'!AD10="F",'Pos. 5'!AD10=""),OR('Pos. 5'!AH10="F",'Pos. 5'!AH10=""),OR('Pos. 5'!AL10="F",'Pos. 5'!AL10=""),OR('Pos. 5'!AP10="F",'Pos. 5'!AP10="")),1,0)</f>
        <v>1</v>
      </c>
      <c r="U54" s="310" t="b">
        <f t="shared" si="9"/>
        <v>1</v>
      </c>
      <c r="V54" s="486">
        <f t="shared" si="8"/>
        <v>0</v>
      </c>
    </row>
    <row r="55" spans="1:22" x14ac:dyDescent="0.2">
      <c r="B55" s="280" t="s">
        <v>479</v>
      </c>
      <c r="C55" s="317" t="b">
        <v>0</v>
      </c>
      <c r="D55" s="280" t="s">
        <v>79</v>
      </c>
      <c r="E55" s="316" t="s">
        <v>80</v>
      </c>
      <c r="F55" s="316" t="s">
        <v>79</v>
      </c>
      <c r="G55" s="317" t="s">
        <v>79</v>
      </c>
      <c r="H55" s="436" t="str">
        <f t="shared" si="1"/>
        <v>Pos:</v>
      </c>
      <c r="I55" s="445"/>
      <c r="K55" s="310" t="s">
        <v>472</v>
      </c>
      <c r="L55" s="288">
        <f>IF(AND('Pos. 5'!$AM$88&lt;&gt;"",'Pos. 5'!$AE$84&lt;&gt;"",'Pos. 5'!$AM$87&lt;&gt;""),1,0)</f>
        <v>0</v>
      </c>
      <c r="M55" s="483"/>
      <c r="U55" s="310" t="b">
        <f t="shared" si="9"/>
        <v>0</v>
      </c>
      <c r="V55" s="486">
        <f t="shared" si="8"/>
        <v>1</v>
      </c>
    </row>
    <row r="56" spans="1:22" ht="15" customHeight="1" thickBot="1" x14ac:dyDescent="0.25">
      <c r="B56" s="280" t="s">
        <v>480</v>
      </c>
      <c r="C56" s="317" t="b">
        <v>0</v>
      </c>
      <c r="D56" s="280" t="s">
        <v>81</v>
      </c>
      <c r="E56" s="316" t="s">
        <v>82</v>
      </c>
      <c r="F56" s="316" t="s">
        <v>83</v>
      </c>
      <c r="G56" s="317" t="s">
        <v>150</v>
      </c>
      <c r="H56" s="436" t="str">
        <f t="shared" si="1"/>
        <v>Stück:</v>
      </c>
      <c r="I56" s="445"/>
      <c r="K56" s="310" t="s">
        <v>477</v>
      </c>
      <c r="L56" s="487">
        <f>IF(OR($C$41=TRUE,$C$43=TRUE,$C$44=TRUE,AND('Pos. 5'!F10="F",'Pos. 5'!J10="")),1,0)</f>
        <v>0</v>
      </c>
      <c r="M56" s="294">
        <f>SUM(L56:L57)</f>
        <v>0</v>
      </c>
      <c r="U56" s="310" t="b">
        <f>IF(M56=0,FALSE,TRUE)</f>
        <v>0</v>
      </c>
      <c r="V56" s="486">
        <f t="shared" si="8"/>
        <v>1</v>
      </c>
    </row>
    <row r="57" spans="1:22" x14ac:dyDescent="0.2">
      <c r="B57" s="280" t="s">
        <v>481</v>
      </c>
      <c r="C57" s="317" t="b">
        <v>0</v>
      </c>
      <c r="D57" s="280" t="s">
        <v>84</v>
      </c>
      <c r="E57" s="316" t="s">
        <v>85</v>
      </c>
      <c r="F57" s="316" t="s">
        <v>85</v>
      </c>
      <c r="G57" s="317" t="s">
        <v>196</v>
      </c>
      <c r="H57" s="436" t="str">
        <f t="shared" si="1"/>
        <v>Seite:</v>
      </c>
      <c r="I57" s="445"/>
      <c r="K57" s="310" t="s">
        <v>478</v>
      </c>
      <c r="L57" s="490">
        <f>IF(AND($C$42=TRUE,OR($C$55=TRUE,$C$56=TRUE)),1,0)</f>
        <v>0</v>
      </c>
      <c r="M57" s="295"/>
      <c r="O57" s="33" t="s">
        <v>865</v>
      </c>
      <c r="P57" s="437"/>
      <c r="Q57" s="437"/>
      <c r="R57" s="438"/>
      <c r="T57" s="315"/>
      <c r="U57" s="310"/>
      <c r="V57" s="486"/>
    </row>
    <row r="58" spans="1:22" x14ac:dyDescent="0.2">
      <c r="B58" s="280" t="s">
        <v>482</v>
      </c>
      <c r="C58" s="317" t="b">
        <v>0</v>
      </c>
      <c r="D58" s="280" t="s">
        <v>449</v>
      </c>
      <c r="E58" s="316" t="s">
        <v>450</v>
      </c>
      <c r="F58" s="316" t="s">
        <v>451</v>
      </c>
      <c r="G58" s="317" t="s">
        <v>452</v>
      </c>
      <c r="H58" s="436" t="str">
        <f t="shared" si="1"/>
        <v>Achsmass →</v>
      </c>
      <c r="I58" s="445"/>
      <c r="K58" s="310" t="s">
        <v>483</v>
      </c>
      <c r="L58" s="293">
        <f>IF(AND('Pos. 5'!$G$20=0,'Pos. 5'!$K$20=0,'Pos. 5'!$O$20=0,'Pos. 5'!$S$20=0,'Pos. 5'!$W$20=0,'Pos. 5'!$AA$20=0,'Pos. 5'!$AE$20=0,'Pos. 5'!$AI$20=0,'Pos. 5'!$AM$20=0),1,0)</f>
        <v>1</v>
      </c>
      <c r="M58" s="483"/>
      <c r="O58" s="374" t="s">
        <v>866</v>
      </c>
      <c r="P58" s="375" t="s">
        <v>867</v>
      </c>
      <c r="Q58" s="375" t="s">
        <v>869</v>
      </c>
      <c r="R58" s="376" t="s">
        <v>868</v>
      </c>
      <c r="T58" s="315" t="s">
        <v>750</v>
      </c>
      <c r="U58" s="310" t="b">
        <f>IF(AND(L62=1,'Pos. 5'!C11&gt;35),FALSE,TRUE)</f>
        <v>1</v>
      </c>
      <c r="V58" s="486">
        <f t="shared" si="8"/>
        <v>0</v>
      </c>
    </row>
    <row r="59" spans="1:22" x14ac:dyDescent="0.2">
      <c r="B59" s="280"/>
      <c r="C59" s="317"/>
      <c r="D59" s="280" t="s">
        <v>86</v>
      </c>
      <c r="E59" s="316" t="s">
        <v>87</v>
      </c>
      <c r="F59" s="316" t="s">
        <v>88</v>
      </c>
      <c r="G59" s="317" t="s">
        <v>149</v>
      </c>
      <c r="H59" s="436" t="str">
        <f t="shared" si="1"/>
        <v>VSG mit P4A</v>
      </c>
      <c r="I59" s="445"/>
      <c r="K59" s="310" t="s">
        <v>484</v>
      </c>
      <c r="L59" s="491">
        <f>IF(AND($C$49=FALSE,$C$50=FALSE,$C$51=FALSE),0,1)</f>
        <v>0</v>
      </c>
      <c r="M59" s="297">
        <f>SUM(L58:L59)</f>
        <v>1</v>
      </c>
      <c r="O59" s="329" t="s">
        <v>198</v>
      </c>
      <c r="P59" s="492">
        <f>IF(OR('Pos. 5'!$F$10='Sprachen &amp; Rückgabewerte(5)'!$B$10,'Pos. 5'!$F$10='Sprachen &amp; Rückgabewerte(5)'!B11),1,0)</f>
        <v>0</v>
      </c>
      <c r="Q59" s="330">
        <f>IF(P59=1,0,1)</f>
        <v>1</v>
      </c>
      <c r="R59" s="446">
        <f>IF(AND(P59=1,'Pos. 5'!$F$16=""),1,0)</f>
        <v>0</v>
      </c>
      <c r="U59" s="310" t="b">
        <f>IF(M59=0,FALSE,TRUE)</f>
        <v>1</v>
      </c>
      <c r="V59" s="486">
        <f t="shared" si="8"/>
        <v>0</v>
      </c>
    </row>
    <row r="60" spans="1:22" ht="15" customHeight="1" x14ac:dyDescent="0.2">
      <c r="B60" s="280" t="s">
        <v>250</v>
      </c>
      <c r="C60" s="317" t="b">
        <v>0</v>
      </c>
      <c r="D60" s="280" t="s">
        <v>89</v>
      </c>
      <c r="E60" s="316" t="s">
        <v>90</v>
      </c>
      <c r="F60" s="316" t="s">
        <v>310</v>
      </c>
      <c r="G60" s="317" t="s">
        <v>353</v>
      </c>
      <c r="H60" s="436" t="str">
        <f t="shared" si="1"/>
        <v>Insektenschutz</v>
      </c>
      <c r="I60" s="445"/>
      <c r="K60" s="310" t="s">
        <v>485</v>
      </c>
      <c r="L60" s="487">
        <f>IF(AND($C$46=TRUE,OR($C$57=TRUE,$C$58=TRUE)),1,0)</f>
        <v>0</v>
      </c>
      <c r="M60" s="538">
        <f>SUM(L60:L61)</f>
        <v>1</v>
      </c>
      <c r="O60" s="280" t="s">
        <v>199</v>
      </c>
      <c r="P60" s="493">
        <f>IF(OR('Pos. 5'!$J$10='Sprachen &amp; Rückgabewerte(5)'!$B$10,'Pos. 5'!$J$10='Sprachen &amp; Rückgabewerte(5)'!B11),1,0)</f>
        <v>0</v>
      </c>
      <c r="Q60" s="316">
        <f t="shared" ref="Q60:Q68" si="10">IF(P60=1,0,1)</f>
        <v>1</v>
      </c>
      <c r="R60" s="317">
        <f>IF(AND(P60=1,'Pos. 5'!$J$16=""),1,0)</f>
        <v>0</v>
      </c>
      <c r="U60" s="310" t="b">
        <f>IF(M60=0,FALSE,TRUE)</f>
        <v>1</v>
      </c>
      <c r="V60" s="486">
        <f t="shared" si="8"/>
        <v>0</v>
      </c>
    </row>
    <row r="61" spans="1:22" ht="12.75" customHeight="1" x14ac:dyDescent="0.2">
      <c r="B61" s="280" t="s">
        <v>251</v>
      </c>
      <c r="C61" s="317" t="b">
        <v>0</v>
      </c>
      <c r="D61" s="334" t="s">
        <v>148</v>
      </c>
      <c r="E61" s="494" t="s">
        <v>148</v>
      </c>
      <c r="F61" s="494" t="s">
        <v>148</v>
      </c>
      <c r="G61" s="495" t="s">
        <v>148</v>
      </c>
      <c r="H61" s="436" t="str">
        <f t="shared" si="1"/>
        <v>Standard = 1050mm</v>
      </c>
      <c r="I61" s="445"/>
      <c r="K61" s="310"/>
      <c r="L61" s="490">
        <f>IF(C46=FALSE,1,0)</f>
        <v>1</v>
      </c>
      <c r="M61" s="539"/>
      <c r="O61" s="280" t="s">
        <v>200</v>
      </c>
      <c r="P61" s="493">
        <f>IF(OR('Pos. 5'!$N$10='Sprachen &amp; Rückgabewerte(5)'!$B$10,'Pos. 5'!$N$10='Sprachen &amp; Rückgabewerte(5)'!B11),1,0)</f>
        <v>0</v>
      </c>
      <c r="Q61" s="316">
        <f t="shared" si="10"/>
        <v>1</v>
      </c>
      <c r="R61" s="317">
        <f>IF(AND(P61=1,'Pos. 5'!$N$16=""),1,0)</f>
        <v>0</v>
      </c>
      <c r="U61" s="310"/>
      <c r="V61" s="486"/>
    </row>
    <row r="62" spans="1:22" x14ac:dyDescent="0.2">
      <c r="B62" s="280" t="s">
        <v>252</v>
      </c>
      <c r="C62" s="317" t="b">
        <v>0</v>
      </c>
      <c r="D62" s="280" t="s">
        <v>143</v>
      </c>
      <c r="E62" s="316" t="s">
        <v>144</v>
      </c>
      <c r="F62" s="316" t="s">
        <v>145</v>
      </c>
      <c r="G62" s="317" t="s">
        <v>146</v>
      </c>
      <c r="H62" s="436" t="str">
        <f t="shared" si="1"/>
        <v>RC2: zwingend 1050mm</v>
      </c>
      <c r="I62" s="445"/>
      <c r="K62" s="310" t="s">
        <v>510</v>
      </c>
      <c r="L62" s="487">
        <f>IF(OR(AND('Pos. 5'!$F$10="L",'Pos. 5'!$J$10="R"),AND('Pos. 5'!$J$10="L",'Pos. 5'!$N$10="R"),AND('Pos. 5'!$N$10="L",'Pos. 5'!$R$10="R"),AND('Pos. 5'!$R$10="L",'Pos. 5'!$V$10="R"),AND('Pos. 5'!$V$10="L",'Pos. 5'!$Z$10="R"),AND('Pos. 5'!$Z$10="L",'Pos. 5'!$AD$10="R"),AND('Pos. 5'!$AD$10="L",'Pos. 5'!$AH$10="R"),AND('Pos. 5'!$AH$10="L",'Pos. 5'!$AL$10="R"),AND('Pos. 5'!$AL$10="L",'Pos. 5'!$AP$10="R"),AND('Pos. 5'!F10="F",'Pos. 5'!J10="R"),AND('Pos. 5'!J10="F",'Pos. 5'!N10="R"),AND('Pos. 5'!N10="F",'Pos. 5'!R10="R"),AND('Pos. 5'!R10="F",'Pos. 5'!V10="R"),AND('Pos. 5'!V10="F",'Pos. 5'!Z10="R"),AND('Pos. 5'!Z10="F",'Pos. 5'!AD10="R"),AND('Pos. 5'!AD10="F",'Pos. 5'!AH10="R"),AND('Pos. 5'!AH10="F",'Pos. 5'!AL10="R"),AND('Pos. 5'!AL10="F",'Pos. 5'!AP10="R"),AND('Pos. 5'!F10="L",'Pos. 5'!J10="F"),AND('Pos. 5'!J10="L",'Pos. 5'!N10="F"),AND('Pos. 5'!N10="L",'Pos. 5'!R10="F"),AND('Pos. 5'!R10="L",'Pos. 5'!V10="F"),AND('Pos. 5'!V10="L",'Pos. 5'!Z10="F"),AND('Pos. 5'!Z10="L",'Pos. 5'!AD10="F"),AND('Pos. 5'!AD10="L",'Pos. 5'!AH10="F"),AND('Pos. 5'!AH10="L",'Pos. 5'!AL10="F"),AND('Pos. 5'!AL10="L",'Pos. 5'!AP10="F")),1,0)</f>
        <v>0</v>
      </c>
      <c r="M62" s="294">
        <f>IF(AND(L58=0,SUM(L62:L65)=2),0,SUM(L62:L65))</f>
        <v>1</v>
      </c>
      <c r="O62" s="280" t="s">
        <v>201</v>
      </c>
      <c r="P62" s="493">
        <f>IF(OR('Pos. 5'!$R$10='Sprachen &amp; Rückgabewerte(5)'!$B$10,'Pos. 5'!$R$10='Sprachen &amp; Rückgabewerte(5)'!B11),1,0)</f>
        <v>0</v>
      </c>
      <c r="Q62" s="316">
        <f t="shared" si="10"/>
        <v>1</v>
      </c>
      <c r="R62" s="317">
        <f>IF(AND(P62=1,'Pos. 5'!$R$16=""),1,0)</f>
        <v>0</v>
      </c>
      <c r="U62" s="310" t="b">
        <f>IF(OR(M62=2,M62=3),FALSE,TRUE)</f>
        <v>1</v>
      </c>
      <c r="V62" s="486">
        <f t="shared" si="8"/>
        <v>0</v>
      </c>
    </row>
    <row r="63" spans="1:22" ht="15.75" customHeight="1" thickBot="1" x14ac:dyDescent="0.25">
      <c r="B63" s="467" t="s">
        <v>253</v>
      </c>
      <c r="C63" s="475" t="b">
        <v>0</v>
      </c>
      <c r="D63" s="280" t="s">
        <v>147</v>
      </c>
      <c r="E63" s="316" t="s">
        <v>147</v>
      </c>
      <c r="F63" s="316" t="s">
        <v>147</v>
      </c>
      <c r="G63" s="317" t="s">
        <v>147</v>
      </c>
      <c r="H63" s="436" t="str">
        <f t="shared" si="1"/>
        <v>min: RV=200 MVv=750</v>
      </c>
      <c r="I63" s="445"/>
      <c r="K63" s="310"/>
      <c r="L63" s="496">
        <f>IF(AND('Pos. 5'!G20="",'Pos. 5'!K20="",'Pos. 5'!O20="",'Pos. 5'!S20="",'Pos. 5'!W20="",'Pos. 5'!AA20="",'Pos. 5'!AE20="",'Pos. 5'!AI20="",'Pos. 5'!AM20=""),1,2)</f>
        <v>1</v>
      </c>
      <c r="M63" s="299"/>
      <c r="O63" s="280" t="s">
        <v>202</v>
      </c>
      <c r="P63" s="493">
        <f>IF(OR('Pos. 5'!$V$10='Sprachen &amp; Rückgabewerte(5)'!$B$10,'Pos. 5'!$V$10='Sprachen &amp; Rückgabewerte(5)'!B11),1,0)</f>
        <v>0</v>
      </c>
      <c r="Q63" s="316">
        <f t="shared" si="10"/>
        <v>1</v>
      </c>
      <c r="R63" s="317">
        <f>IF(AND(P63=1,'Pos. 5'!$V$16=""),1,0)</f>
        <v>0</v>
      </c>
      <c r="T63" s="315" t="s">
        <v>758</v>
      </c>
      <c r="U63" s="310" t="b">
        <f>IF('Pos. 5'!AX25="",FALSE,TRUE)</f>
        <v>0</v>
      </c>
      <c r="V63" s="486">
        <f>IF(U63=FALSE,1,0)</f>
        <v>1</v>
      </c>
    </row>
    <row r="64" spans="1:22" ht="15" customHeight="1" x14ac:dyDescent="0.2">
      <c r="B64" s="497" t="s">
        <v>575</v>
      </c>
      <c r="C64" s="498">
        <f>IF(OR($C$60=TRUE,$C$61=TRUE,$C$62=TRUE,$C$63=TRUE),1,0)</f>
        <v>0</v>
      </c>
      <c r="D64" s="280" t="s">
        <v>151</v>
      </c>
      <c r="E64" s="316" t="s">
        <v>255</v>
      </c>
      <c r="F64" s="316" t="s">
        <v>279</v>
      </c>
      <c r="G64" s="317" t="s">
        <v>293</v>
      </c>
      <c r="H64" s="436" t="str">
        <f t="shared" si="1"/>
        <v>Verschlussgriffe:</v>
      </c>
      <c r="I64" s="445"/>
      <c r="K64" s="310"/>
      <c r="L64" s="496">
        <f>IF(AND($C$45=FALSE,$C$46=FALSE,$C$47=FALSE,$C$48=FALSE),0,1)</f>
        <v>0</v>
      </c>
      <c r="M64" s="299"/>
      <c r="O64" s="280" t="s">
        <v>203</v>
      </c>
      <c r="P64" s="493">
        <f>IF(OR('Pos. 5'!$Z$10='Sprachen &amp; Rückgabewerte(5)'!$B$10,'Pos. 5'!$Z$10='Sprachen &amp; Rückgabewerte(5)'!B11),1,0)</f>
        <v>0</v>
      </c>
      <c r="Q64" s="316">
        <f t="shared" si="10"/>
        <v>1</v>
      </c>
      <c r="R64" s="317">
        <f>IF(AND(P64=1,'Pos. 5'!$Z$16=""),1,0)</f>
        <v>0</v>
      </c>
      <c r="T64" s="315" t="s">
        <v>765</v>
      </c>
      <c r="U64" s="310" t="b">
        <f>IF('Pos. 5'!AM87="",FALSE,TRUE)</f>
        <v>0</v>
      </c>
      <c r="V64" s="486">
        <f>IF(U64=FALSE,1,0)</f>
        <v>1</v>
      </c>
    </row>
    <row r="65" spans="2:23" ht="15.75" customHeight="1" thickBot="1" x14ac:dyDescent="0.25">
      <c r="B65" s="89"/>
      <c r="C65" s="499"/>
      <c r="D65" s="280" t="s">
        <v>155</v>
      </c>
      <c r="E65" s="316" t="s">
        <v>256</v>
      </c>
      <c r="F65" s="316" t="s">
        <v>311</v>
      </c>
      <c r="G65" s="317" t="s">
        <v>793</v>
      </c>
      <c r="H65" s="436" t="str">
        <f t="shared" si="1"/>
        <v>mit Verschlussraster (Druckknopf)</v>
      </c>
      <c r="I65" s="445"/>
      <c r="K65" s="310"/>
      <c r="L65" s="490">
        <f>IF(AND('Pos. 5'!H11="",'Pos. 5'!I11="",'Pos. 5'!L11="",'Pos. 5'!M11="",'Pos. 5'!P11="",'Pos. 5'!Q11="",'Pos. 5'!T11="",'Pos. 5'!U11="",'Pos. 5'!X11="",'Pos. 5'!Y11="",'Pos. 5'!AB11="",'Pos. 5'!AC11="",'Pos. 5'!AF11="",'Pos. 5'!AG11="",'Pos. 5'!AJ11="",'Pos. 5'!AK11="",'Pos. 5'!AN11="",'Pos. 5'!AO11=""),0,1)</f>
        <v>0</v>
      </c>
      <c r="M65" s="295"/>
      <c r="O65" s="280" t="s">
        <v>204</v>
      </c>
      <c r="P65" s="493">
        <f>IF(OR('Pos. 5'!$AD$10='Sprachen &amp; Rückgabewerte(5)'!$B$10,'Pos. 5'!$AD$10='Sprachen &amp; Rückgabewerte(5)'!B11),1,0)</f>
        <v>0</v>
      </c>
      <c r="Q65" s="316">
        <f t="shared" si="10"/>
        <v>1</v>
      </c>
      <c r="R65" s="317">
        <f>IF(AND(P65=1,'Pos. 5'!$AD$16=""),1,0)</f>
        <v>0</v>
      </c>
      <c r="U65" s="310"/>
      <c r="V65" s="486"/>
    </row>
    <row r="66" spans="2:23" ht="25.5" x14ac:dyDescent="0.2">
      <c r="B66" s="187" t="s">
        <v>576</v>
      </c>
      <c r="C66" s="499"/>
      <c r="D66" s="280" t="s">
        <v>430</v>
      </c>
      <c r="E66" s="316" t="s">
        <v>431</v>
      </c>
      <c r="F66" s="316" t="s">
        <v>433</v>
      </c>
      <c r="G66" s="317" t="s">
        <v>432</v>
      </c>
      <c r="H66" s="436" t="str">
        <f t="shared" si="1"/>
        <v>mit Verschlussraster (Zylinder)</v>
      </c>
      <c r="I66" s="445"/>
      <c r="K66" s="304" t="s">
        <v>579</v>
      </c>
      <c r="L66" s="487" t="b">
        <f>IF(AND($I$71=TRUE,'Pos. 5'!$AP$74="",'Pos. 5'!$AP$75="",'Pos. 5'!$AP$76=""),FALSE,TRUE)</f>
        <v>1</v>
      </c>
      <c r="M66" s="294" t="b">
        <f>IF(OR($L$66=FALSE,$L$67=FALSE,$L$68=FALSE,L69=FALSE),FALSE,TRUE)</f>
        <v>0</v>
      </c>
      <c r="O66" s="280" t="s">
        <v>205</v>
      </c>
      <c r="P66" s="493">
        <f>IF(OR('Pos. 5'!$AH$10='Sprachen &amp; Rückgabewerte(5)'!$B$10,'Pos. 5'!$AH$10='Sprachen &amp; Rückgabewerte(5)'!B11),1,0)</f>
        <v>0</v>
      </c>
      <c r="Q66" s="316">
        <f t="shared" si="10"/>
        <v>1</v>
      </c>
      <c r="R66" s="317">
        <f>IF(AND(P66=1,'Pos. 5'!$AH$16=""),1,0)</f>
        <v>0</v>
      </c>
      <c r="U66" s="310" t="b">
        <f>M66</f>
        <v>0</v>
      </c>
      <c r="V66" s="486">
        <f t="shared" si="8"/>
        <v>1</v>
      </c>
    </row>
    <row r="67" spans="2:23" ht="15" customHeight="1" x14ac:dyDescent="0.2">
      <c r="B67" s="500"/>
      <c r="C67" s="499"/>
      <c r="D67" s="280" t="s">
        <v>152</v>
      </c>
      <c r="E67" s="316" t="s">
        <v>257</v>
      </c>
      <c r="F67" s="316" t="s">
        <v>312</v>
      </c>
      <c r="G67" s="317" t="s">
        <v>354</v>
      </c>
      <c r="H67" s="436" t="str">
        <f t="shared" si="1"/>
        <v>ohne Verschlussraster</v>
      </c>
      <c r="I67" s="445"/>
      <c r="K67" s="304" t="s">
        <v>580</v>
      </c>
      <c r="L67" s="501" t="b">
        <f>IF('Pos. 5'!AN78="",FALSE,TRUE)</f>
        <v>0</v>
      </c>
      <c r="M67" s="299"/>
      <c r="O67" s="280" t="s">
        <v>206</v>
      </c>
      <c r="P67" s="493">
        <f>IF(OR('Pos. 5'!$AL$10='Sprachen &amp; Rückgabewerte(5)'!$B$10,'Pos. 5'!$AL$10='Sprachen &amp; Rückgabewerte(5)'!B11),1,0)</f>
        <v>0</v>
      </c>
      <c r="Q67" s="316">
        <f t="shared" si="10"/>
        <v>1</v>
      </c>
      <c r="R67" s="317">
        <f>IF(AND(P67=1,'Pos. 5'!$AL$16=""),1,0)</f>
        <v>0</v>
      </c>
      <c r="T67" s="315" t="s">
        <v>864</v>
      </c>
      <c r="U67" s="310" t="b">
        <f>IF(R69&gt;0,FALSE,TRUE)</f>
        <v>1</v>
      </c>
      <c r="V67" s="486">
        <f>IF(U67=FALSE,1,0)</f>
        <v>0</v>
      </c>
      <c r="W67" s="502"/>
    </row>
    <row r="68" spans="2:23" ht="15" customHeight="1" x14ac:dyDescent="0.2">
      <c r="B68" s="436" t="str">
        <f>$H$112</f>
        <v>mit CFK</v>
      </c>
      <c r="C68" s="499"/>
      <c r="D68" s="280" t="s">
        <v>153</v>
      </c>
      <c r="E68" s="316" t="s">
        <v>258</v>
      </c>
      <c r="F68" s="316" t="s">
        <v>281</v>
      </c>
      <c r="G68" s="317" t="s">
        <v>355</v>
      </c>
      <c r="H68" s="436" t="str">
        <f t="shared" si="1"/>
        <v>2-Punkt Verriegelung</v>
      </c>
      <c r="I68" s="445"/>
      <c r="J68" s="279" t="str">
        <f>H68</f>
        <v>2-Punkt Verriegelung</v>
      </c>
      <c r="K68" s="304" t="s">
        <v>581</v>
      </c>
      <c r="L68" s="501" t="b">
        <f>IF('Pos. 5'!AN79="",FALSE,TRUE)</f>
        <v>0</v>
      </c>
      <c r="M68" s="299"/>
      <c r="O68" s="280" t="s">
        <v>207</v>
      </c>
      <c r="P68" s="493">
        <f>IF(OR('Pos. 5'!$AP$10='Sprachen &amp; Rückgabewerte(5)'!$B$10,'Pos. 5'!$AP$10='Sprachen &amp; Rückgabewerte(5)'!B11),1,0)</f>
        <v>0</v>
      </c>
      <c r="Q68" s="316">
        <f t="shared" si="10"/>
        <v>1</v>
      </c>
      <c r="R68" s="317">
        <f>IF(AND(P68=1,'Pos. 5'!$AP$16=""),1,0)</f>
        <v>0</v>
      </c>
      <c r="T68" s="315" t="s">
        <v>910</v>
      </c>
      <c r="U68" s="310" t="b">
        <f>IF('Pos. 5'!AQ96="",FALSE,TRUE)</f>
        <v>0</v>
      </c>
      <c r="V68" s="486">
        <f t="shared" ref="V68:V69" si="11">IF(U68=FALSE,1,0)</f>
        <v>1</v>
      </c>
      <c r="W68" s="502">
        <f>SUM(V68:V69)</f>
        <v>1</v>
      </c>
    </row>
    <row r="69" spans="2:23" ht="15" customHeight="1" thickBot="1" x14ac:dyDescent="0.25">
      <c r="B69" s="436" t="str">
        <f>$H$113</f>
        <v>ohne CFK</v>
      </c>
      <c r="C69" s="499"/>
      <c r="D69" s="280" t="s">
        <v>154</v>
      </c>
      <c r="E69" s="316" t="s">
        <v>259</v>
      </c>
      <c r="F69" s="316" t="s">
        <v>280</v>
      </c>
      <c r="G69" s="317" t="s">
        <v>356</v>
      </c>
      <c r="H69" s="436" t="str">
        <f t="shared" si="1"/>
        <v>3-Punkt Verriegelung</v>
      </c>
      <c r="I69" s="445"/>
      <c r="J69" s="279" t="str">
        <f>H69</f>
        <v>3-Punkt Verriegelung</v>
      </c>
      <c r="K69" s="304" t="s">
        <v>582</v>
      </c>
      <c r="L69" s="503" t="b">
        <f>IF('Pos. 5'!$AN$80&lt;&gt;"",TRUE,FALSE)</f>
        <v>0</v>
      </c>
      <c r="M69" s="295"/>
      <c r="O69" s="377"/>
      <c r="P69" s="504"/>
      <c r="Q69" s="378" t="s">
        <v>870</v>
      </c>
      <c r="R69" s="475">
        <f>IF(I20=TRUE,SUM(R59:R68),0)</f>
        <v>0</v>
      </c>
      <c r="T69" s="315" t="s">
        <v>911</v>
      </c>
      <c r="U69" s="310" t="b">
        <f>IF(AND('Pos. 5'!AQ96='Sprachen &amp; Rückgabewerte(5)'!H95,'Pos. 5'!AW96=""),FALSE,TRUE)</f>
        <v>1</v>
      </c>
      <c r="V69" s="486">
        <f t="shared" si="11"/>
        <v>0</v>
      </c>
    </row>
    <row r="70" spans="2:23" x14ac:dyDescent="0.2">
      <c r="B70" s="436"/>
      <c r="C70" s="499"/>
      <c r="D70" s="280" t="s">
        <v>254</v>
      </c>
      <c r="E70" s="316" t="s">
        <v>260</v>
      </c>
      <c r="F70" s="316" t="s">
        <v>282</v>
      </c>
      <c r="G70" s="317" t="s">
        <v>294</v>
      </c>
      <c r="H70" s="436" t="str">
        <f t="shared" si="1"/>
        <v>Befestigung:</v>
      </c>
      <c r="I70" s="445"/>
      <c r="K70" s="310" t="s">
        <v>605</v>
      </c>
      <c r="L70" s="505">
        <f>IF(AND(I19=TRUE,O51=1),1,0)</f>
        <v>0</v>
      </c>
      <c r="M70" s="297"/>
      <c r="U70" s="310" t="b">
        <f>IF(AND(I19=TRUE,O51&lt;&gt;1),FALSE,TRUE)</f>
        <v>1</v>
      </c>
      <c r="V70" s="486">
        <f t="shared" si="8"/>
        <v>0</v>
      </c>
    </row>
    <row r="71" spans="2:23" x14ac:dyDescent="0.2">
      <c r="B71" s="436" t="str">
        <f>$H$114</f>
        <v>mit Stahl</v>
      </c>
      <c r="C71" s="499"/>
      <c r="D71" s="280" t="s">
        <v>306</v>
      </c>
      <c r="E71" s="316" t="s">
        <v>307</v>
      </c>
      <c r="F71" s="316" t="s">
        <v>308</v>
      </c>
      <c r="G71" s="317" t="s">
        <v>295</v>
      </c>
      <c r="H71" s="436" t="str">
        <f t="shared" si="1"/>
        <v>Universalschrauben (A2):</v>
      </c>
      <c r="I71" s="445" t="b">
        <v>0</v>
      </c>
      <c r="K71" s="310" t="s">
        <v>683</v>
      </c>
      <c r="L71" s="505">
        <f>IF(OR('Pos. 5'!$F$10='Sprachen &amp; Rückgabewerte(5)'!$B$14,'Pos. 5'!$J$10='Sprachen &amp; Rückgabewerte(5)'!$B$14,'Pos. 5'!$N$10='Sprachen &amp; Rückgabewerte(5)'!B14,'Pos. 5'!$R$10='Sprachen &amp; Rückgabewerte(5)'!$B$14,'Pos. 5'!$V$10='Sprachen &amp; Rückgabewerte(5)'!$B$14,'Pos. 5'!$Z$10='Sprachen &amp; Rückgabewerte(5)'!$B$14,'Pos. 5'!$AD$10='Sprachen &amp; Rückgabewerte(5)'!$B$14,'Pos. 5'!$AH$10='Sprachen &amp; Rückgabewerte(5)'!$B$14,'Pos. 5'!$AL$10='Sprachen &amp; Rückgabewerte(5)'!$B$14,'Pos. 5'!$AP$10='Sprachen &amp; Rückgabewerte(5)'!$B$14),0,1)</f>
        <v>1</v>
      </c>
      <c r="M71" s="297">
        <f>IF(AND(L71=0,'Pos. 5'!AW48=""),0,1)</f>
        <v>1</v>
      </c>
      <c r="U71" s="310" t="b">
        <f>IF(M71=1,TRUE,FALSE)</f>
        <v>1</v>
      </c>
      <c r="V71" s="486">
        <f t="shared" si="8"/>
        <v>0</v>
      </c>
    </row>
    <row r="72" spans="2:23" x14ac:dyDescent="0.2">
      <c r="B72" s="436" t="str">
        <f>$H$115</f>
        <v>ohne Stahl</v>
      </c>
      <c r="C72" s="499"/>
      <c r="D72" s="280" t="s">
        <v>156</v>
      </c>
      <c r="E72" s="316" t="s">
        <v>156</v>
      </c>
      <c r="F72" s="316" t="s">
        <v>156</v>
      </c>
      <c r="G72" s="316" t="s">
        <v>156</v>
      </c>
      <c r="H72" s="436" t="str">
        <f t="shared" ref="H72:H88" si="12">IF($B$3=$A$3,D72,IF($B$3=$A$4,E72,IF($B$3=$A$5,F72,IF($B$3=$A$6,G72,""))))</f>
        <v>L=52mm</v>
      </c>
      <c r="I72" s="445"/>
      <c r="J72" s="279" t="str">
        <f>H72</f>
        <v>L=52mm</v>
      </c>
      <c r="K72" s="304" t="s">
        <v>743</v>
      </c>
      <c r="L72" s="305">
        <f>C95</f>
        <v>6</v>
      </c>
      <c r="M72" s="486"/>
      <c r="U72" s="310" t="b">
        <f>IF(AND(L72&gt;0,I50=TRUE),FALSE,TRUE)</f>
        <v>1</v>
      </c>
      <c r="V72" s="486">
        <f t="shared" si="8"/>
        <v>0</v>
      </c>
    </row>
    <row r="73" spans="2:23" x14ac:dyDescent="0.2">
      <c r="B73" s="436"/>
      <c r="C73" s="499"/>
      <c r="D73" s="280" t="s">
        <v>157</v>
      </c>
      <c r="E73" s="316" t="s">
        <v>157</v>
      </c>
      <c r="F73" s="316" t="s">
        <v>157</v>
      </c>
      <c r="G73" s="316" t="s">
        <v>157</v>
      </c>
      <c r="H73" s="436" t="str">
        <f t="shared" si="12"/>
        <v>L=82mm</v>
      </c>
      <c r="I73" s="445"/>
      <c r="J73" s="279" t="str">
        <f>H73</f>
        <v>L=82mm</v>
      </c>
      <c r="K73" s="304" t="s">
        <v>745</v>
      </c>
      <c r="L73" s="305">
        <f>A50</f>
        <v>0</v>
      </c>
      <c r="M73" s="486"/>
      <c r="U73" s="310" t="b">
        <f>IF(L73=0,TRUE,FALSE)</f>
        <v>1</v>
      </c>
      <c r="V73" s="486">
        <f t="shared" si="8"/>
        <v>0</v>
      </c>
    </row>
    <row r="74" spans="2:23" x14ac:dyDescent="0.2">
      <c r="B74" s="436" t="str">
        <f>$H$120</f>
        <v>mit AL.</v>
      </c>
      <c r="C74" s="499"/>
      <c r="D74" s="280" t="s">
        <v>158</v>
      </c>
      <c r="E74" s="316" t="s">
        <v>158</v>
      </c>
      <c r="F74" s="316" t="s">
        <v>158</v>
      </c>
      <c r="G74" s="316" t="s">
        <v>158</v>
      </c>
      <c r="H74" s="436" t="str">
        <f t="shared" si="12"/>
        <v>L=112mm</v>
      </c>
      <c r="I74" s="445"/>
      <c r="J74" s="279" t="str">
        <f>H74</f>
        <v>L=112mm</v>
      </c>
      <c r="K74" s="304" t="s">
        <v>327</v>
      </c>
      <c r="L74" s="305" t="b">
        <f>IF(AND(I51=TRUE,'Pos. 5'!AP86=""),FALSE,TRUE)</f>
        <v>1</v>
      </c>
      <c r="M74" s="486"/>
      <c r="U74" s="310" t="b">
        <f>L74</f>
        <v>1</v>
      </c>
      <c r="V74" s="486">
        <f t="shared" si="8"/>
        <v>0</v>
      </c>
    </row>
    <row r="75" spans="2:23" x14ac:dyDescent="0.2">
      <c r="B75" s="436" t="str">
        <f>$H$121</f>
        <v>ohne AL.</v>
      </c>
      <c r="C75" s="499"/>
      <c r="D75" s="280" t="s">
        <v>871</v>
      </c>
      <c r="E75" s="316" t="s">
        <v>872</v>
      </c>
      <c r="F75" s="316" t="s">
        <v>873</v>
      </c>
      <c r="G75" s="317" t="s">
        <v>874</v>
      </c>
      <c r="H75" s="436" t="str">
        <f t="shared" si="12"/>
        <v>(VE à 100 Stk.)</v>
      </c>
      <c r="I75" s="445"/>
      <c r="K75" s="304" t="s">
        <v>746</v>
      </c>
      <c r="L75" s="305" t="b">
        <f>IF(AND(I22=TRUE,'Pos. 5'!AL39=""),FALSE,TRUE)</f>
        <v>1</v>
      </c>
      <c r="M75" s="486"/>
      <c r="U75" s="310" t="b">
        <f>L75</f>
        <v>1</v>
      </c>
      <c r="V75" s="486">
        <f t="shared" si="8"/>
        <v>0</v>
      </c>
    </row>
    <row r="76" spans="2:23" x14ac:dyDescent="0.2">
      <c r="B76" s="436"/>
      <c r="D76" s="280" t="s">
        <v>159</v>
      </c>
      <c r="E76" s="316" t="s">
        <v>261</v>
      </c>
      <c r="F76" s="316" t="s">
        <v>283</v>
      </c>
      <c r="G76" s="317" t="s">
        <v>296</v>
      </c>
      <c r="H76" s="436" t="str">
        <f t="shared" si="12"/>
        <v>Sockelbefestigung:</v>
      </c>
      <c r="I76" s="445"/>
      <c r="K76" s="304" t="s">
        <v>747</v>
      </c>
      <c r="L76" s="305" t="b">
        <f>IF(AND(I45=TRUE,'Pos. 5'!AI57=""),FALSE,TRUE)</f>
        <v>1</v>
      </c>
      <c r="M76" s="486"/>
      <c r="U76" s="310" t="b">
        <f t="shared" ref="U76:U77" si="13">L76</f>
        <v>1</v>
      </c>
      <c r="V76" s="486">
        <f t="shared" si="8"/>
        <v>0</v>
      </c>
    </row>
    <row r="77" spans="2:23" ht="13.5" thickBot="1" x14ac:dyDescent="0.25">
      <c r="B77" s="436" t="str">
        <f>$H$122</f>
        <v>mit Stahl (&gt;2.5m)</v>
      </c>
      <c r="D77" s="280" t="s">
        <v>160</v>
      </c>
      <c r="E77" s="316" t="s">
        <v>262</v>
      </c>
      <c r="F77" s="316" t="s">
        <v>284</v>
      </c>
      <c r="G77" s="317" t="s">
        <v>297</v>
      </c>
      <c r="H77" s="436" t="str">
        <f t="shared" si="12"/>
        <v>Verstellschrauben M10 x</v>
      </c>
      <c r="I77" s="445"/>
      <c r="J77" s="279" t="str">
        <f>H80</f>
        <v>ohne</v>
      </c>
      <c r="K77" s="307" t="s">
        <v>748</v>
      </c>
      <c r="L77" s="308" t="b">
        <f>IF(OR('Pos. 5'!AE84='Sprachen &amp; Rückgabewerte(5)'!H88,AND('Pos. 5'!AE84='Sprachen &amp; Rückgabewerte(5)'!H89,'Pos. 5'!AE85&lt;&gt;"")),TRUE,FALSE)</f>
        <v>0</v>
      </c>
      <c r="M77" s="506"/>
      <c r="U77" s="310" t="b">
        <f t="shared" si="13"/>
        <v>0</v>
      </c>
      <c r="V77" s="486">
        <f t="shared" si="8"/>
        <v>1</v>
      </c>
    </row>
    <row r="78" spans="2:23" ht="13.5" thickBot="1" x14ac:dyDescent="0.25">
      <c r="B78" s="489" t="str">
        <f>$H$123</f>
        <v>ohne Stahl (&lt;2.5m)</v>
      </c>
      <c r="D78" s="280" t="s">
        <v>161</v>
      </c>
      <c r="E78" s="316" t="s">
        <v>161</v>
      </c>
      <c r="F78" s="316" t="s">
        <v>161</v>
      </c>
      <c r="G78" s="316" t="s">
        <v>161</v>
      </c>
      <c r="H78" s="436" t="str">
        <f t="shared" si="12"/>
        <v>L=70mm</v>
      </c>
      <c r="I78" s="445"/>
      <c r="J78" s="279" t="str">
        <f>H78</f>
        <v>L=70mm</v>
      </c>
      <c r="K78" s="33" t="s">
        <v>429</v>
      </c>
      <c r="L78" s="437"/>
      <c r="M78" s="437"/>
      <c r="N78" s="437"/>
      <c r="O78" s="438"/>
      <c r="T78" s="315" t="s">
        <v>935</v>
      </c>
      <c r="U78" s="310" t="b">
        <f>IF('Pos. 5'!AZ9="",FALSE,TRUE)</f>
        <v>0</v>
      </c>
      <c r="V78" s="486">
        <f t="shared" si="8"/>
        <v>1</v>
      </c>
      <c r="W78" s="502">
        <f>SUM(V78:V79)</f>
        <v>2</v>
      </c>
    </row>
    <row r="79" spans="2:23" ht="13.5" thickBot="1" x14ac:dyDescent="0.25">
      <c r="D79" s="280" t="s">
        <v>162</v>
      </c>
      <c r="E79" s="316" t="s">
        <v>162</v>
      </c>
      <c r="F79" s="316" t="s">
        <v>162</v>
      </c>
      <c r="G79" s="316" t="s">
        <v>162</v>
      </c>
      <c r="H79" s="436" t="str">
        <f t="shared" si="12"/>
        <v>L=100mm</v>
      </c>
      <c r="I79" s="445"/>
      <c r="J79" s="279" t="str">
        <f>H79</f>
        <v>L=100mm</v>
      </c>
      <c r="K79" s="507" t="str">
        <f>H65</f>
        <v>mit Verschlussraster (Druckknopf)</v>
      </c>
      <c r="L79" s="508"/>
      <c r="M79" s="509"/>
      <c r="N79" s="510" t="str">
        <f>IF(OR(C62=TRUE,C63=TRUE),K81,K79)</f>
        <v>mit Verschlussraster (Druckknopf)</v>
      </c>
      <c r="O79" s="511"/>
      <c r="T79" s="315" t="s">
        <v>936</v>
      </c>
      <c r="U79" s="310" t="b">
        <f>IF('Pos. 5'!AZ10="",FALSE,TRUE)</f>
        <v>0</v>
      </c>
      <c r="V79" s="486">
        <f t="shared" si="8"/>
        <v>1</v>
      </c>
    </row>
    <row r="80" spans="2:23" ht="13.5" thickBot="1" x14ac:dyDescent="0.25">
      <c r="B80" s="56" t="s">
        <v>604</v>
      </c>
      <c r="D80" s="280" t="s">
        <v>163</v>
      </c>
      <c r="E80" s="316" t="s">
        <v>263</v>
      </c>
      <c r="F80" s="316" t="s">
        <v>285</v>
      </c>
      <c r="G80" s="317" t="s">
        <v>298</v>
      </c>
      <c r="H80" s="436" t="str">
        <f t="shared" si="12"/>
        <v>ohne</v>
      </c>
      <c r="I80" s="445"/>
      <c r="J80" s="279" t="str">
        <f>H80</f>
        <v>ohne</v>
      </c>
      <c r="K80" s="512" t="str">
        <f>H67</f>
        <v>ohne Verschlussraster</v>
      </c>
      <c r="L80" s="513"/>
      <c r="M80" s="460"/>
      <c r="N80" s="514" t="str">
        <f>IF(OR(C62=TRUE,C63=TRUE),K82,K80)</f>
        <v>ohne Verschlussraster</v>
      </c>
      <c r="O80" s="450"/>
      <c r="U80" s="310"/>
      <c r="V80" s="486"/>
    </row>
    <row r="81" spans="1:22" ht="13.5" thickBot="1" x14ac:dyDescent="0.25">
      <c r="A81" s="515">
        <v>280</v>
      </c>
      <c r="B81" s="516" t="str">
        <f>""</f>
        <v/>
      </c>
      <c r="C81" s="517">
        <v>214</v>
      </c>
      <c r="D81" s="280" t="s">
        <v>164</v>
      </c>
      <c r="E81" s="316" t="s">
        <v>264</v>
      </c>
      <c r="F81" s="316" t="s">
        <v>286</v>
      </c>
      <c r="G81" s="317" t="s">
        <v>299</v>
      </c>
      <c r="H81" s="436" t="str">
        <f t="shared" si="12"/>
        <v>inklusive</v>
      </c>
      <c r="I81" s="445"/>
      <c r="J81" s="279" t="str">
        <f>H81</f>
        <v>inklusive</v>
      </c>
      <c r="K81" s="377" t="str">
        <f>H66</f>
        <v>mit Verschlussraster (Zylinder)</v>
      </c>
      <c r="L81" s="504"/>
      <c r="M81" s="378"/>
      <c r="N81" s="518"/>
      <c r="O81" s="455"/>
      <c r="U81" s="310"/>
      <c r="V81" s="486"/>
    </row>
    <row r="82" spans="1:22" x14ac:dyDescent="0.2">
      <c r="A82" s="519">
        <v>254</v>
      </c>
      <c r="B82" s="520">
        <v>85</v>
      </c>
      <c r="C82" s="521">
        <f>IF('Pos. 5'!$T$114='Sprachen &amp; Rückgabewerte(5)'!$J$146,130,144)</f>
        <v>144</v>
      </c>
      <c r="D82" s="280" t="s">
        <v>265</v>
      </c>
      <c r="E82" s="316" t="s">
        <v>266</v>
      </c>
      <c r="F82" s="316" t="s">
        <v>287</v>
      </c>
      <c r="G82" s="317" t="s">
        <v>266</v>
      </c>
      <c r="H82" s="436" t="str">
        <f t="shared" si="12"/>
        <v>Sockel 75</v>
      </c>
      <c r="I82" s="445"/>
      <c r="J82" s="279" t="str">
        <f>H82</f>
        <v>Sockel 75</v>
      </c>
      <c r="K82" s="279" t="str">
        <f>H161</f>
        <v>ohne Verschlussraster (Zylinder)</v>
      </c>
      <c r="U82" s="310"/>
      <c r="V82" s="486"/>
    </row>
    <row r="83" spans="1:22" ht="13.5" thickBot="1" x14ac:dyDescent="0.25">
      <c r="A83" s="519">
        <v>254</v>
      </c>
      <c r="B83" s="520">
        <v>105</v>
      </c>
      <c r="C83" s="521">
        <f>IF('Pos. 5'!$T$114='Sprachen &amp; Rückgabewerte(5)'!$J$146,158,172)</f>
        <v>172</v>
      </c>
      <c r="D83" s="280" t="s">
        <v>163</v>
      </c>
      <c r="E83" s="316" t="s">
        <v>263</v>
      </c>
      <c r="F83" s="316" t="s">
        <v>285</v>
      </c>
      <c r="G83" s="317" t="s">
        <v>298</v>
      </c>
      <c r="H83" s="436" t="str">
        <f t="shared" si="12"/>
        <v>ohne</v>
      </c>
      <c r="I83" s="445"/>
      <c r="S83" s="279" t="s">
        <v>934</v>
      </c>
      <c r="T83" s="314" t="s">
        <v>749</v>
      </c>
      <c r="U83" s="311" t="b">
        <f>IF(V83&gt;0,FALSE,TRUE)</f>
        <v>0</v>
      </c>
      <c r="V83" s="506">
        <f>SUM(V41:V82)</f>
        <v>20</v>
      </c>
    </row>
    <row r="84" spans="1:22" ht="13.5" thickBot="1" x14ac:dyDescent="0.25">
      <c r="A84" s="522">
        <v>228</v>
      </c>
      <c r="B84" s="523">
        <v>110</v>
      </c>
      <c r="C84" s="524">
        <f>IF('Pos. 5'!$T$114='Sprachen &amp; Rückgabewerte(5)'!$J$146,186,200)</f>
        <v>200</v>
      </c>
      <c r="D84" s="280" t="s">
        <v>165</v>
      </c>
      <c r="E84" s="316" t="s">
        <v>267</v>
      </c>
      <c r="F84" s="316" t="s">
        <v>288</v>
      </c>
      <c r="G84" s="317" t="s">
        <v>300</v>
      </c>
      <c r="H84" s="436" t="str">
        <f t="shared" si="12"/>
        <v>Rahmenzusammenbau:</v>
      </c>
      <c r="I84" s="445"/>
    </row>
    <row r="85" spans="1:22" x14ac:dyDescent="0.2">
      <c r="D85" s="280" t="s">
        <v>166</v>
      </c>
      <c r="E85" s="316" t="s">
        <v>268</v>
      </c>
      <c r="F85" s="316" t="s">
        <v>289</v>
      </c>
      <c r="G85" s="317" t="s">
        <v>301</v>
      </c>
      <c r="H85" s="436" t="str">
        <f t="shared" si="12"/>
        <v>Gehrungsstoss (A)</v>
      </c>
      <c r="I85" s="445"/>
      <c r="J85" s="279" t="str">
        <f>H85</f>
        <v>Gehrungsstoss (A)</v>
      </c>
      <c r="L85" s="542" t="s">
        <v>696</v>
      </c>
      <c r="M85" s="543"/>
    </row>
    <row r="86" spans="1:22" ht="13.5" thickBot="1" x14ac:dyDescent="0.25">
      <c r="D86" s="280" t="s">
        <v>322</v>
      </c>
      <c r="E86" s="316" t="s">
        <v>269</v>
      </c>
      <c r="F86" s="316" t="s">
        <v>290</v>
      </c>
      <c r="G86" s="317" t="s">
        <v>493</v>
      </c>
      <c r="H86" s="436" t="str">
        <f t="shared" si="12"/>
        <v>Montagestoss (B)</v>
      </c>
      <c r="I86" s="445"/>
      <c r="J86" s="279" t="str">
        <f>H86</f>
        <v>Montagestoss (B)</v>
      </c>
      <c r="L86" s="525"/>
      <c r="M86" s="446"/>
    </row>
    <row r="87" spans="1:22" x14ac:dyDescent="0.2">
      <c r="B87" s="540" t="s">
        <v>634</v>
      </c>
      <c r="C87" s="541"/>
      <c r="D87" s="280" t="s">
        <v>167</v>
      </c>
      <c r="E87" s="316" t="s">
        <v>270</v>
      </c>
      <c r="F87" s="316" t="s">
        <v>330</v>
      </c>
      <c r="G87" s="317" t="s">
        <v>302</v>
      </c>
      <c r="H87" s="436" t="str">
        <f t="shared" si="12"/>
        <v>Logistik:</v>
      </c>
      <c r="I87" s="445"/>
      <c r="L87" s="526">
        <v>1</v>
      </c>
      <c r="M87" s="317" t="str">
        <f>CONCATENATE($H$154," ",L87)</f>
        <v>Kalenderwoche 1</v>
      </c>
    </row>
    <row r="88" spans="1:22" x14ac:dyDescent="0.2">
      <c r="B88" s="329" t="s">
        <v>635</v>
      </c>
      <c r="C88" s="362">
        <f>IF(AND(I50=TRUE,'Pos. 5'!T104&lt;&gt;""),0,1)</f>
        <v>1</v>
      </c>
      <c r="D88" s="280" t="s">
        <v>323</v>
      </c>
      <c r="E88" s="316" t="s">
        <v>753</v>
      </c>
      <c r="F88" s="316" t="s">
        <v>324</v>
      </c>
      <c r="G88" s="317" t="s">
        <v>508</v>
      </c>
      <c r="H88" s="436" t="str">
        <f t="shared" si="12"/>
        <v>ohne Glas-Sortierung</v>
      </c>
      <c r="I88" s="445"/>
      <c r="J88" s="279" t="str">
        <f>H88</f>
        <v>ohne Glas-Sortierung</v>
      </c>
      <c r="L88" s="526">
        <v>2</v>
      </c>
      <c r="M88" s="317" t="str">
        <f t="shared" ref="M88:M138" si="14">CONCATENATE($H$154," ",L88)</f>
        <v>Kalenderwoche 2</v>
      </c>
    </row>
    <row r="89" spans="1:22" x14ac:dyDescent="0.2">
      <c r="B89" s="280" t="s">
        <v>636</v>
      </c>
      <c r="C89" s="461">
        <f>IF(AND(I50=TRUE,'Pos. 5'!T106&lt;&gt;""),0,1)</f>
        <v>1</v>
      </c>
      <c r="D89" s="280" t="s">
        <v>168</v>
      </c>
      <c r="E89" s="316" t="s">
        <v>325</v>
      </c>
      <c r="F89" s="316" t="s">
        <v>326</v>
      </c>
      <c r="G89" s="317" t="s">
        <v>509</v>
      </c>
      <c r="H89" s="436" t="str">
        <f>IF($B$3=$A$3,D89,IF($B$3=$A$4,E89,IF($B$3=$A$5,F89,IF($B$3=$A$6,$G$89,""))))</f>
        <v>nach Stockwerk:</v>
      </c>
      <c r="I89" s="445"/>
      <c r="J89" s="279" t="str">
        <f>H89</f>
        <v>nach Stockwerk:</v>
      </c>
      <c r="L89" s="526">
        <v>3</v>
      </c>
      <c r="M89" s="317" t="str">
        <f t="shared" si="14"/>
        <v>Kalenderwoche 3</v>
      </c>
    </row>
    <row r="90" spans="1:22" x14ac:dyDescent="0.2">
      <c r="B90" s="280" t="s">
        <v>637</v>
      </c>
      <c r="C90" s="461">
        <f>IF(AND(I50=TRUE,'Pos. 5'!T108&lt;&gt;""),0,1)</f>
        <v>1</v>
      </c>
      <c r="D90" s="280" t="s">
        <v>272</v>
      </c>
      <c r="E90" s="316" t="s">
        <v>271</v>
      </c>
      <c r="F90" s="316" t="s">
        <v>291</v>
      </c>
      <c r="G90" s="317" t="s">
        <v>357</v>
      </c>
      <c r="H90" s="436" t="str">
        <f>IF($B$3=$A$3,D90,IF($B$3=$A$4,E90,IF($B$3=$A$5,F90,IF($B$3=$A$6,G90,""))))</f>
        <v>Wunschtermin:</v>
      </c>
      <c r="I90" s="445"/>
      <c r="L90" s="526">
        <v>4</v>
      </c>
      <c r="M90" s="317" t="str">
        <f t="shared" si="14"/>
        <v>Kalenderwoche 4</v>
      </c>
    </row>
    <row r="91" spans="1:22" x14ac:dyDescent="0.2">
      <c r="B91" s="280" t="s">
        <v>638</v>
      </c>
      <c r="C91" s="461">
        <f>IF(AND(I50=TRUE,'Pos. 5'!T110&lt;&gt;""),0,1)</f>
        <v>1</v>
      </c>
      <c r="D91" s="280" t="s">
        <v>373</v>
      </c>
      <c r="E91" s="316" t="s">
        <v>273</v>
      </c>
      <c r="F91" s="316" t="s">
        <v>374</v>
      </c>
      <c r="G91" s="317" t="s">
        <v>375</v>
      </c>
      <c r="H91" s="436" t="str">
        <f t="shared" ref="H91:H111" si="15">IF($B$3=$A$3,D91,IF($B$3=$A$4,E91,IF($B$3=$A$5,F91,IF($B$3=$A$6,G91,""))))</f>
        <v>Farbe Laufschiene + Schraubenarretierungen:</v>
      </c>
      <c r="I91" s="445"/>
      <c r="L91" s="526">
        <v>5</v>
      </c>
      <c r="M91" s="317" t="str">
        <f t="shared" si="14"/>
        <v>Kalenderwoche 5</v>
      </c>
    </row>
    <row r="92" spans="1:22" x14ac:dyDescent="0.2">
      <c r="B92" s="280" t="s">
        <v>639</v>
      </c>
      <c r="C92" s="461">
        <f>IF(AND(I50=TRUE,'Pos. 5'!T112&lt;&gt;""),0,1)</f>
        <v>1</v>
      </c>
      <c r="D92" s="280" t="s">
        <v>421</v>
      </c>
      <c r="E92" s="316" t="s">
        <v>422</v>
      </c>
      <c r="F92" s="316" t="s">
        <v>423</v>
      </c>
      <c r="G92" s="317" t="s">
        <v>424</v>
      </c>
      <c r="H92" s="436" t="str">
        <f t="shared" si="15"/>
        <v>Silber</v>
      </c>
      <c r="I92" s="445"/>
      <c r="J92" s="279" t="str">
        <f>H92</f>
        <v>Silber</v>
      </c>
      <c r="L92" s="526">
        <v>6</v>
      </c>
      <c r="M92" s="317" t="str">
        <f t="shared" si="14"/>
        <v>Kalenderwoche 6</v>
      </c>
    </row>
    <row r="93" spans="1:22" x14ac:dyDescent="0.2">
      <c r="B93" s="280" t="s">
        <v>640</v>
      </c>
      <c r="C93" s="461">
        <f>IF(AND(I50=TRUE,'Pos. 5'!T114&lt;&gt;""),0,1)</f>
        <v>1</v>
      </c>
      <c r="D93" s="280" t="s">
        <v>169</v>
      </c>
      <c r="E93" s="316" t="s">
        <v>274</v>
      </c>
      <c r="F93" s="316" t="s">
        <v>292</v>
      </c>
      <c r="G93" s="317" t="s">
        <v>303</v>
      </c>
      <c r="H93" s="436" t="str">
        <f t="shared" si="15"/>
        <v>Schwarz</v>
      </c>
      <c r="I93" s="445"/>
      <c r="J93" s="279" t="str">
        <f>H93</f>
        <v>Schwarz</v>
      </c>
      <c r="L93" s="526">
        <v>7</v>
      </c>
      <c r="M93" s="317" t="str">
        <f t="shared" si="14"/>
        <v>Kalenderwoche 7</v>
      </c>
      <c r="N93" s="527"/>
    </row>
    <row r="94" spans="1:22" x14ac:dyDescent="0.2">
      <c r="B94" s="280"/>
      <c r="C94" s="317"/>
      <c r="D94" s="280" t="s">
        <v>367</v>
      </c>
      <c r="E94" s="316" t="s">
        <v>578</v>
      </c>
      <c r="F94" s="316" t="s">
        <v>366</v>
      </c>
      <c r="G94" s="317" t="s">
        <v>368</v>
      </c>
      <c r="H94" s="436" t="str">
        <f t="shared" si="15"/>
        <v>Druckausgleichsventile :</v>
      </c>
      <c r="I94" s="445"/>
      <c r="L94" s="526">
        <v>8</v>
      </c>
      <c r="M94" s="317" t="str">
        <f t="shared" si="14"/>
        <v>Kalenderwoche 8</v>
      </c>
    </row>
    <row r="95" spans="1:22" ht="13.5" thickBot="1" x14ac:dyDescent="0.25">
      <c r="B95" s="225" t="s">
        <v>641</v>
      </c>
      <c r="C95" s="226">
        <f>SUM(C88:C93)</f>
        <v>6</v>
      </c>
      <c r="D95" s="280" t="s">
        <v>170</v>
      </c>
      <c r="E95" s="316" t="s">
        <v>175</v>
      </c>
      <c r="F95" s="316" t="s">
        <v>313</v>
      </c>
      <c r="G95" s="317" t="s">
        <v>304</v>
      </c>
      <c r="H95" s="436" t="str">
        <f t="shared" si="15"/>
        <v>Ja</v>
      </c>
      <c r="I95" s="445"/>
      <c r="J95" s="279" t="str">
        <f>H95</f>
        <v>Ja</v>
      </c>
      <c r="L95" s="526">
        <v>9</v>
      </c>
      <c r="M95" s="317" t="str">
        <f t="shared" si="14"/>
        <v>Kalenderwoche 9</v>
      </c>
    </row>
    <row r="96" spans="1:22" x14ac:dyDescent="0.2">
      <c r="D96" s="280" t="s">
        <v>171</v>
      </c>
      <c r="E96" s="316" t="s">
        <v>176</v>
      </c>
      <c r="F96" s="316" t="s">
        <v>798</v>
      </c>
      <c r="G96" s="317" t="s">
        <v>176</v>
      </c>
      <c r="H96" s="436" t="str">
        <f t="shared" si="15"/>
        <v>Nein</v>
      </c>
      <c r="I96" s="445"/>
      <c r="J96" s="279" t="str">
        <f>H96</f>
        <v>Nein</v>
      </c>
      <c r="L96" s="526">
        <v>10</v>
      </c>
      <c r="M96" s="317" t="str">
        <f t="shared" si="14"/>
        <v>Kalenderwoche 10</v>
      </c>
    </row>
    <row r="97" spans="4:14" x14ac:dyDescent="0.2">
      <c r="D97" s="280" t="s">
        <v>172</v>
      </c>
      <c r="E97" s="316" t="s">
        <v>177</v>
      </c>
      <c r="F97" s="316" t="s">
        <v>314</v>
      </c>
      <c r="G97" s="317" t="s">
        <v>305</v>
      </c>
      <c r="H97" s="436" t="str">
        <f t="shared" si="15"/>
        <v>Digitale Unterschrift:</v>
      </c>
      <c r="I97" s="445"/>
      <c r="L97" s="526">
        <v>11</v>
      </c>
      <c r="M97" s="317" t="str">
        <f t="shared" si="14"/>
        <v>Kalenderwoche 11</v>
      </c>
    </row>
    <row r="98" spans="4:14" x14ac:dyDescent="0.2">
      <c r="D98" s="280" t="s">
        <v>174</v>
      </c>
      <c r="E98" s="316" t="s">
        <v>275</v>
      </c>
      <c r="F98" s="316" t="s">
        <v>315</v>
      </c>
      <c r="G98" s="317" t="s">
        <v>358</v>
      </c>
      <c r="H98" s="436" t="str">
        <f t="shared" si="15"/>
        <v>Bestellung an:</v>
      </c>
      <c r="I98" s="445"/>
      <c r="L98" s="526">
        <v>12</v>
      </c>
      <c r="M98" s="317" t="str">
        <f t="shared" si="14"/>
        <v>Kalenderwoche 12</v>
      </c>
    </row>
    <row r="99" spans="4:14" x14ac:dyDescent="0.2">
      <c r="D99" s="280" t="s">
        <v>173</v>
      </c>
      <c r="E99" s="316" t="s">
        <v>173</v>
      </c>
      <c r="F99" s="316" t="s">
        <v>173</v>
      </c>
      <c r="G99" s="317" t="s">
        <v>173</v>
      </c>
      <c r="H99" s="436" t="str">
        <f t="shared" si="15"/>
        <v>orders@sky-frame.ch</v>
      </c>
      <c r="I99" s="445"/>
      <c r="L99" s="526">
        <v>13</v>
      </c>
      <c r="M99" s="317" t="str">
        <f t="shared" si="14"/>
        <v>Kalenderwoche 13</v>
      </c>
    </row>
    <row r="100" spans="4:14" x14ac:dyDescent="0.2">
      <c r="D100" s="280"/>
      <c r="E100" s="316"/>
      <c r="F100" s="316"/>
      <c r="G100" s="317"/>
      <c r="H100" s="436">
        <f t="shared" si="15"/>
        <v>0</v>
      </c>
      <c r="I100" s="445"/>
      <c r="L100" s="526">
        <v>14</v>
      </c>
      <c r="M100" s="317" t="str">
        <f t="shared" si="14"/>
        <v>Kalenderwoche 14</v>
      </c>
    </row>
    <row r="101" spans="4:14" x14ac:dyDescent="0.2">
      <c r="D101" s="280"/>
      <c r="E101" s="316"/>
      <c r="F101" s="316"/>
      <c r="G101" s="317"/>
      <c r="H101" s="436">
        <f t="shared" si="15"/>
        <v>0</v>
      </c>
      <c r="I101" s="445"/>
      <c r="L101" s="526">
        <v>15</v>
      </c>
      <c r="M101" s="317" t="str">
        <f t="shared" si="14"/>
        <v>Kalenderwoche 15</v>
      </c>
    </row>
    <row r="102" spans="4:14" ht="51" x14ac:dyDescent="0.2">
      <c r="D102" s="334" t="s">
        <v>496</v>
      </c>
      <c r="E102" s="494" t="s">
        <v>276</v>
      </c>
      <c r="F102" s="494" t="s">
        <v>734</v>
      </c>
      <c r="G102" s="495" t="s">
        <v>417</v>
      </c>
      <c r="H102" s="528" t="str">
        <f t="shared" si="15"/>
        <v>Diese Bestellung ist verbindlich und muss komplett ausgefüllt werden. Änderungen werden als Mehraufwand verrechnet.</v>
      </c>
      <c r="I102" s="445"/>
      <c r="L102" s="526">
        <v>16</v>
      </c>
      <c r="M102" s="317" t="str">
        <f t="shared" si="14"/>
        <v>Kalenderwoche 16</v>
      </c>
    </row>
    <row r="103" spans="4:14" ht="12.75" customHeight="1" x14ac:dyDescent="0.2">
      <c r="D103" s="334"/>
      <c r="E103" s="316"/>
      <c r="F103" s="316"/>
      <c r="G103" s="317"/>
      <c r="H103" s="436"/>
      <c r="I103" s="445"/>
      <c r="L103" s="526">
        <v>17</v>
      </c>
      <c r="M103" s="317" t="str">
        <f t="shared" si="14"/>
        <v>Kalenderwoche 17</v>
      </c>
      <c r="N103" s="527"/>
    </row>
    <row r="104" spans="4:14" ht="12.75" customHeight="1" x14ac:dyDescent="0.2">
      <c r="D104" s="280" t="s">
        <v>212</v>
      </c>
      <c r="E104" s="316" t="s">
        <v>741</v>
      </c>
      <c r="F104" s="316" t="s">
        <v>316</v>
      </c>
      <c r="G104" s="317" t="s">
        <v>359</v>
      </c>
      <c r="H104" s="436" t="str">
        <f t="shared" si="15"/>
        <v>A-Ecke 90°</v>
      </c>
      <c r="I104" s="445"/>
      <c r="L104" s="526">
        <v>18</v>
      </c>
      <c r="M104" s="317" t="str">
        <f t="shared" si="14"/>
        <v>Kalenderwoche 18</v>
      </c>
    </row>
    <row r="105" spans="4:14" ht="12.75" customHeight="1" x14ac:dyDescent="0.2">
      <c r="D105" s="280" t="s">
        <v>213</v>
      </c>
      <c r="E105" s="316" t="s">
        <v>740</v>
      </c>
      <c r="F105" s="316" t="s">
        <v>447</v>
      </c>
      <c r="G105" s="317" t="s">
        <v>360</v>
      </c>
      <c r="H105" s="436" t="str">
        <f t="shared" si="15"/>
        <v>I-Ecke 90°</v>
      </c>
      <c r="I105" s="445"/>
      <c r="L105" s="526">
        <v>19</v>
      </c>
      <c r="M105" s="317" t="str">
        <f t="shared" si="14"/>
        <v>Kalenderwoche 19</v>
      </c>
    </row>
    <row r="106" spans="4:14" ht="12.75" customHeight="1" x14ac:dyDescent="0.2">
      <c r="D106" s="280" t="s">
        <v>215</v>
      </c>
      <c r="E106" s="316" t="s">
        <v>739</v>
      </c>
      <c r="F106" s="316" t="s">
        <v>317</v>
      </c>
      <c r="G106" s="317" t="s">
        <v>361</v>
      </c>
      <c r="H106" s="436" t="str">
        <f t="shared" si="15"/>
        <v>A-Ecke≠90°</v>
      </c>
      <c r="I106" s="445"/>
      <c r="L106" s="526">
        <v>20</v>
      </c>
      <c r="M106" s="317" t="str">
        <f t="shared" si="14"/>
        <v>Kalenderwoche 20</v>
      </c>
    </row>
    <row r="107" spans="4:14" ht="12.75" customHeight="1" x14ac:dyDescent="0.2">
      <c r="D107" s="280" t="s">
        <v>216</v>
      </c>
      <c r="E107" s="316" t="s">
        <v>738</v>
      </c>
      <c r="F107" s="316" t="s">
        <v>448</v>
      </c>
      <c r="G107" s="317" t="s">
        <v>362</v>
      </c>
      <c r="H107" s="436" t="str">
        <f t="shared" si="15"/>
        <v>I-Ecke≠90°</v>
      </c>
      <c r="I107" s="445"/>
      <c r="L107" s="526">
        <v>21</v>
      </c>
      <c r="M107" s="317" t="str">
        <f t="shared" si="14"/>
        <v>Kalenderwoche 21</v>
      </c>
    </row>
    <row r="108" spans="4:14" ht="12.75" customHeight="1" x14ac:dyDescent="0.2">
      <c r="D108" s="280" t="s">
        <v>434</v>
      </c>
      <c r="E108" s="316" t="s">
        <v>435</v>
      </c>
      <c r="F108" s="316" t="s">
        <v>436</v>
      </c>
      <c r="G108" s="317" t="s">
        <v>437</v>
      </c>
      <c r="H108" s="436" t="str">
        <f t="shared" si="15"/>
        <v>Wert:</v>
      </c>
      <c r="I108" s="445"/>
      <c r="L108" s="526">
        <v>22</v>
      </c>
      <c r="M108" s="317" t="str">
        <f t="shared" si="14"/>
        <v>Kalenderwoche 22</v>
      </c>
    </row>
    <row r="109" spans="4:14" ht="12.75" customHeight="1" x14ac:dyDescent="0.2">
      <c r="D109" s="280" t="s">
        <v>278</v>
      </c>
      <c r="E109" s="316" t="s">
        <v>277</v>
      </c>
      <c r="F109" s="316" t="s">
        <v>318</v>
      </c>
      <c r="G109" s="316" t="s">
        <v>363</v>
      </c>
      <c r="H109" s="436" t="str">
        <f t="shared" si="15"/>
        <v>Bitte auswählen:</v>
      </c>
      <c r="I109" s="445"/>
      <c r="L109" s="526">
        <v>23</v>
      </c>
      <c r="M109" s="317" t="str">
        <f t="shared" si="14"/>
        <v>Kalenderwoche 23</v>
      </c>
    </row>
    <row r="110" spans="4:14" ht="12.75" customHeight="1" x14ac:dyDescent="0.2">
      <c r="D110" s="280" t="s">
        <v>338</v>
      </c>
      <c r="E110" s="316" t="s">
        <v>338</v>
      </c>
      <c r="F110" s="316" t="s">
        <v>338</v>
      </c>
      <c r="G110" s="316" t="s">
        <v>338</v>
      </c>
      <c r="H110" s="436" t="str">
        <f t="shared" si="15"/>
        <v>KABA (22)</v>
      </c>
      <c r="I110" s="445" t="b">
        <v>0</v>
      </c>
      <c r="L110" s="526">
        <v>24</v>
      </c>
      <c r="M110" s="317" t="str">
        <f t="shared" si="14"/>
        <v>Kalenderwoche 24</v>
      </c>
    </row>
    <row r="111" spans="4:14" ht="12.75" customHeight="1" x14ac:dyDescent="0.2">
      <c r="D111" s="280" t="s">
        <v>339</v>
      </c>
      <c r="E111" s="316" t="s">
        <v>339</v>
      </c>
      <c r="F111" s="316" t="s">
        <v>339</v>
      </c>
      <c r="G111" s="317" t="s">
        <v>339</v>
      </c>
      <c r="H111" s="436" t="str">
        <f t="shared" si="15"/>
        <v>PZ / Euro (17)</v>
      </c>
      <c r="I111" s="445" t="b">
        <v>0</v>
      </c>
      <c r="L111" s="526">
        <v>25</v>
      </c>
      <c r="M111" s="317" t="str">
        <f t="shared" si="14"/>
        <v>Kalenderwoche 25</v>
      </c>
    </row>
    <row r="112" spans="4:14" x14ac:dyDescent="0.2">
      <c r="D112" s="280" t="s">
        <v>379</v>
      </c>
      <c r="E112" s="316" t="s">
        <v>380</v>
      </c>
      <c r="F112" s="316" t="s">
        <v>381</v>
      </c>
      <c r="G112" s="317" t="s">
        <v>382</v>
      </c>
      <c r="H112" s="436" t="str">
        <f>IF($B$3=$A$3,D112,IF($B$3=$A$4,E112,IF($B$3=$A$5,F112,IF($B$3=$A$6,G112,""))))</f>
        <v>mit CFK</v>
      </c>
      <c r="I112" s="445"/>
      <c r="L112" s="526">
        <v>26</v>
      </c>
      <c r="M112" s="317" t="str">
        <f t="shared" si="14"/>
        <v>Kalenderwoche 26</v>
      </c>
    </row>
    <row r="113" spans="4:14" x14ac:dyDescent="0.2">
      <c r="D113" s="280" t="s">
        <v>383</v>
      </c>
      <c r="E113" s="316" t="s">
        <v>384</v>
      </c>
      <c r="F113" s="316" t="s">
        <v>385</v>
      </c>
      <c r="G113" s="317" t="s">
        <v>386</v>
      </c>
      <c r="H113" s="436" t="str">
        <f>IF($B$3=$A$3,D113,IF($B$3=$A$4,E113,IF($B$3=$A$5,F113,IF($B$3=$A$6,G113,""))))</f>
        <v>ohne CFK</v>
      </c>
      <c r="I113" s="445"/>
      <c r="L113" s="526">
        <v>27</v>
      </c>
      <c r="M113" s="317" t="str">
        <f t="shared" si="14"/>
        <v>Kalenderwoche 27</v>
      </c>
      <c r="N113" s="527"/>
    </row>
    <row r="114" spans="4:14" x14ac:dyDescent="0.2">
      <c r="D114" s="280" t="s">
        <v>387</v>
      </c>
      <c r="E114" s="316" t="s">
        <v>389</v>
      </c>
      <c r="F114" s="316" t="s">
        <v>391</v>
      </c>
      <c r="G114" s="317" t="s">
        <v>425</v>
      </c>
      <c r="H114" s="436" t="str">
        <f>IF($B$3=$A$3,D114,IF($B$3=$A$4,E114,IF($B$3=$A$5,F114,IF($B$3=$A$6,G114,""))))</f>
        <v>mit Stahl</v>
      </c>
      <c r="I114" s="445"/>
      <c r="L114" s="526">
        <v>28</v>
      </c>
      <c r="M114" s="317" t="str">
        <f t="shared" si="14"/>
        <v>Kalenderwoche 28</v>
      </c>
    </row>
    <row r="115" spans="4:14" x14ac:dyDescent="0.2">
      <c r="D115" s="280" t="s">
        <v>388</v>
      </c>
      <c r="E115" s="316" t="s">
        <v>390</v>
      </c>
      <c r="F115" s="316" t="s">
        <v>392</v>
      </c>
      <c r="G115" s="317" t="s">
        <v>426</v>
      </c>
      <c r="H115" s="436" t="str">
        <f>IF($B$3=$A$3,D115,IF($B$3=$A$4,E115,IF($B$3=$A$5,F115,IF($B$3=$A$6,G115,""))))</f>
        <v>ohne Stahl</v>
      </c>
      <c r="I115" s="445"/>
      <c r="L115" s="526">
        <v>29</v>
      </c>
      <c r="M115" s="317" t="str">
        <f t="shared" si="14"/>
        <v>Kalenderwoche 29</v>
      </c>
    </row>
    <row r="116" spans="4:14" x14ac:dyDescent="0.2">
      <c r="D116" s="280" t="s">
        <v>395</v>
      </c>
      <c r="E116" s="316" t="s">
        <v>398</v>
      </c>
      <c r="F116" s="316" t="s">
        <v>400</v>
      </c>
      <c r="G116" s="317" t="s">
        <v>403</v>
      </c>
      <c r="H116" s="436" t="str">
        <f>IF($B$3=$A$3,D116,IF($B$3=$A$4,E116,IF($B$3=$A$5,F116,IF($B$3=$A$6,G116,""))))</f>
        <v>Ganzglas-Ecke</v>
      </c>
      <c r="I116" s="445"/>
      <c r="L116" s="526">
        <v>30</v>
      </c>
      <c r="M116" s="317" t="str">
        <f t="shared" si="14"/>
        <v>Kalenderwoche 30</v>
      </c>
    </row>
    <row r="117" spans="4:14" x14ac:dyDescent="0.2">
      <c r="D117" s="280" t="s">
        <v>396</v>
      </c>
      <c r="E117" s="316" t="s">
        <v>737</v>
      </c>
      <c r="F117" s="316" t="s">
        <v>401</v>
      </c>
      <c r="G117" s="317" t="s">
        <v>404</v>
      </c>
      <c r="H117" s="436" t="str">
        <f t="shared" ref="H117:H180" si="16">IF($B$3=$A$3,D117,IF($B$3=$A$4,E117,IF($B$3=$A$5,F117,IF($B$3=$A$6,G117,""))))</f>
        <v>Ecke RC2 (WK2)</v>
      </c>
      <c r="I117" s="445"/>
      <c r="L117" s="526">
        <v>31</v>
      </c>
      <c r="M117" s="317" t="str">
        <f t="shared" si="14"/>
        <v>Kalenderwoche 31</v>
      </c>
    </row>
    <row r="118" spans="4:14" x14ac:dyDescent="0.2">
      <c r="D118" s="280" t="s">
        <v>397</v>
      </c>
      <c r="E118" s="316" t="s">
        <v>399</v>
      </c>
      <c r="F118" s="316" t="s">
        <v>402</v>
      </c>
      <c r="G118" s="317" t="s">
        <v>405</v>
      </c>
      <c r="H118" s="436" t="str">
        <f t="shared" si="16"/>
        <v>Standard (RC2 in Anlehnung)</v>
      </c>
      <c r="I118" s="445"/>
      <c r="L118" s="526">
        <v>32</v>
      </c>
      <c r="M118" s="317" t="str">
        <f t="shared" si="14"/>
        <v>Kalenderwoche 32</v>
      </c>
    </row>
    <row r="119" spans="4:14" x14ac:dyDescent="0.2">
      <c r="D119" s="280" t="s">
        <v>968</v>
      </c>
      <c r="E119" s="316" t="s">
        <v>969</v>
      </c>
      <c r="F119" s="316" t="s">
        <v>970</v>
      </c>
      <c r="G119" s="317" t="s">
        <v>971</v>
      </c>
      <c r="H119" s="436" t="str">
        <f t="shared" si="16"/>
        <v>RC2 mit Blech</v>
      </c>
      <c r="I119" s="445"/>
      <c r="L119" s="526">
        <v>33</v>
      </c>
      <c r="M119" s="317" t="str">
        <f t="shared" si="14"/>
        <v>Kalenderwoche 33</v>
      </c>
    </row>
    <row r="120" spans="4:14" x14ac:dyDescent="0.2">
      <c r="D120" s="280" t="s">
        <v>408</v>
      </c>
      <c r="E120" s="316" t="s">
        <v>411</v>
      </c>
      <c r="F120" s="316" t="s">
        <v>412</v>
      </c>
      <c r="G120" s="317" t="s">
        <v>414</v>
      </c>
      <c r="H120" s="436" t="str">
        <f t="shared" si="16"/>
        <v>mit AL.</v>
      </c>
      <c r="I120" s="445"/>
      <c r="L120" s="526">
        <v>34</v>
      </c>
      <c r="M120" s="317" t="str">
        <f t="shared" si="14"/>
        <v>Kalenderwoche 34</v>
      </c>
    </row>
    <row r="121" spans="4:14" x14ac:dyDescent="0.2">
      <c r="D121" s="280" t="s">
        <v>409</v>
      </c>
      <c r="E121" s="316" t="s">
        <v>410</v>
      </c>
      <c r="F121" s="316" t="s">
        <v>413</v>
      </c>
      <c r="G121" s="317" t="s">
        <v>415</v>
      </c>
      <c r="H121" s="436" t="str">
        <f t="shared" si="16"/>
        <v>ohne AL.</v>
      </c>
      <c r="I121" s="445"/>
      <c r="L121" s="526">
        <v>35</v>
      </c>
      <c r="M121" s="317" t="str">
        <f t="shared" si="14"/>
        <v>Kalenderwoche 35</v>
      </c>
    </row>
    <row r="122" spans="4:14" x14ac:dyDescent="0.2">
      <c r="D122" s="280" t="s">
        <v>837</v>
      </c>
      <c r="E122" s="316" t="s">
        <v>839</v>
      </c>
      <c r="F122" s="316" t="s">
        <v>841</v>
      </c>
      <c r="G122" s="317" t="s">
        <v>843</v>
      </c>
      <c r="H122" s="436" t="str">
        <f t="shared" si="16"/>
        <v>mit Stahl (&gt;2.5m)</v>
      </c>
      <c r="I122" s="445"/>
      <c r="L122" s="526">
        <v>36</v>
      </c>
      <c r="M122" s="317" t="str">
        <f t="shared" si="14"/>
        <v>Kalenderwoche 36</v>
      </c>
    </row>
    <row r="123" spans="4:14" x14ac:dyDescent="0.2">
      <c r="D123" s="280" t="s">
        <v>838</v>
      </c>
      <c r="E123" s="316" t="s">
        <v>840</v>
      </c>
      <c r="F123" s="316" t="s">
        <v>842</v>
      </c>
      <c r="G123" s="317" t="s">
        <v>844</v>
      </c>
      <c r="H123" s="436" t="str">
        <f t="shared" si="16"/>
        <v>ohne Stahl (&lt;2.5m)</v>
      </c>
      <c r="I123" s="445"/>
      <c r="L123" s="526">
        <v>37</v>
      </c>
      <c r="M123" s="317" t="str">
        <f t="shared" si="14"/>
        <v>Kalenderwoche 37</v>
      </c>
    </row>
    <row r="124" spans="4:14" x14ac:dyDescent="0.2">
      <c r="D124" s="280" t="s">
        <v>418</v>
      </c>
      <c r="E124" s="316" t="s">
        <v>736</v>
      </c>
      <c r="F124" s="316" t="s">
        <v>419</v>
      </c>
      <c r="G124" s="317" t="s">
        <v>420</v>
      </c>
      <c r="H124" s="436" t="str">
        <f t="shared" si="16"/>
        <v>Ecke:</v>
      </c>
      <c r="I124" s="445"/>
      <c r="L124" s="526">
        <v>38</v>
      </c>
      <c r="M124" s="317" t="str">
        <f t="shared" si="14"/>
        <v>Kalenderwoche 38</v>
      </c>
    </row>
    <row r="125" spans="4:14" x14ac:dyDescent="0.2">
      <c r="D125" s="280" t="s">
        <v>442</v>
      </c>
      <c r="E125" s="316" t="s">
        <v>442</v>
      </c>
      <c r="F125" s="316" t="s">
        <v>442</v>
      </c>
      <c r="G125" s="317" t="s">
        <v>442</v>
      </c>
      <c r="H125" s="436" t="str">
        <f t="shared" si="16"/>
        <v>NFRC (USA)</v>
      </c>
      <c r="I125" s="445" t="b">
        <v>0</v>
      </c>
      <c r="L125" s="526">
        <v>39</v>
      </c>
      <c r="M125" s="317" t="str">
        <f t="shared" si="14"/>
        <v>Kalenderwoche 39</v>
      </c>
    </row>
    <row r="126" spans="4:14" x14ac:dyDescent="0.2">
      <c r="D126" s="280" t="s">
        <v>453</v>
      </c>
      <c r="E126" s="316" t="s">
        <v>487</v>
      </c>
      <c r="F126" s="316" t="s">
        <v>490</v>
      </c>
      <c r="G126" s="317" t="s">
        <v>474</v>
      </c>
      <c r="H126" s="436" t="str">
        <f t="shared" si="16"/>
        <v>Bestellung vollständig ausfüllen.</v>
      </c>
      <c r="I126" s="445"/>
      <c r="L126" s="526">
        <v>40</v>
      </c>
      <c r="M126" s="317" t="str">
        <f t="shared" si="14"/>
        <v>Kalenderwoche 40</v>
      </c>
    </row>
    <row r="127" spans="4:14" x14ac:dyDescent="0.2">
      <c r="D127" s="280" t="s">
        <v>468</v>
      </c>
      <c r="E127" s="316" t="s">
        <v>488</v>
      </c>
      <c r="F127" s="316" t="s">
        <v>492</v>
      </c>
      <c r="G127" s="317" t="s">
        <v>475</v>
      </c>
      <c r="H127" s="436" t="str">
        <f t="shared" si="16"/>
        <v>Überprüfen ob keine roten Rahmen aufleuchten.</v>
      </c>
      <c r="I127" s="445"/>
      <c r="L127" s="526">
        <v>41</v>
      </c>
      <c r="M127" s="317" t="str">
        <f t="shared" si="14"/>
        <v>Kalenderwoche 41</v>
      </c>
    </row>
    <row r="128" spans="4:14" x14ac:dyDescent="0.2">
      <c r="D128" s="280" t="s">
        <v>469</v>
      </c>
      <c r="E128" s="316" t="s">
        <v>489</v>
      </c>
      <c r="F128" s="316" t="s">
        <v>491</v>
      </c>
      <c r="G128" s="317" t="s">
        <v>476</v>
      </c>
      <c r="H128" s="436" t="str">
        <f t="shared" si="16"/>
        <v>Bestellung senden an:</v>
      </c>
      <c r="I128" s="445"/>
      <c r="L128" s="526">
        <v>42</v>
      </c>
      <c r="M128" s="317" t="str">
        <f t="shared" si="14"/>
        <v>Kalenderwoche 42</v>
      </c>
    </row>
    <row r="129" spans="4:13" x14ac:dyDescent="0.2">
      <c r="D129" s="280" t="s">
        <v>467</v>
      </c>
      <c r="E129" s="316" t="s">
        <v>486</v>
      </c>
      <c r="F129" s="316" t="s">
        <v>486</v>
      </c>
      <c r="G129" s="317" t="s">
        <v>473</v>
      </c>
      <c r="H129" s="436" t="str">
        <f t="shared" si="16"/>
        <v>Anleitung:</v>
      </c>
      <c r="I129" s="445"/>
      <c r="L129" s="526">
        <v>43</v>
      </c>
      <c r="M129" s="317" t="str">
        <f t="shared" si="14"/>
        <v>Kalenderwoche 43</v>
      </c>
    </row>
    <row r="130" spans="4:13" x14ac:dyDescent="0.2">
      <c r="D130" s="280" t="s">
        <v>498</v>
      </c>
      <c r="E130" s="316" t="s">
        <v>497</v>
      </c>
      <c r="F130" s="316" t="s">
        <v>503</v>
      </c>
      <c r="G130" s="317" t="s">
        <v>685</v>
      </c>
      <c r="H130" s="436" t="str">
        <f t="shared" si="16"/>
        <v>Vertriebspartner:</v>
      </c>
      <c r="I130" s="445"/>
      <c r="L130" s="526">
        <v>44</v>
      </c>
      <c r="M130" s="317" t="str">
        <f t="shared" si="14"/>
        <v>Kalenderwoche 44</v>
      </c>
    </row>
    <row r="131" spans="4:13" x14ac:dyDescent="0.2">
      <c r="D131" s="280" t="s">
        <v>495</v>
      </c>
      <c r="E131" s="316" t="s">
        <v>505</v>
      </c>
      <c r="F131" s="316" t="s">
        <v>504</v>
      </c>
      <c r="G131" s="317" t="s">
        <v>507</v>
      </c>
      <c r="H131" s="436" t="str">
        <f t="shared" si="16"/>
        <v>Bemerkungen:</v>
      </c>
      <c r="I131" s="445"/>
      <c r="L131" s="526">
        <v>45</v>
      </c>
      <c r="M131" s="317" t="str">
        <f t="shared" si="14"/>
        <v>Kalenderwoche 45</v>
      </c>
    </row>
    <row r="132" spans="4:13" x14ac:dyDescent="0.2">
      <c r="D132" s="280" t="s">
        <v>511</v>
      </c>
      <c r="E132" s="316" t="s">
        <v>515</v>
      </c>
      <c r="F132" s="316" t="s">
        <v>516</v>
      </c>
      <c r="G132" s="317" t="s">
        <v>517</v>
      </c>
      <c r="H132" s="436" t="str">
        <f>IF($B$3=$A$3,D132,IF($B$3=$A$4,E132,IF($B$3=$A$5,F132,IF($B$3=$A$6,G132,""))))</f>
        <v>Öffnung angeben →</v>
      </c>
      <c r="I132" s="445"/>
      <c r="L132" s="526">
        <v>46</v>
      </c>
      <c r="M132" s="317" t="str">
        <f t="shared" si="14"/>
        <v>Kalenderwoche 46</v>
      </c>
    </row>
    <row r="133" spans="4:13" x14ac:dyDescent="0.2">
      <c r="D133" s="280" t="s">
        <v>567</v>
      </c>
      <c r="E133" s="316" t="s">
        <v>568</v>
      </c>
      <c r="F133" s="316" t="s">
        <v>570</v>
      </c>
      <c r="G133" s="317" t="s">
        <v>569</v>
      </c>
      <c r="H133" s="436" t="str">
        <f t="shared" si="16"/>
        <v>5-gleisig</v>
      </c>
      <c r="I133" s="445" t="b">
        <f>IF(AND(I12=TRUE,'Pos. 5'!AT5=1),TRUE,FALSE)</f>
        <v>0</v>
      </c>
      <c r="L133" s="526">
        <v>47</v>
      </c>
      <c r="M133" s="317" t="str">
        <f t="shared" si="14"/>
        <v>Kalenderwoche 47</v>
      </c>
    </row>
    <row r="134" spans="4:13" x14ac:dyDescent="0.2">
      <c r="D134" s="512" t="s">
        <v>572</v>
      </c>
      <c r="E134" s="316" t="s">
        <v>572</v>
      </c>
      <c r="F134" s="316" t="s">
        <v>572</v>
      </c>
      <c r="G134" s="317" t="s">
        <v>572</v>
      </c>
      <c r="H134" s="436" t="str">
        <f t="shared" si="16"/>
        <v>Features</v>
      </c>
      <c r="I134" s="445"/>
      <c r="J134" s="279" t="str">
        <f>H159</f>
        <v>Keine</v>
      </c>
      <c r="L134" s="526">
        <v>48</v>
      </c>
      <c r="M134" s="317" t="str">
        <f t="shared" si="14"/>
        <v>Kalenderwoche 48</v>
      </c>
    </row>
    <row r="135" spans="4:13" x14ac:dyDescent="0.2">
      <c r="D135" s="280" t="s">
        <v>586</v>
      </c>
      <c r="E135" s="316" t="s">
        <v>588</v>
      </c>
      <c r="F135" s="316" t="s">
        <v>589</v>
      </c>
      <c r="G135" s="317" t="s">
        <v>590</v>
      </c>
      <c r="H135" s="436" t="str">
        <f t="shared" si="16"/>
        <v>Oben Links</v>
      </c>
      <c r="I135" s="445"/>
      <c r="J135" s="279" t="str">
        <f>H135</f>
        <v>Oben Links</v>
      </c>
      <c r="L135" s="526">
        <v>49</v>
      </c>
      <c r="M135" s="317" t="str">
        <f t="shared" si="14"/>
        <v>Kalenderwoche 49</v>
      </c>
    </row>
    <row r="136" spans="4:13" x14ac:dyDescent="0.2">
      <c r="D136" s="280" t="s">
        <v>587</v>
      </c>
      <c r="E136" s="316" t="s">
        <v>591</v>
      </c>
      <c r="F136" s="316" t="s">
        <v>592</v>
      </c>
      <c r="G136" s="317" t="s">
        <v>593</v>
      </c>
      <c r="H136" s="436" t="str">
        <f t="shared" si="16"/>
        <v>Oben Rechts</v>
      </c>
      <c r="I136" s="445"/>
      <c r="J136" s="279" t="str">
        <f>H136</f>
        <v>Oben Rechts</v>
      </c>
      <c r="L136" s="526">
        <v>50</v>
      </c>
      <c r="M136" s="317" t="str">
        <f t="shared" si="14"/>
        <v>Kalenderwoche 50</v>
      </c>
    </row>
    <row r="137" spans="4:13" x14ac:dyDescent="0.2">
      <c r="D137" s="280" t="s">
        <v>594</v>
      </c>
      <c r="E137" s="316" t="s">
        <v>595</v>
      </c>
      <c r="F137" s="316" t="s">
        <v>596</v>
      </c>
      <c r="G137" s="317" t="s">
        <v>597</v>
      </c>
      <c r="H137" s="436" t="str">
        <f t="shared" si="16"/>
        <v>Lage Glasspinne (Ansicht von Aussen)</v>
      </c>
      <c r="I137" s="445"/>
      <c r="L137" s="526">
        <v>51</v>
      </c>
      <c r="M137" s="317" t="str">
        <f t="shared" si="14"/>
        <v>Kalenderwoche 51</v>
      </c>
    </row>
    <row r="138" spans="4:13" ht="13.5" thickBot="1" x14ac:dyDescent="0.25">
      <c r="D138" s="280" t="s">
        <v>598</v>
      </c>
      <c r="E138" s="316" t="s">
        <v>715</v>
      </c>
      <c r="F138" s="316" t="s">
        <v>688</v>
      </c>
      <c r="G138" s="317" t="s">
        <v>697</v>
      </c>
      <c r="H138" s="436" t="str">
        <f t="shared" si="16"/>
        <v>Rinnenbestellung</v>
      </c>
      <c r="I138" s="445"/>
      <c r="L138" s="529">
        <v>52</v>
      </c>
      <c r="M138" s="475" t="str">
        <f t="shared" si="14"/>
        <v>Kalenderwoche 52</v>
      </c>
    </row>
    <row r="139" spans="4:13" x14ac:dyDescent="0.2">
      <c r="D139" s="280" t="s">
        <v>632</v>
      </c>
      <c r="E139" s="316" t="s">
        <v>716</v>
      </c>
      <c r="F139" s="316" t="s">
        <v>709</v>
      </c>
      <c r="G139" s="317" t="s">
        <v>698</v>
      </c>
      <c r="H139" s="436" t="str">
        <f t="shared" si="16"/>
        <v>Wahl des Rinnensystems:</v>
      </c>
      <c r="I139" s="445"/>
    </row>
    <row r="140" spans="4:13" x14ac:dyDescent="0.2">
      <c r="D140" s="280" t="s">
        <v>631</v>
      </c>
      <c r="E140" s="316" t="s">
        <v>717</v>
      </c>
      <c r="F140" s="316" t="s">
        <v>710</v>
      </c>
      <c r="G140" s="317" t="s">
        <v>833</v>
      </c>
      <c r="H140" s="436" t="str">
        <f t="shared" si="16"/>
        <v>Einzug an der linken Anlagenseite:</v>
      </c>
      <c r="I140" s="445"/>
    </row>
    <row r="141" spans="4:13" x14ac:dyDescent="0.2">
      <c r="D141" s="280" t="s">
        <v>630</v>
      </c>
      <c r="E141" s="316" t="s">
        <v>718</v>
      </c>
      <c r="F141" s="316" t="s">
        <v>711</v>
      </c>
      <c r="G141" s="317" t="s">
        <v>834</v>
      </c>
      <c r="H141" s="436" t="str">
        <f t="shared" si="16"/>
        <v>Einzug an der rechten Anlagenseite:</v>
      </c>
      <c r="I141" s="445"/>
    </row>
    <row r="142" spans="4:13" x14ac:dyDescent="0.2">
      <c r="D142" s="280" t="s">
        <v>629</v>
      </c>
      <c r="E142" s="316" t="s">
        <v>719</v>
      </c>
      <c r="F142" s="316" t="s">
        <v>712</v>
      </c>
      <c r="G142" s="317" t="s">
        <v>699</v>
      </c>
      <c r="H142" s="436" t="str">
        <f t="shared" si="16"/>
        <v>Anschlussstutzen:</v>
      </c>
      <c r="I142" s="445"/>
    </row>
    <row r="143" spans="4:13" x14ac:dyDescent="0.2">
      <c r="D143" s="280" t="s">
        <v>599</v>
      </c>
      <c r="E143" s="316" t="s">
        <v>720</v>
      </c>
      <c r="F143" s="316" t="s">
        <v>689</v>
      </c>
      <c r="G143" s="317" t="s">
        <v>700</v>
      </c>
      <c r="H143" s="436" t="str">
        <f t="shared" si="16"/>
        <v>lose mitliefern</v>
      </c>
      <c r="I143" s="445"/>
      <c r="J143" s="279" t="str">
        <f>H143</f>
        <v>lose mitliefern</v>
      </c>
    </row>
    <row r="144" spans="4:13" x14ac:dyDescent="0.2">
      <c r="D144" s="280" t="s">
        <v>600</v>
      </c>
      <c r="E144" s="316" t="s">
        <v>721</v>
      </c>
      <c r="F144" s="316" t="s">
        <v>690</v>
      </c>
      <c r="G144" s="317" t="s">
        <v>701</v>
      </c>
      <c r="H144" s="436" t="str">
        <f t="shared" si="16"/>
        <v>vordefiniert</v>
      </c>
      <c r="I144" s="445"/>
      <c r="J144" s="279" t="str">
        <f>H144</f>
        <v>vordefiniert</v>
      </c>
    </row>
    <row r="145" spans="4:10" x14ac:dyDescent="0.2">
      <c r="D145" s="280" t="s">
        <v>633</v>
      </c>
      <c r="E145" s="316" t="s">
        <v>722</v>
      </c>
      <c r="F145" s="316" t="s">
        <v>713</v>
      </c>
      <c r="G145" s="317" t="s">
        <v>702</v>
      </c>
      <c r="H145" s="436" t="str">
        <f t="shared" si="16"/>
        <v>Anzahl Anschlussstutzen:</v>
      </c>
      <c r="I145" s="445"/>
    </row>
    <row r="146" spans="4:10" x14ac:dyDescent="0.2">
      <c r="D146" s="280" t="s">
        <v>601</v>
      </c>
      <c r="E146" s="316" t="s">
        <v>691</v>
      </c>
      <c r="F146" s="316" t="s">
        <v>691</v>
      </c>
      <c r="G146" s="317" t="s">
        <v>703</v>
      </c>
      <c r="H146" s="436" t="str">
        <f t="shared" si="16"/>
        <v>Typ A</v>
      </c>
      <c r="I146" s="445"/>
      <c r="J146" s="279" t="str">
        <f>H146</f>
        <v>Typ A</v>
      </c>
    </row>
    <row r="147" spans="4:10" x14ac:dyDescent="0.2">
      <c r="D147" s="280" t="s">
        <v>602</v>
      </c>
      <c r="E147" s="316" t="s">
        <v>692</v>
      </c>
      <c r="F147" s="316" t="s">
        <v>692</v>
      </c>
      <c r="G147" s="317" t="s">
        <v>704</v>
      </c>
      <c r="H147" s="436" t="str">
        <f t="shared" si="16"/>
        <v>Typ B</v>
      </c>
      <c r="I147" s="445"/>
      <c r="J147" s="279" t="str">
        <f>H147</f>
        <v>Typ B</v>
      </c>
    </row>
    <row r="148" spans="4:10" x14ac:dyDescent="0.2">
      <c r="D148" s="280" t="s">
        <v>887</v>
      </c>
      <c r="E148" s="316" t="s">
        <v>888</v>
      </c>
      <c r="F148" s="316" t="s">
        <v>889</v>
      </c>
      <c r="G148" s="317" t="s">
        <v>890</v>
      </c>
      <c r="H148" s="436" t="str">
        <f t="shared" si="16"/>
        <v>Abstände Ablaufstutzen (E):</v>
      </c>
      <c r="I148" s="445"/>
    </row>
    <row r="149" spans="4:10" x14ac:dyDescent="0.2">
      <c r="D149" s="280" t="s">
        <v>603</v>
      </c>
      <c r="E149" s="316" t="s">
        <v>723</v>
      </c>
      <c r="F149" s="316" t="s">
        <v>735</v>
      </c>
      <c r="G149" s="317" t="s">
        <v>705</v>
      </c>
      <c r="H149" s="436" t="str">
        <f t="shared" si="16"/>
        <v>Rinnenanschluss:</v>
      </c>
      <c r="I149" s="445"/>
    </row>
    <row r="150" spans="4:10" x14ac:dyDescent="0.2">
      <c r="D150" s="280" t="s">
        <v>680</v>
      </c>
      <c r="E150" s="316" t="s">
        <v>724</v>
      </c>
      <c r="F150" s="316" t="s">
        <v>714</v>
      </c>
      <c r="G150" s="317" t="s">
        <v>706</v>
      </c>
      <c r="H150" s="436" t="str">
        <f t="shared" si="16"/>
        <v>Farbe Panele:</v>
      </c>
      <c r="I150" s="445"/>
    </row>
    <row r="151" spans="4:10" x14ac:dyDescent="0.2">
      <c r="D151" s="280" t="s">
        <v>16</v>
      </c>
      <c r="E151" s="316" t="s">
        <v>16</v>
      </c>
      <c r="F151" s="316" t="s">
        <v>16</v>
      </c>
      <c r="G151" s="317" t="s">
        <v>16</v>
      </c>
      <c r="H151" s="436" t="str">
        <f t="shared" si="16"/>
        <v>Standard</v>
      </c>
      <c r="I151" s="445"/>
      <c r="J151" s="279" t="str">
        <f>H151</f>
        <v>Standard</v>
      </c>
    </row>
    <row r="152" spans="4:10" x14ac:dyDescent="0.2">
      <c r="D152" s="280" t="s">
        <v>681</v>
      </c>
      <c r="E152" s="316" t="s">
        <v>725</v>
      </c>
      <c r="F152" s="316" t="s">
        <v>693</v>
      </c>
      <c r="G152" s="317" t="s">
        <v>707</v>
      </c>
      <c r="H152" s="436" t="str">
        <f t="shared" si="16"/>
        <v>Rahmenfarbe</v>
      </c>
      <c r="I152" s="445"/>
      <c r="J152" s="279" t="str">
        <f>H152</f>
        <v>Rahmenfarbe</v>
      </c>
    </row>
    <row r="153" spans="4:10" x14ac:dyDescent="0.2">
      <c r="D153" s="280" t="s">
        <v>682</v>
      </c>
      <c r="E153" s="316" t="s">
        <v>726</v>
      </c>
      <c r="F153" s="316" t="s">
        <v>694</v>
      </c>
      <c r="G153" s="317" t="s">
        <v>708</v>
      </c>
      <c r="H153" s="436" t="str">
        <f t="shared" si="16"/>
        <v>Glas Satinato</v>
      </c>
      <c r="I153" s="445"/>
      <c r="J153" s="279" t="str">
        <f>H153</f>
        <v>Glas Satinato</v>
      </c>
    </row>
    <row r="154" spans="4:10" x14ac:dyDescent="0.2">
      <c r="D154" s="280" t="s">
        <v>695</v>
      </c>
      <c r="E154" s="316" t="s">
        <v>727</v>
      </c>
      <c r="F154" s="316" t="s">
        <v>728</v>
      </c>
      <c r="G154" s="317" t="s">
        <v>729</v>
      </c>
      <c r="H154" s="436" t="str">
        <f t="shared" si="16"/>
        <v>Kalenderwoche</v>
      </c>
      <c r="I154" s="445"/>
    </row>
    <row r="155" spans="4:10" x14ac:dyDescent="0.2">
      <c r="D155" s="280" t="s">
        <v>751</v>
      </c>
      <c r="E155" s="316" t="s">
        <v>759</v>
      </c>
      <c r="F155" s="316" t="s">
        <v>762</v>
      </c>
      <c r="G155" s="317" t="s">
        <v>777</v>
      </c>
      <c r="H155" s="436" t="str">
        <f>IF($B$3=$A$3,D155,IF($B$3=$A$4,E155,IF($B$3=$A$5,F155,IF($B$3=$A$6,G155,""))))</f>
        <v>Bestellformular unvollständig!</v>
      </c>
      <c r="I155" s="445"/>
    </row>
    <row r="156" spans="4:10" x14ac:dyDescent="0.2">
      <c r="D156" s="280" t="s">
        <v>761</v>
      </c>
      <c r="E156" s="316" t="s">
        <v>760</v>
      </c>
      <c r="F156" s="316" t="s">
        <v>763</v>
      </c>
      <c r="G156" s="317" t="s">
        <v>778</v>
      </c>
      <c r="H156" s="436" t="str">
        <f t="shared" si="16"/>
        <v>Bestellformular vollständig.</v>
      </c>
      <c r="I156" s="445"/>
    </row>
    <row r="157" spans="4:10" x14ac:dyDescent="0.2">
      <c r="D157" s="280" t="s">
        <v>756</v>
      </c>
      <c r="E157" s="316" t="s">
        <v>755</v>
      </c>
      <c r="F157" s="316" t="s">
        <v>754</v>
      </c>
      <c r="G157" s="317" t="s">
        <v>757</v>
      </c>
      <c r="H157" s="436" t="str">
        <f t="shared" si="16"/>
        <v>B2B-Login Projektnr:</v>
      </c>
      <c r="I157" s="445"/>
    </row>
    <row r="158" spans="4:10" ht="12.75" customHeight="1" x14ac:dyDescent="0.2">
      <c r="D158" s="323" t="s">
        <v>766</v>
      </c>
      <c r="E158" s="316" t="s">
        <v>767</v>
      </c>
      <c r="F158" s="316" t="s">
        <v>768</v>
      </c>
      <c r="G158" s="317" t="s">
        <v>769</v>
      </c>
      <c r="H158" s="436" t="str">
        <f t="shared" si="16"/>
        <v>OHNE Glas</v>
      </c>
      <c r="I158" s="445"/>
    </row>
    <row r="159" spans="4:10" ht="12.75" customHeight="1" x14ac:dyDescent="0.2">
      <c r="D159" s="280" t="s">
        <v>770</v>
      </c>
      <c r="E159" s="316" t="s">
        <v>771</v>
      </c>
      <c r="F159" s="316" t="s">
        <v>285</v>
      </c>
      <c r="G159" s="317" t="s">
        <v>298</v>
      </c>
      <c r="H159" s="436" t="str">
        <f t="shared" si="16"/>
        <v>Keine</v>
      </c>
      <c r="I159" s="445"/>
    </row>
    <row r="160" spans="4:10" ht="12.75" customHeight="1" x14ac:dyDescent="0.2">
      <c r="D160" s="280" t="s">
        <v>773</v>
      </c>
      <c r="E160" s="316" t="s">
        <v>774</v>
      </c>
      <c r="F160" s="316" t="s">
        <v>775</v>
      </c>
      <c r="G160" s="317" t="s">
        <v>776</v>
      </c>
      <c r="H160" s="436" t="str">
        <f t="shared" si="16"/>
        <v>(auf Anfrage)</v>
      </c>
      <c r="I160" s="445"/>
    </row>
    <row r="161" spans="4:10" x14ac:dyDescent="0.2">
      <c r="D161" s="280" t="s">
        <v>797</v>
      </c>
      <c r="E161" s="316" t="s">
        <v>794</v>
      </c>
      <c r="F161" s="316" t="s">
        <v>796</v>
      </c>
      <c r="G161" s="317" t="s">
        <v>795</v>
      </c>
      <c r="H161" s="436" t="str">
        <f t="shared" si="16"/>
        <v>ohne Verschlussraster (Zylinder)</v>
      </c>
      <c r="I161" s="445"/>
    </row>
    <row r="162" spans="4:10" x14ac:dyDescent="0.2">
      <c r="D162" s="280"/>
      <c r="E162" s="316"/>
      <c r="F162" s="316"/>
      <c r="G162" s="317"/>
      <c r="H162" s="436">
        <f t="shared" si="16"/>
        <v>0</v>
      </c>
      <c r="I162" s="445"/>
    </row>
    <row r="163" spans="4:10" x14ac:dyDescent="0.2">
      <c r="D163" s="280"/>
      <c r="E163" s="316"/>
      <c r="F163" s="316"/>
      <c r="G163" s="317"/>
      <c r="H163" s="436">
        <f t="shared" si="16"/>
        <v>0</v>
      </c>
      <c r="I163" s="445"/>
    </row>
    <row r="164" spans="4:10" x14ac:dyDescent="0.2">
      <c r="D164" s="280"/>
      <c r="E164" s="316"/>
      <c r="F164" s="316"/>
      <c r="G164" s="317"/>
      <c r="H164" s="436">
        <f t="shared" si="16"/>
        <v>0</v>
      </c>
      <c r="I164" s="445"/>
    </row>
    <row r="165" spans="4:10" x14ac:dyDescent="0.2">
      <c r="D165" s="280" t="s">
        <v>937</v>
      </c>
      <c r="E165" s="335" t="s">
        <v>938</v>
      </c>
      <c r="F165" s="335" t="s">
        <v>504</v>
      </c>
      <c r="G165" s="335" t="s">
        <v>939</v>
      </c>
      <c r="H165" s="528" t="str">
        <f t="shared" si="16"/>
        <v>Hinweise:</v>
      </c>
      <c r="I165" s="445"/>
    </row>
    <row r="166" spans="4:10" x14ac:dyDescent="0.2">
      <c r="D166" s="280" t="s">
        <v>799</v>
      </c>
      <c r="E166" s="336" t="s">
        <v>807</v>
      </c>
      <c r="F166" s="335" t="s">
        <v>815</v>
      </c>
      <c r="G166" s="336" t="s">
        <v>823</v>
      </c>
      <c r="H166" s="528" t="str">
        <f t="shared" si="16"/>
        <v>Angabe erstöffnender Flügel</v>
      </c>
      <c r="I166" s="445"/>
    </row>
    <row r="167" spans="4:10" ht="102" x14ac:dyDescent="0.2">
      <c r="D167" s="334" t="s">
        <v>800</v>
      </c>
      <c r="E167" s="337" t="s">
        <v>808</v>
      </c>
      <c r="F167" s="337" t="s">
        <v>816</v>
      </c>
      <c r="G167" s="337" t="s">
        <v>824</v>
      </c>
      <c r="H167" s="528" t="str">
        <f t="shared" si="16"/>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45"/>
    </row>
    <row r="168" spans="4:10" x14ac:dyDescent="0.2">
      <c r="D168" s="334" t="s">
        <v>801</v>
      </c>
      <c r="E168" s="336" t="s">
        <v>809</v>
      </c>
      <c r="F168" s="336" t="s">
        <v>817</v>
      </c>
      <c r="G168" s="337" t="s">
        <v>825</v>
      </c>
      <c r="H168" s="528" t="str">
        <f t="shared" si="16"/>
        <v>Eingabe Ecke ≠ 90° (von 60° - 160°)</v>
      </c>
      <c r="I168" s="445"/>
    </row>
    <row r="169" spans="4:10" ht="63.75" x14ac:dyDescent="0.2">
      <c r="D169" s="334" t="s">
        <v>802</v>
      </c>
      <c r="E169" s="337" t="s">
        <v>810</v>
      </c>
      <c r="F169" s="337" t="s">
        <v>818</v>
      </c>
      <c r="G169" s="337" t="s">
        <v>826</v>
      </c>
      <c r="H169" s="528" t="str">
        <f t="shared" si="16"/>
        <v xml:space="preserve">Um eine Ecke auszuwählen, welche grösser oder kleiner wie 90° ist, muss das dementsprechende Feld ausgewählt werden. Danach muss der gewünschte Wert angegeben werden. </v>
      </c>
      <c r="I169" s="445"/>
    </row>
    <row r="170" spans="4:10" ht="25.5" x14ac:dyDescent="0.2">
      <c r="D170" s="334" t="s">
        <v>803</v>
      </c>
      <c r="E170" s="336" t="s">
        <v>811</v>
      </c>
      <c r="F170" s="336" t="s">
        <v>819</v>
      </c>
      <c r="G170" s="337" t="s">
        <v>827</v>
      </c>
      <c r="H170" s="528" t="str">
        <f t="shared" si="16"/>
        <v>Breitenangabe bei Eckanlagen</v>
      </c>
      <c r="I170" s="445"/>
    </row>
    <row r="171" spans="4:10" ht="102" x14ac:dyDescent="0.2">
      <c r="D171" s="334" t="s">
        <v>804</v>
      </c>
      <c r="E171" s="337" t="s">
        <v>812</v>
      </c>
      <c r="F171" s="337" t="s">
        <v>820</v>
      </c>
      <c r="G171" s="337" t="s">
        <v>828</v>
      </c>
      <c r="H171" s="528" t="str">
        <f t="shared" si="16"/>
        <v>Wird eine Eckanlage eingegeben, erscheint bei der Angabe "Breite" automatisch ein neues Eingabefeld. Die Länge der einzelnen Fronten muss hier separat angegeben werden (Rahmenaussenmass). Die verschiedenen Fronten sind von links nach rechts anzugeben:</v>
      </c>
      <c r="I171" s="445"/>
    </row>
    <row r="172" spans="4:10" x14ac:dyDescent="0.2">
      <c r="D172" s="334" t="s">
        <v>805</v>
      </c>
      <c r="E172" s="336" t="s">
        <v>813</v>
      </c>
      <c r="F172" s="336" t="s">
        <v>821</v>
      </c>
      <c r="G172" s="337" t="s">
        <v>829</v>
      </c>
      <c r="H172" s="528" t="str">
        <f t="shared" si="16"/>
        <v>Rinnenlänge angeben</v>
      </c>
      <c r="I172" s="445"/>
    </row>
    <row r="173" spans="4:10" ht="140.25" x14ac:dyDescent="0.2">
      <c r="D173" s="334" t="s">
        <v>806</v>
      </c>
      <c r="E173" s="338" t="s">
        <v>814</v>
      </c>
      <c r="F173" s="337" t="s">
        <v>822</v>
      </c>
      <c r="G173" s="337" t="s">
        <v>830</v>
      </c>
      <c r="H173" s="528" t="str">
        <f t="shared" si="16"/>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45"/>
    </row>
    <row r="174" spans="4:10" x14ac:dyDescent="0.2">
      <c r="D174" s="280" t="s">
        <v>16</v>
      </c>
      <c r="E174" s="316" t="s">
        <v>16</v>
      </c>
      <c r="F174" s="316" t="s">
        <v>16</v>
      </c>
      <c r="G174" s="317" t="s">
        <v>16</v>
      </c>
      <c r="H174" s="528" t="str">
        <f t="shared" si="16"/>
        <v>Standard</v>
      </c>
      <c r="I174" s="445"/>
      <c r="J174" s="279" t="str">
        <f>H174</f>
        <v>Standard</v>
      </c>
    </row>
    <row r="175" spans="4:10" x14ac:dyDescent="0.2">
      <c r="D175" s="280" t="s">
        <v>846</v>
      </c>
      <c r="E175" s="316" t="s">
        <v>847</v>
      </c>
      <c r="F175" s="316" t="s">
        <v>848</v>
      </c>
      <c r="G175" s="317" t="s">
        <v>849</v>
      </c>
      <c r="H175" s="528" t="str">
        <f t="shared" si="16"/>
        <v>Seaside (Pool/Meer)</v>
      </c>
      <c r="I175" s="445"/>
      <c r="J175" s="279" t="str">
        <f>H175</f>
        <v>Seaside (Pool/Meer)</v>
      </c>
    </row>
    <row r="176" spans="4:10" x14ac:dyDescent="0.2">
      <c r="D176" s="280" t="s">
        <v>853</v>
      </c>
      <c r="E176" s="316" t="s">
        <v>854</v>
      </c>
      <c r="F176" s="316" t="s">
        <v>855</v>
      </c>
      <c r="G176" s="317" t="s">
        <v>859</v>
      </c>
      <c r="H176" s="528" t="str">
        <f t="shared" si="16"/>
        <v>Pulverlack Klasse:</v>
      </c>
      <c r="I176" s="445"/>
    </row>
    <row r="177" spans="4:10" x14ac:dyDescent="0.2">
      <c r="D177" s="280" t="s">
        <v>856</v>
      </c>
      <c r="E177" s="316" t="s">
        <v>856</v>
      </c>
      <c r="F177" s="316" t="s">
        <v>856</v>
      </c>
      <c r="G177" s="317" t="s">
        <v>856</v>
      </c>
      <c r="H177" s="528" t="str">
        <f t="shared" si="16"/>
        <v>Qualicoat 1</v>
      </c>
      <c r="I177" s="445"/>
      <c r="J177" s="279" t="str">
        <f>H177</f>
        <v>Qualicoat 1</v>
      </c>
    </row>
    <row r="178" spans="4:10" x14ac:dyDescent="0.2">
      <c r="D178" s="280" t="s">
        <v>857</v>
      </c>
      <c r="E178" s="316" t="s">
        <v>857</v>
      </c>
      <c r="F178" s="316" t="s">
        <v>857</v>
      </c>
      <c r="G178" s="317" t="s">
        <v>857</v>
      </c>
      <c r="H178" s="528" t="str">
        <f t="shared" si="16"/>
        <v>Qualicoat 2</v>
      </c>
      <c r="I178" s="445"/>
      <c r="J178" s="279" t="str">
        <f>H178</f>
        <v>Qualicoat 2</v>
      </c>
    </row>
    <row r="179" spans="4:10" x14ac:dyDescent="0.2">
      <c r="D179" s="280" t="s">
        <v>879</v>
      </c>
      <c r="E179" s="316" t="s">
        <v>881</v>
      </c>
      <c r="F179" s="316" t="s">
        <v>880</v>
      </c>
      <c r="G179" s="317" t="s">
        <v>886</v>
      </c>
      <c r="H179" s="528" t="str">
        <f t="shared" si="16"/>
        <v>Übersicht:</v>
      </c>
      <c r="I179" s="445"/>
    </row>
    <row r="180" spans="4:10" x14ac:dyDescent="0.2">
      <c r="D180" s="280" t="s">
        <v>875</v>
      </c>
      <c r="E180" s="316" t="s">
        <v>876</v>
      </c>
      <c r="F180" s="316" t="s">
        <v>877</v>
      </c>
      <c r="G180" s="317" t="s">
        <v>878</v>
      </c>
      <c r="H180" s="528" t="str">
        <f t="shared" si="16"/>
        <v>VE</v>
      </c>
      <c r="I180" s="445"/>
    </row>
    <row r="181" spans="4:10" x14ac:dyDescent="0.2">
      <c r="D181" s="280" t="s">
        <v>893</v>
      </c>
      <c r="E181" s="316" t="s">
        <v>940</v>
      </c>
      <c r="F181" s="316" t="s">
        <v>941</v>
      </c>
      <c r="G181" s="317" t="s">
        <v>919</v>
      </c>
      <c r="H181" s="528" t="str">
        <f t="shared" ref="H181:H206" si="17">IF($B$3=$A$3,D181,IF($B$3=$A$4,E181,IF($B$3=$A$5,F181,IF($B$3=$A$6,G181,""))))</f>
        <v>Sky-Frame Beratung vorhanden:</v>
      </c>
      <c r="I181" s="445"/>
    </row>
    <row r="182" spans="4:10" x14ac:dyDescent="0.2">
      <c r="D182" s="280" t="s">
        <v>894</v>
      </c>
      <c r="E182" s="316" t="s">
        <v>942</v>
      </c>
      <c r="F182" s="316" t="s">
        <v>943</v>
      </c>
      <c r="G182" s="317" t="s">
        <v>918</v>
      </c>
      <c r="H182" s="528" t="str">
        <f t="shared" si="17"/>
        <v>Beratungsnummer: (z.B. P123456)</v>
      </c>
      <c r="I182" s="445"/>
    </row>
    <row r="183" spans="4:10" x14ac:dyDescent="0.2">
      <c r="D183" s="280" t="s">
        <v>895</v>
      </c>
      <c r="E183" s="316" t="s">
        <v>896</v>
      </c>
      <c r="F183" s="316" t="s">
        <v>944</v>
      </c>
      <c r="G183" s="317" t="s">
        <v>917</v>
      </c>
      <c r="H183" s="528" t="str">
        <f t="shared" si="17"/>
        <v>Inch-Rechner</v>
      </c>
      <c r="I183" s="445"/>
    </row>
    <row r="184" spans="4:10" x14ac:dyDescent="0.2">
      <c r="D184" s="280" t="s">
        <v>897</v>
      </c>
      <c r="E184" s="316" t="s">
        <v>898</v>
      </c>
      <c r="F184" s="316" t="s">
        <v>945</v>
      </c>
      <c r="G184" s="317" t="s">
        <v>916</v>
      </c>
      <c r="H184" s="528" t="str">
        <f t="shared" si="17"/>
        <v>Fuss:</v>
      </c>
      <c r="I184" s="445"/>
    </row>
    <row r="185" spans="4:10" x14ac:dyDescent="0.2">
      <c r="D185" s="280" t="s">
        <v>899</v>
      </c>
      <c r="E185" s="316" t="s">
        <v>900</v>
      </c>
      <c r="F185" s="316" t="s">
        <v>946</v>
      </c>
      <c r="G185" s="317" t="s">
        <v>915</v>
      </c>
      <c r="H185" s="528" t="str">
        <f t="shared" si="17"/>
        <v>Zoll:</v>
      </c>
      <c r="I185" s="445"/>
    </row>
    <row r="186" spans="4:10" x14ac:dyDescent="0.2">
      <c r="D186" s="280" t="s">
        <v>901</v>
      </c>
      <c r="E186" s="316" t="s">
        <v>947</v>
      </c>
      <c r="F186" s="316" t="s">
        <v>948</v>
      </c>
      <c r="G186" s="317" t="s">
        <v>914</v>
      </c>
      <c r="H186" s="528" t="str">
        <f t="shared" si="17"/>
        <v>Bemassung Bahnhof</v>
      </c>
      <c r="I186" s="445"/>
    </row>
    <row r="187" spans="4:10" ht="102" x14ac:dyDescent="0.2">
      <c r="D187" s="434" t="s">
        <v>902</v>
      </c>
      <c r="E187" s="338" t="s">
        <v>949</v>
      </c>
      <c r="F187" s="338" t="s">
        <v>950</v>
      </c>
      <c r="G187" s="435" t="s">
        <v>903</v>
      </c>
      <c r="H187" s="528"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45"/>
    </row>
    <row r="188" spans="4:10" x14ac:dyDescent="0.2">
      <c r="D188" s="280" t="s">
        <v>904</v>
      </c>
      <c r="E188" s="316" t="s">
        <v>951</v>
      </c>
      <c r="F188" s="316" t="s">
        <v>952</v>
      </c>
      <c r="G188" s="317" t="s">
        <v>913</v>
      </c>
      <c r="H188" s="528" t="str">
        <f t="shared" si="17"/>
        <v>Bahnhof Typ 1:</v>
      </c>
      <c r="I188" s="445"/>
    </row>
    <row r="189" spans="4:10" x14ac:dyDescent="0.2">
      <c r="D189" s="280" t="s">
        <v>905</v>
      </c>
      <c r="E189" s="316" t="s">
        <v>953</v>
      </c>
      <c r="F189" s="316" t="s">
        <v>954</v>
      </c>
      <c r="G189" s="317" t="s">
        <v>912</v>
      </c>
      <c r="H189" s="528" t="str">
        <f t="shared" si="17"/>
        <v>Bahnhof Typ 2:</v>
      </c>
      <c r="I189" s="445"/>
    </row>
    <row r="190" spans="4:10" x14ac:dyDescent="0.2">
      <c r="D190" s="280" t="s">
        <v>906</v>
      </c>
      <c r="E190" s="316" t="s">
        <v>274</v>
      </c>
      <c r="F190" s="316" t="s">
        <v>292</v>
      </c>
      <c r="G190" s="317" t="s">
        <v>303</v>
      </c>
      <c r="H190" s="528" t="str">
        <f t="shared" si="17"/>
        <v>schwarz</v>
      </c>
      <c r="I190" s="445"/>
    </row>
    <row r="191" spans="4:10" x14ac:dyDescent="0.2">
      <c r="D191" s="280" t="s">
        <v>681</v>
      </c>
      <c r="E191" s="316" t="s">
        <v>907</v>
      </c>
      <c r="F191" s="316" t="s">
        <v>908</v>
      </c>
      <c r="G191" s="317" t="s">
        <v>909</v>
      </c>
      <c r="H191" s="528" t="str">
        <f t="shared" si="17"/>
        <v>Rahmenfarbe</v>
      </c>
      <c r="I191" s="445"/>
    </row>
    <row r="192" spans="4:10" x14ac:dyDescent="0.2">
      <c r="D192" s="280" t="s">
        <v>906</v>
      </c>
      <c r="E192" s="316" t="s">
        <v>274</v>
      </c>
      <c r="F192" s="316" t="s">
        <v>292</v>
      </c>
      <c r="G192" s="317" t="s">
        <v>303</v>
      </c>
      <c r="H192" s="528" t="str">
        <f t="shared" si="17"/>
        <v>schwarz</v>
      </c>
      <c r="I192" s="445"/>
    </row>
    <row r="193" spans="4:9" x14ac:dyDescent="0.2">
      <c r="D193" s="280" t="s">
        <v>920</v>
      </c>
      <c r="E193" s="316" t="s">
        <v>921</v>
      </c>
      <c r="F193" s="316" t="s">
        <v>955</v>
      </c>
      <c r="G193" s="317" t="s">
        <v>956</v>
      </c>
      <c r="H193" s="528" t="str">
        <f t="shared" si="17"/>
        <v>Sonstiges:</v>
      </c>
      <c r="I193" s="445"/>
    </row>
    <row r="194" spans="4:9" x14ac:dyDescent="0.2">
      <c r="D194" s="280" t="s">
        <v>922</v>
      </c>
      <c r="E194" s="316" t="s">
        <v>923</v>
      </c>
      <c r="F194" s="316" t="s">
        <v>957</v>
      </c>
      <c r="G194" s="317" t="s">
        <v>958</v>
      </c>
      <c r="H194" s="528" t="str">
        <f t="shared" si="17"/>
        <v>Sichtbare Rahmenprofile (aussen):</v>
      </c>
      <c r="I194" s="445"/>
    </row>
    <row r="195" spans="4:9" x14ac:dyDescent="0.2">
      <c r="D195" s="280" t="s">
        <v>924</v>
      </c>
      <c r="E195" s="316" t="s">
        <v>925</v>
      </c>
      <c r="F195" s="316" t="s">
        <v>959</v>
      </c>
      <c r="G195" s="317" t="s">
        <v>960</v>
      </c>
      <c r="H195" s="528" t="str">
        <f t="shared" si="17"/>
        <v>Lieferung Glas und Rahmen:</v>
      </c>
      <c r="I195" s="445"/>
    </row>
    <row r="196" spans="4:9" x14ac:dyDescent="0.2">
      <c r="D196" s="280" t="s">
        <v>926</v>
      </c>
      <c r="E196" s="316" t="s">
        <v>927</v>
      </c>
      <c r="F196" s="316" t="s">
        <v>961</v>
      </c>
      <c r="G196" s="317" t="s">
        <v>962</v>
      </c>
      <c r="H196" s="528" t="str">
        <f t="shared" si="17"/>
        <v>zusammen</v>
      </c>
      <c r="I196" s="445"/>
    </row>
    <row r="197" spans="4:9" x14ac:dyDescent="0.2">
      <c r="D197" s="280" t="s">
        <v>928</v>
      </c>
      <c r="E197" s="316" t="s">
        <v>929</v>
      </c>
      <c r="F197" s="316" t="s">
        <v>963</v>
      </c>
      <c r="G197" s="317" t="s">
        <v>964</v>
      </c>
      <c r="H197" s="528" t="str">
        <f t="shared" si="17"/>
        <v>getrennt</v>
      </c>
      <c r="I197" s="445"/>
    </row>
    <row r="198" spans="4:9" x14ac:dyDescent="0.2">
      <c r="D198" s="280" t="s">
        <v>930</v>
      </c>
      <c r="E198" s="316" t="s">
        <v>931</v>
      </c>
      <c r="F198" s="316" t="s">
        <v>931</v>
      </c>
      <c r="G198" s="317" t="s">
        <v>965</v>
      </c>
      <c r="H198" s="528" t="str">
        <f t="shared" si="17"/>
        <v>sichtbar</v>
      </c>
      <c r="I198" s="445"/>
    </row>
    <row r="199" spans="4:9" x14ac:dyDescent="0.2">
      <c r="D199" s="280" t="s">
        <v>932</v>
      </c>
      <c r="E199" s="316" t="s">
        <v>933</v>
      </c>
      <c r="F199" s="316" t="s">
        <v>966</v>
      </c>
      <c r="G199" s="317" t="s">
        <v>967</v>
      </c>
      <c r="H199" s="528" t="str">
        <f t="shared" si="17"/>
        <v>nicht sichtbar</v>
      </c>
      <c r="I199" s="445"/>
    </row>
    <row r="200" spans="4:9" x14ac:dyDescent="0.2">
      <c r="D200" s="280"/>
      <c r="E200" s="316"/>
      <c r="F200" s="316"/>
      <c r="G200" s="317"/>
      <c r="H200" s="528">
        <f t="shared" si="17"/>
        <v>0</v>
      </c>
      <c r="I200" s="445"/>
    </row>
    <row r="201" spans="4:9" x14ac:dyDescent="0.2">
      <c r="D201" s="280"/>
      <c r="E201" s="316"/>
      <c r="F201" s="316"/>
      <c r="G201" s="317"/>
      <c r="H201" s="528">
        <f t="shared" si="17"/>
        <v>0</v>
      </c>
      <c r="I201" s="445"/>
    </row>
    <row r="202" spans="4:9" x14ac:dyDescent="0.2">
      <c r="D202" s="280"/>
      <c r="E202" s="316"/>
      <c r="F202" s="316"/>
      <c r="G202" s="317"/>
      <c r="H202" s="528">
        <f t="shared" si="17"/>
        <v>0</v>
      </c>
      <c r="I202" s="445"/>
    </row>
    <row r="203" spans="4:9" x14ac:dyDescent="0.2">
      <c r="D203" s="280"/>
      <c r="E203" s="316"/>
      <c r="F203" s="316"/>
      <c r="G203" s="317"/>
      <c r="H203" s="528">
        <f t="shared" si="17"/>
        <v>0</v>
      </c>
      <c r="I203" s="445"/>
    </row>
    <row r="204" spans="4:9" x14ac:dyDescent="0.2">
      <c r="D204" s="280"/>
      <c r="E204" s="316"/>
      <c r="F204" s="316"/>
      <c r="G204" s="317"/>
      <c r="H204" s="528">
        <f t="shared" si="17"/>
        <v>0</v>
      </c>
      <c r="I204" s="445"/>
    </row>
    <row r="205" spans="4:9" x14ac:dyDescent="0.2">
      <c r="D205" s="280"/>
      <c r="E205" s="316"/>
      <c r="F205" s="316"/>
      <c r="G205" s="317"/>
      <c r="H205" s="528">
        <f t="shared" si="17"/>
        <v>0</v>
      </c>
      <c r="I205" s="445"/>
    </row>
    <row r="206" spans="4:9" x14ac:dyDescent="0.2">
      <c r="D206" s="280"/>
      <c r="E206" s="316"/>
      <c r="F206" s="316"/>
      <c r="G206" s="317"/>
      <c r="H206" s="528">
        <f t="shared" si="17"/>
        <v>0</v>
      </c>
      <c r="I206" s="445"/>
    </row>
  </sheetData>
  <mergeCells count="5">
    <mergeCell ref="AB4:AB18"/>
    <mergeCell ref="N40:P40"/>
    <mergeCell ref="M60:M61"/>
    <mergeCell ref="L85:M85"/>
    <mergeCell ref="B87:C87"/>
  </mergeCells>
  <dataValidations count="1">
    <dataValidation type="list" allowBlank="1" showInputMessage="1" showErrorMessage="1" sqref="P38" xr:uid="{86298FFE-CD19-4439-8445-D3F68131AD87}">
      <formula1>$O$45:$O$46</formula1>
    </dataValidation>
  </dataValidation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483A-D44F-4766-A026-9E680E2AF08F}">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5" width="11.42578125" style="141"/>
    <col min="56" max="56" width="5.5703125" style="141" customWidth="1"/>
    <col min="57" max="57" width="5" style="141" customWidth="1"/>
    <col min="58" max="58" width="1.85546875" style="141" customWidth="1"/>
    <col min="59" max="59" width="5.7109375" style="141" customWidth="1"/>
    <col min="60" max="60" width="6.28515625" style="141" customWidth="1"/>
    <col min="61" max="61" width="5.85546875" style="141" customWidth="1"/>
    <col min="62" max="64" width="0" style="141" hidden="1" customWidth="1"/>
    <col min="65" max="16384" width="11.42578125" style="141"/>
  </cols>
  <sheetData>
    <row r="1" spans="1:64" ht="13.5" thickBot="1" x14ac:dyDescent="0.25">
      <c r="A1" s="159" t="s">
        <v>519</v>
      </c>
      <c r="C1" s="60"/>
      <c r="AW1" s="160"/>
    </row>
    <row r="2" spans="1:64" ht="13.5" thickTop="1" x14ac:dyDescent="0.2">
      <c r="B2" s="203">
        <v>5</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113"/>
      <c r="AW2" s="414"/>
      <c r="AX2" s="240"/>
      <c r="AY2" s="240"/>
      <c r="AZ2" s="240"/>
      <c r="BA2" s="240"/>
      <c r="BB2" s="363" t="str">
        <f>CONCATENATE(ROUND(SUM(I46:K49)*Z42/1000000,2)*AJ6,"m²")</f>
        <v>0m²</v>
      </c>
      <c r="BD2" s="239"/>
      <c r="BE2" s="240"/>
      <c r="BF2" s="240"/>
      <c r="BG2" s="240"/>
      <c r="BH2" s="240"/>
      <c r="BI2" s="241"/>
    </row>
    <row r="3" spans="1:64" ht="36.75" customHeight="1" x14ac:dyDescent="0.3">
      <c r="B3" s="202"/>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142"/>
      <c r="AR3" s="83"/>
      <c r="AS3" s="83"/>
      <c r="AT3" s="143" t="s">
        <v>772</v>
      </c>
      <c r="AU3" s="115"/>
      <c r="AW3" s="242"/>
      <c r="AX3" s="243" t="str">
        <f>'Sprachen &amp; Rückgabewerte(5)'!$H$2</f>
        <v>Sprache:</v>
      </c>
      <c r="AY3" s="60"/>
      <c r="AZ3" s="60"/>
      <c r="BA3" s="60"/>
      <c r="BB3" s="379" t="str">
        <f>IF(AJ6&gt;1,CONCATENATE(AH6," ",AJ6),"")</f>
        <v/>
      </c>
      <c r="BD3" s="242"/>
      <c r="BE3" s="411" t="str">
        <f>'Sprachen &amp; Rückgabewerte(5)'!H183</f>
        <v>Inch-Rechner</v>
      </c>
      <c r="BF3" s="411"/>
      <c r="BG3" s="60"/>
      <c r="BH3" s="60"/>
      <c r="BI3" s="244"/>
    </row>
    <row r="4" spans="1:64" ht="19.5" customHeight="1" x14ac:dyDescent="0.2">
      <c r="B4" s="11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113"/>
      <c r="AW4" s="242"/>
      <c r="AX4" s="60"/>
      <c r="AY4" s="60"/>
      <c r="AZ4" s="60"/>
      <c r="BA4" s="60"/>
      <c r="BB4" s="244"/>
      <c r="BD4" s="242"/>
      <c r="BE4" s="415" t="str">
        <f>'Sprachen &amp; Rückgabewerte(5)'!H184</f>
        <v>Fuss:</v>
      </c>
      <c r="BF4" s="156"/>
      <c r="BG4" s="415" t="str">
        <f>'Sprachen &amp; Rückgabewerte(5)'!H185</f>
        <v>Zoll:</v>
      </c>
      <c r="BH4" s="60"/>
      <c r="BI4" s="244"/>
    </row>
    <row r="5" spans="1:64" x14ac:dyDescent="0.2">
      <c r="B5" s="59"/>
      <c r="C5" s="126"/>
      <c r="D5" s="127"/>
      <c r="E5" s="128" t="str">
        <f>'Sprachen &amp; Rückgabewerte(5)'!H4</f>
        <v>BESTELLUNG</v>
      </c>
      <c r="F5" s="127"/>
      <c r="G5" s="127"/>
      <c r="H5" s="127"/>
      <c r="I5" s="127"/>
      <c r="J5" s="127"/>
      <c r="K5" s="127"/>
      <c r="L5" s="127"/>
      <c r="M5" s="127"/>
      <c r="N5" s="127"/>
      <c r="O5" s="127"/>
      <c r="P5" s="127"/>
      <c r="Q5" s="127"/>
      <c r="R5" s="129"/>
      <c r="S5" s="696" t="str">
        <f>'Sprachen &amp; Rückgabewerte(5)'!$H$130</f>
        <v>Vertriebspartner:</v>
      </c>
      <c r="T5" s="697"/>
      <c r="U5" s="697"/>
      <c r="V5" s="697"/>
      <c r="W5" s="697"/>
      <c r="X5" s="698"/>
      <c r="Y5" s="661"/>
      <c r="Z5" s="662"/>
      <c r="AA5" s="662"/>
      <c r="AB5" s="662"/>
      <c r="AC5" s="662"/>
      <c r="AD5" s="662"/>
      <c r="AE5" s="662"/>
      <c r="AF5" s="663"/>
      <c r="AG5" s="144"/>
      <c r="AH5" s="130" t="str">
        <f>'Sprachen &amp; Rückgabewerte(5)'!H55</f>
        <v>Pos:</v>
      </c>
      <c r="AI5" s="145"/>
      <c r="AJ5" s="705"/>
      <c r="AK5" s="706"/>
      <c r="AL5" s="707"/>
      <c r="AM5" s="144"/>
      <c r="AN5" s="130" t="str">
        <f>'Sprachen &amp; Rückgabewerte(5)'!$H$10</f>
        <v>2-gleisig</v>
      </c>
      <c r="AO5" s="145"/>
      <c r="AP5" s="145"/>
      <c r="AQ5" s="145"/>
      <c r="AR5" s="145"/>
      <c r="AS5" s="145"/>
      <c r="AT5" s="331"/>
      <c r="AU5" s="114"/>
      <c r="AW5" s="242"/>
      <c r="AX5" s="60"/>
      <c r="AY5" s="60"/>
      <c r="AZ5" s="60"/>
      <c r="BA5" s="60"/>
      <c r="BB5" s="244"/>
      <c r="BD5" s="242"/>
      <c r="BE5" s="548"/>
      <c r="BF5" s="550" t="str">
        <f>"'"</f>
        <v>'</v>
      </c>
      <c r="BG5" s="551"/>
      <c r="BH5" s="412"/>
      <c r="BI5" s="244"/>
      <c r="BJ5" s="141">
        <f>BE5*304.8</f>
        <v>0</v>
      </c>
      <c r="BK5" s="141">
        <f>BG5*25.4</f>
        <v>0</v>
      </c>
      <c r="BL5" s="141">
        <f>IF(AND(BH5="",BH6=""),0,25.4*BH5/BH6)</f>
        <v>0</v>
      </c>
    </row>
    <row r="6" spans="1:64" x14ac:dyDescent="0.2">
      <c r="B6" s="59"/>
      <c r="C6" s="131"/>
      <c r="D6" s="132"/>
      <c r="E6" s="66"/>
      <c r="F6" s="132" t="str">
        <f>'Sprachen &amp; Rückgabewerte(5)'!$H$5</f>
        <v>Gemäss Zeichnung Nr.:</v>
      </c>
      <c r="G6" s="132"/>
      <c r="H6" s="132"/>
      <c r="I6" s="132"/>
      <c r="J6" s="132"/>
      <c r="K6" s="132"/>
      <c r="L6" s="146"/>
      <c r="M6" s="699"/>
      <c r="N6" s="700"/>
      <c r="O6" s="700"/>
      <c r="P6" s="700"/>
      <c r="Q6" s="701"/>
      <c r="R6" s="133"/>
      <c r="S6" s="134" t="str">
        <f>'Sprachen &amp; Rückgabewerte(5)'!$H$7</f>
        <v xml:space="preserve">Objekt: </v>
      </c>
      <c r="T6" s="132"/>
      <c r="U6" s="132"/>
      <c r="V6" s="132"/>
      <c r="W6" s="132"/>
      <c r="X6" s="90"/>
      <c r="Y6" s="711"/>
      <c r="Z6" s="712"/>
      <c r="AA6" s="712"/>
      <c r="AB6" s="712"/>
      <c r="AC6" s="712"/>
      <c r="AD6" s="712"/>
      <c r="AE6" s="712"/>
      <c r="AF6" s="713"/>
      <c r="AG6" s="133"/>
      <c r="AH6" s="134" t="str">
        <f>'Sprachen &amp; Rückgabewerte(5)'!H56</f>
        <v>Stück:</v>
      </c>
      <c r="AI6" s="132"/>
      <c r="AJ6" s="702"/>
      <c r="AK6" s="703"/>
      <c r="AL6" s="704"/>
      <c r="AM6" s="116"/>
      <c r="AN6" s="134" t="str">
        <f>'Sprachen &amp; Rückgabewerte(5)'!$H$11</f>
        <v>3-gleisig</v>
      </c>
      <c r="AO6" s="132"/>
      <c r="AP6" s="132"/>
      <c r="AQ6" s="132"/>
      <c r="AR6" s="132"/>
      <c r="AS6" s="132"/>
      <c r="AT6" s="133"/>
      <c r="AU6" s="114"/>
      <c r="AW6" s="242"/>
      <c r="AX6" s="60"/>
      <c r="AY6" s="60"/>
      <c r="AZ6" s="60"/>
      <c r="BA6" s="60"/>
      <c r="BB6" s="244"/>
      <c r="BD6" s="242"/>
      <c r="BE6" s="549"/>
      <c r="BF6" s="550"/>
      <c r="BG6" s="552"/>
      <c r="BH6" s="413"/>
      <c r="BI6" s="244"/>
    </row>
    <row r="7" spans="1:64" ht="12" customHeight="1" x14ac:dyDescent="0.2">
      <c r="B7" s="59"/>
      <c r="C7" s="131"/>
      <c r="D7" s="132"/>
      <c r="E7" s="66"/>
      <c r="F7" s="132" t="str">
        <f>'Sprachen &amp; Rückgabewerte(5)'!$H$6</f>
        <v>Gemäss Skizze: (Ansicht von Aussen)</v>
      </c>
      <c r="G7" s="132"/>
      <c r="H7" s="132"/>
      <c r="I7" s="132"/>
      <c r="J7" s="132"/>
      <c r="K7" s="132"/>
      <c r="L7" s="132"/>
      <c r="M7" s="132"/>
      <c r="N7" s="132"/>
      <c r="O7" s="132"/>
      <c r="P7" s="132"/>
      <c r="Q7" s="132"/>
      <c r="R7" s="133"/>
      <c r="S7" s="134" t="str">
        <f>'Sprachen &amp; Rückgabewerte(5)'!$H$8</f>
        <v>Bestelldatum:</v>
      </c>
      <c r="T7" s="132"/>
      <c r="U7" s="132"/>
      <c r="V7" s="132"/>
      <c r="W7" s="132"/>
      <c r="X7" s="90"/>
      <c r="Y7" s="708"/>
      <c r="Z7" s="709"/>
      <c r="AA7" s="709"/>
      <c r="AB7" s="709"/>
      <c r="AC7" s="709"/>
      <c r="AD7" s="709"/>
      <c r="AE7" s="709"/>
      <c r="AF7" s="710"/>
      <c r="AG7" s="147"/>
      <c r="AH7" s="134" t="str">
        <f>'Sprachen &amp; Rückgabewerte(5)'!H57</f>
        <v>Seite:</v>
      </c>
      <c r="AI7" s="148"/>
      <c r="AJ7" s="705"/>
      <c r="AK7" s="706"/>
      <c r="AL7" s="707"/>
      <c r="AM7" s="116"/>
      <c r="AN7" s="327" t="str">
        <f>IF('Sprachen &amp; Rückgabewerte(5)'!I11=TRUE,'Sprachen &amp; Rückgabewerte(5)'!H160,"")</f>
        <v/>
      </c>
      <c r="AO7" s="90"/>
      <c r="AP7" s="146"/>
      <c r="AQ7" s="146"/>
      <c r="AR7" s="146"/>
      <c r="AS7" s="146"/>
      <c r="AT7" s="133"/>
      <c r="AU7" s="114"/>
      <c r="AW7" s="242"/>
      <c r="AX7" s="155" t="str">
        <f>'Sprachen &amp; Rückgabewerte(5)'!H193</f>
        <v>Sonstiges:</v>
      </c>
      <c r="AY7" s="60"/>
      <c r="AZ7" s="60"/>
      <c r="BA7" s="60"/>
      <c r="BB7" s="244"/>
      <c r="BD7" s="242"/>
      <c r="BE7" s="60"/>
      <c r="BF7" s="60"/>
      <c r="BG7" s="60"/>
      <c r="BH7" s="60"/>
      <c r="BI7" s="244"/>
    </row>
    <row r="8" spans="1:64" ht="7.5" customHeight="1" thickBot="1" x14ac:dyDescent="0.25">
      <c r="B8" s="59"/>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2"/>
      <c r="AX8" s="60"/>
      <c r="AY8" s="60"/>
      <c r="AZ8" s="60"/>
      <c r="BA8" s="60"/>
      <c r="BB8" s="244"/>
      <c r="BD8" s="242"/>
      <c r="BE8" s="60"/>
      <c r="BF8" s="60"/>
      <c r="BG8" s="60"/>
      <c r="BH8" s="60"/>
      <c r="BI8" s="244"/>
    </row>
    <row r="9" spans="1:64" ht="15" customHeight="1" thickTop="1" x14ac:dyDescent="0.2">
      <c r="A9" s="654" t="str">
        <f>IF('Sprachen &amp; Rückgabewerte(5)'!L62=1,'Sprachen &amp; Rückgabewerte(5)'!$H$132,"")</f>
        <v/>
      </c>
      <c r="B9" s="227"/>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2"/>
      <c r="AN9" s="60"/>
      <c r="AO9" s="60"/>
      <c r="AP9" s="60"/>
      <c r="AQ9" s="60"/>
      <c r="AR9" s="60"/>
      <c r="AS9" s="60"/>
      <c r="AT9" s="114"/>
      <c r="AU9" s="114"/>
      <c r="AW9" s="242"/>
      <c r="AX9" s="431" t="str">
        <f>'Sprachen &amp; Rückgabewerte(5)'!H194</f>
        <v>Sichtbare Rahmenprofile (aussen):</v>
      </c>
      <c r="AY9" s="60"/>
      <c r="AZ9" s="544"/>
      <c r="BA9" s="545"/>
      <c r="BB9" s="244"/>
      <c r="BD9" s="242"/>
      <c r="BE9" s="553">
        <f>ROUND(SUM(BJ5,BK5,BL5),1)</f>
        <v>0</v>
      </c>
      <c r="BF9" s="554"/>
      <c r="BG9" s="555"/>
      <c r="BH9" s="156" t="s">
        <v>179</v>
      </c>
      <c r="BI9" s="244"/>
    </row>
    <row r="10" spans="1:64" ht="15" customHeight="1" thickBot="1" x14ac:dyDescent="0.25">
      <c r="A10" s="655"/>
      <c r="B10" s="227"/>
      <c r="C10" s="59"/>
      <c r="D10" s="60"/>
      <c r="E10" s="60"/>
      <c r="F10" s="650"/>
      <c r="G10" s="651"/>
      <c r="H10" s="60"/>
      <c r="I10" s="60"/>
      <c r="J10" s="650"/>
      <c r="K10" s="651"/>
      <c r="L10" s="60"/>
      <c r="M10" s="60"/>
      <c r="N10" s="650"/>
      <c r="O10" s="651"/>
      <c r="P10" s="60"/>
      <c r="Q10" s="60"/>
      <c r="R10" s="650"/>
      <c r="S10" s="651"/>
      <c r="T10" s="60"/>
      <c r="U10" s="60"/>
      <c r="V10" s="650"/>
      <c r="W10" s="651"/>
      <c r="X10" s="60"/>
      <c r="Y10" s="60"/>
      <c r="Z10" s="650"/>
      <c r="AA10" s="651"/>
      <c r="AB10" s="60"/>
      <c r="AC10" s="60"/>
      <c r="AD10" s="650"/>
      <c r="AE10" s="651"/>
      <c r="AF10" s="60"/>
      <c r="AG10" s="60"/>
      <c r="AH10" s="650"/>
      <c r="AI10" s="651"/>
      <c r="AJ10" s="60"/>
      <c r="AK10" s="60"/>
      <c r="AL10" s="650"/>
      <c r="AM10" s="651"/>
      <c r="AN10" s="60"/>
      <c r="AO10" s="60"/>
      <c r="AP10" s="650"/>
      <c r="AQ10" s="651"/>
      <c r="AR10" s="60"/>
      <c r="AS10" s="60"/>
      <c r="AT10" s="114"/>
      <c r="AU10" s="114"/>
      <c r="AW10" s="242"/>
      <c r="AX10" s="431" t="str">
        <f>'Sprachen &amp; Rückgabewerte(5)'!H195</f>
        <v>Lieferung Glas und Rahmen:</v>
      </c>
      <c r="AY10" s="60"/>
      <c r="AZ10" s="544"/>
      <c r="BA10" s="545"/>
      <c r="BB10" s="244"/>
      <c r="BD10" s="258"/>
      <c r="BE10" s="248"/>
      <c r="BF10" s="248"/>
      <c r="BG10" s="248"/>
      <c r="BH10" s="248"/>
      <c r="BI10" s="250"/>
    </row>
    <row r="11" spans="1:64" ht="15" customHeight="1" thickTop="1" thickBot="1" x14ac:dyDescent="0.25">
      <c r="A11" s="656"/>
      <c r="B11" s="227"/>
      <c r="C11" s="238">
        <f>COUNTBLANK(E11:AO11)</f>
        <v>37</v>
      </c>
      <c r="D11" s="60"/>
      <c r="E11" s="66"/>
      <c r="F11" s="66"/>
      <c r="G11" s="66"/>
      <c r="H11" s="162"/>
      <c r="I11" s="162"/>
      <c r="J11" s="66"/>
      <c r="K11" s="66"/>
      <c r="L11" s="162"/>
      <c r="M11" s="162"/>
      <c r="N11" s="66"/>
      <c r="O11" s="66"/>
      <c r="P11" s="162"/>
      <c r="Q11" s="162"/>
      <c r="R11" s="66"/>
      <c r="S11" s="66"/>
      <c r="T11" s="162"/>
      <c r="U11" s="162"/>
      <c r="V11" s="66"/>
      <c r="W11" s="66"/>
      <c r="X11" s="162"/>
      <c r="Y11" s="162"/>
      <c r="Z11" s="66"/>
      <c r="AA11" s="66"/>
      <c r="AB11" s="162"/>
      <c r="AC11" s="162"/>
      <c r="AD11" s="66"/>
      <c r="AE11" s="66"/>
      <c r="AF11" s="162"/>
      <c r="AG11" s="162"/>
      <c r="AH11" s="66"/>
      <c r="AI11" s="66"/>
      <c r="AJ11" s="162"/>
      <c r="AK11" s="162"/>
      <c r="AL11" s="66"/>
      <c r="AM11" s="66"/>
      <c r="AN11" s="162"/>
      <c r="AO11" s="162"/>
      <c r="AP11" s="66"/>
      <c r="AQ11" s="66"/>
      <c r="AR11" s="66"/>
      <c r="AS11" s="60"/>
      <c r="AT11" s="114"/>
      <c r="AU11" s="114"/>
      <c r="AW11" s="242"/>
      <c r="AX11" s="60"/>
      <c r="AY11" s="60"/>
      <c r="AZ11" s="60"/>
      <c r="BA11" s="60"/>
      <c r="BB11" s="244"/>
    </row>
    <row r="12" spans="1:64" ht="13.5" customHeight="1" thickTop="1" x14ac:dyDescent="0.2">
      <c r="B12" s="59"/>
      <c r="C12" s="59"/>
      <c r="D12" s="60"/>
      <c r="E12" s="94"/>
      <c r="F12" s="81"/>
      <c r="G12" s="81"/>
      <c r="H12" s="82" t="str">
        <f>IF(F10&lt;&gt;"",IF(AND(F10&gt;0,F10&lt;&gt;"F"),CONCATENATE('Sprachen &amp; Rückgabewerte(5)'!$C$28," ",'Sprachen &amp; Rückgabewerte(5)'!$C$29," ",'Sprachen &amp; Rückgabewerte(5)'!$C$30),'Sprachen &amp; Rückgabewerte(5)'!$C$30),"")</f>
        <v/>
      </c>
      <c r="I12" s="94"/>
      <c r="J12" s="81"/>
      <c r="K12" s="81"/>
      <c r="L12" s="82" t="str">
        <f>IF(J10&lt;&gt;"",IF(AND(J10&gt;0,J10&lt;&gt;"F"),CONCATENATE('Sprachen &amp; Rückgabewerte(5)'!$C$28," ",'Sprachen &amp; Rückgabewerte(5)'!$C$29," ",'Sprachen &amp; Rückgabewerte(5)'!$C$30),'Sprachen &amp; Rückgabewerte(5)'!$C$30),"")</f>
        <v/>
      </c>
      <c r="M12" s="94"/>
      <c r="N12" s="81"/>
      <c r="O12" s="81"/>
      <c r="P12" s="82" t="str">
        <f>IF(N10&lt;&gt;"",IF(AND(N10&gt;0,N10&lt;&gt;"F"),CONCATENATE('Sprachen &amp; Rückgabewerte(5)'!$C$28," ",'Sprachen &amp; Rückgabewerte(5)'!$C$29," ",'Sprachen &amp; Rückgabewerte(5)'!$C$30),'Sprachen &amp; Rückgabewerte(5)'!$C$30),"")</f>
        <v/>
      </c>
      <c r="Q12" s="94"/>
      <c r="R12" s="81"/>
      <c r="S12" s="81"/>
      <c r="T12" s="82" t="str">
        <f>IF(R10&lt;&gt;"",IF(AND(R10&gt;0,R10&lt;&gt;"F"),CONCATENATE('Sprachen &amp; Rückgabewerte(5)'!$C$28," ",'Sprachen &amp; Rückgabewerte(5)'!$C$29," ",'Sprachen &amp; Rückgabewerte(5)'!$C$30),'Sprachen &amp; Rückgabewerte(5)'!$C$30),"")</f>
        <v/>
      </c>
      <c r="U12" s="94"/>
      <c r="V12" s="81"/>
      <c r="W12" s="81"/>
      <c r="X12" s="82" t="str">
        <f>IF(V10&lt;&gt;"",IF(AND(V10&gt;0,V10&lt;&gt;"F"),CONCATENATE('Sprachen &amp; Rückgabewerte(5)'!$C$28," ",'Sprachen &amp; Rückgabewerte(5)'!$C$29," ",'Sprachen &amp; Rückgabewerte(5)'!$C$30),'Sprachen &amp; Rückgabewerte(5)'!$C$30),"")</f>
        <v/>
      </c>
      <c r="Y12" s="94"/>
      <c r="Z12" s="81"/>
      <c r="AA12" s="81"/>
      <c r="AB12" s="82" t="str">
        <f>IF(Z10&lt;&gt;"",IF(AND(Z10&gt;0,Z10&lt;&gt;"F"),CONCATENATE('Sprachen &amp; Rückgabewerte(5)'!$C$28," ",'Sprachen &amp; Rückgabewerte(5)'!$C$29," ",'Sprachen &amp; Rückgabewerte(5)'!$C$30),'Sprachen &amp; Rückgabewerte(5)'!$C$30),"")</f>
        <v/>
      </c>
      <c r="AC12" s="94"/>
      <c r="AD12" s="81"/>
      <c r="AE12" s="81"/>
      <c r="AF12" s="82" t="str">
        <f>IF(AD10&lt;&gt;"",IF(AND(AD10&gt;0,AD10&lt;&gt;"F"),CONCATENATE('Sprachen &amp; Rückgabewerte(5)'!$C$28," ",'Sprachen &amp; Rückgabewerte(5)'!$C$29," ",'Sprachen &amp; Rückgabewerte(5)'!$C$30),'Sprachen &amp; Rückgabewerte(5)'!$C$30),"")</f>
        <v/>
      </c>
      <c r="AG12" s="94"/>
      <c r="AH12" s="81"/>
      <c r="AI12" s="81"/>
      <c r="AJ12" s="82" t="str">
        <f>IF(AH10&lt;&gt;"",IF(AND(AH10&gt;0,AH10&lt;&gt;"F"),CONCATENATE('Sprachen &amp; Rückgabewerte(5)'!$C$28," ",'Sprachen &amp; Rückgabewerte(5)'!$C$29," ",'Sprachen &amp; Rückgabewerte(5)'!$C$30),'Sprachen &amp; Rückgabewerte(5)'!$C$30),"")</f>
        <v/>
      </c>
      <c r="AK12" s="94"/>
      <c r="AL12" s="81"/>
      <c r="AM12" s="81"/>
      <c r="AN12" s="82" t="str">
        <f>IF(AL10&lt;&gt;"",IF(AND(AL10&gt;0,AL10&lt;&gt;"F"),CONCATENATE('Sprachen &amp; Rückgabewerte(5)'!$C$28," ",'Sprachen &amp; Rückgabewerte(5)'!$C$29," ",'Sprachen &amp; Rückgabewerte(5)'!$C$30),'Sprachen &amp; Rückgabewerte(5)'!$C$30),"")</f>
        <v/>
      </c>
      <c r="AO12" s="94"/>
      <c r="AP12" s="81"/>
      <c r="AQ12" s="81"/>
      <c r="AR12" s="82" t="str">
        <f>IF(AP10&lt;&gt;"",IF(AND(AP10&gt;0,AP10&lt;&gt;"F"),CONCATENATE('Sprachen &amp; Rückgabewerte(5)'!$C$28," ",'Sprachen &amp; Rückgabewerte(5)'!$C$29," ",'Sprachen &amp; Rückgabewerte(5)'!$C$30),'Sprachen &amp; Rückgabewerte(5)'!$C$30),"")</f>
        <v/>
      </c>
      <c r="AS12" s="149"/>
      <c r="AT12" s="114"/>
      <c r="AU12" s="114"/>
      <c r="AW12" s="242"/>
      <c r="AX12" s="245"/>
      <c r="AY12" s="60"/>
      <c r="AZ12" s="60"/>
      <c r="BA12" s="60"/>
      <c r="BB12" s="244"/>
    </row>
    <row r="13" spans="1:64" ht="13.5" customHeight="1" x14ac:dyDescent="0.2">
      <c r="B13" s="59"/>
      <c r="C13" s="59"/>
      <c r="D13" s="60"/>
      <c r="E13" s="657" t="str">
        <f>IF(AND('Sprachen &amp; Rückgabewerte(5)'!$I$30=TRUE,$F$10="R"),'Sprachen &amp; Rückgabewerte(5)'!H60,"")</f>
        <v/>
      </c>
      <c r="F13" s="60"/>
      <c r="G13" s="60"/>
      <c r="H13" s="659" t="str">
        <f>IF(AND('Sprachen &amp; Rückgabewerte(5)'!$I$31=TRUE,$F$10="L",$J$10=""),'Sprachen &amp; Rückgabewerte(5)'!$H$60,"")</f>
        <v/>
      </c>
      <c r="I13" s="59"/>
      <c r="J13" s="60"/>
      <c r="K13" s="60"/>
      <c r="L13" s="659" t="str">
        <f>IF(AND('Sprachen &amp; Rückgabewerte(5)'!$I$31=TRUE,$J$10="L",$N$10=""),'Sprachen &amp; Rückgabewerte(5)'!$H$60,"")</f>
        <v/>
      </c>
      <c r="M13" s="59"/>
      <c r="N13" s="60"/>
      <c r="O13" s="60"/>
      <c r="P13" s="659" t="str">
        <f>IF(AND('Sprachen &amp; Rückgabewerte(5)'!$I$31=TRUE,$N$10="L",$R$10=""),'Sprachen &amp; Rückgabewerte(5)'!$H$60,"")</f>
        <v/>
      </c>
      <c r="Q13" s="59"/>
      <c r="R13" s="60"/>
      <c r="S13" s="60"/>
      <c r="T13" s="659" t="str">
        <f>IF(AND('Sprachen &amp; Rückgabewerte(5)'!$I$31=TRUE,$R$10="L",$V$10=""),'Sprachen &amp; Rückgabewerte(5)'!$H$60,"")</f>
        <v/>
      </c>
      <c r="U13" s="59"/>
      <c r="V13" s="60"/>
      <c r="W13" s="60"/>
      <c r="X13" s="659" t="str">
        <f>IF(AND('Sprachen &amp; Rückgabewerte(5)'!$I$31=TRUE,$V$10="L",$Z$10=""),'Sprachen &amp; Rückgabewerte(5)'!$H$60,"")</f>
        <v/>
      </c>
      <c r="Y13" s="59"/>
      <c r="Z13" s="60"/>
      <c r="AA13" s="60"/>
      <c r="AB13" s="659" t="str">
        <f>IF(AND('Sprachen &amp; Rückgabewerte(5)'!$I$31=TRUE,$Z$10="L",$AD$10=""),'Sprachen &amp; Rückgabewerte(5)'!$H$60,"")</f>
        <v/>
      </c>
      <c r="AC13" s="59"/>
      <c r="AD13" s="60"/>
      <c r="AE13" s="60"/>
      <c r="AF13" s="659" t="str">
        <f>IF(AND('Sprachen &amp; Rückgabewerte(5)'!$I$31=TRUE,$AD$10="L",$AH$10=""),'Sprachen &amp; Rückgabewerte(5)'!$H$60,"")</f>
        <v/>
      </c>
      <c r="AG13" s="59"/>
      <c r="AH13" s="60"/>
      <c r="AI13" s="60"/>
      <c r="AJ13" s="659" t="str">
        <f>IF(AND('Sprachen &amp; Rückgabewerte(5)'!$I$31=TRUE,$AH$10="L",$AL$10=""),'Sprachen &amp; Rückgabewerte(5)'!$H$60,"")</f>
        <v/>
      </c>
      <c r="AK13" s="59"/>
      <c r="AL13" s="60"/>
      <c r="AM13" s="60"/>
      <c r="AN13" s="659" t="str">
        <f>IF(AND('Sprachen &amp; Rückgabewerte(5)'!$I$31=TRUE,$AL$10="L",$AP$10=""),'Sprachen &amp; Rückgabewerte(5)'!$H$60,"")</f>
        <v/>
      </c>
      <c r="AO13" s="59"/>
      <c r="AP13" s="60"/>
      <c r="AQ13" s="60"/>
      <c r="AR13" s="659" t="str">
        <f>IF(AND('Sprachen &amp; Rückgabewerte(5)'!$I$31=TRUE,$AP$10="L"),'Sprachen &amp; Rückgabewerte(5)'!$H$60,"")</f>
        <v/>
      </c>
      <c r="AS13" s="150"/>
      <c r="AT13" s="114"/>
      <c r="AU13" s="114"/>
      <c r="AW13" s="242"/>
      <c r="AX13" s="60"/>
      <c r="AY13" s="60"/>
      <c r="AZ13" s="60"/>
      <c r="BA13" s="60"/>
      <c r="BB13" s="244"/>
    </row>
    <row r="14" spans="1:64" ht="13.5" customHeight="1" x14ac:dyDescent="0.2">
      <c r="B14" s="59"/>
      <c r="C14" s="59"/>
      <c r="D14" s="60"/>
      <c r="E14" s="657"/>
      <c r="F14" s="653" t="str">
        <f>IF(F10='Sprachen &amp; Rückgabewerte(5)'!$B$9,'Sprachen &amp; Rückgabewerte(5)'!$C$9,IF(F10='Sprachen &amp; Rückgabewerte(5)'!$B$10,'Sprachen &amp; Rückgabewerte(5)'!$C$10,IF(F10='Sprachen &amp; Rückgabewerte(5)'!$B$11,'Sprachen &amp; Rückgabewerte(5)'!$C$11,IF(F10='Sprachen &amp; Rückgabewerte(5)'!$B$12,'Sprachen &amp; Rückgabewerte(5)'!$C$12,IF(F10='Sprachen &amp; Rückgabewerte(5)'!$B$13,'Sprachen &amp; Rückgabewerte(5)'!$C$13,IF(F10='Sprachen &amp; Rückgabewerte(5)'!$B$14,'Sprachen &amp; Rückgabewerte(5)'!$C$14,""))))))</f>
        <v/>
      </c>
      <c r="G14" s="653"/>
      <c r="H14" s="659"/>
      <c r="I14" s="59"/>
      <c r="J14" s="653" t="str">
        <f>IF(J10='Sprachen &amp; Rückgabewerte(5)'!$B$9,'Sprachen &amp; Rückgabewerte(5)'!$C$9,IF(J10='Sprachen &amp; Rückgabewerte(5)'!$B$10,'Sprachen &amp; Rückgabewerte(5)'!$C$10,IF(J10='Sprachen &amp; Rückgabewerte(5)'!$B$11,'Sprachen &amp; Rückgabewerte(5)'!$C$11,IF(J10='Sprachen &amp; Rückgabewerte(5)'!$B$12,'Sprachen &amp; Rückgabewerte(5)'!$C$12,IF(J10='Sprachen &amp; Rückgabewerte(5)'!$B$13,'Sprachen &amp; Rückgabewerte(5)'!$C$13,IF(J10='Sprachen &amp; Rückgabewerte(5)'!$B$14,'Sprachen &amp; Rückgabewerte(5)'!$C$14,""))))))</f>
        <v/>
      </c>
      <c r="K14" s="653"/>
      <c r="L14" s="659"/>
      <c r="M14" s="59"/>
      <c r="N14" s="653" t="str">
        <f>IF(N10='Sprachen &amp; Rückgabewerte(5)'!$B$9,'Sprachen &amp; Rückgabewerte(5)'!$C$9,IF(N10='Sprachen &amp; Rückgabewerte(5)'!$B$10,'Sprachen &amp; Rückgabewerte(5)'!$C$10,IF(N10='Sprachen &amp; Rückgabewerte(5)'!$B$11,'Sprachen &amp; Rückgabewerte(5)'!$C$11,IF(N10='Sprachen &amp; Rückgabewerte(5)'!$B$12,'Sprachen &amp; Rückgabewerte(5)'!$C$12,IF(N10='Sprachen &amp; Rückgabewerte(5)'!$B$13,'Sprachen &amp; Rückgabewerte(5)'!$C$13,IF(N10='Sprachen &amp; Rückgabewerte(5)'!$B$14,'Sprachen &amp; Rückgabewerte(5)'!$C$14,""))))))</f>
        <v/>
      </c>
      <c r="O14" s="653"/>
      <c r="P14" s="659"/>
      <c r="Q14" s="59"/>
      <c r="R14" s="653" t="str">
        <f>IF(R10='Sprachen &amp; Rückgabewerte(5)'!$B$9,'Sprachen &amp; Rückgabewerte(5)'!$C$9,IF(R10='Sprachen &amp; Rückgabewerte(5)'!$B$10,'Sprachen &amp; Rückgabewerte(5)'!$C$10,IF(R10='Sprachen &amp; Rückgabewerte(5)'!$B$11,'Sprachen &amp; Rückgabewerte(5)'!$C$11,IF(R10='Sprachen &amp; Rückgabewerte(5)'!$B$12,'Sprachen &amp; Rückgabewerte(5)'!$C$12,IF(R10='Sprachen &amp; Rückgabewerte(5)'!$B$13,'Sprachen &amp; Rückgabewerte(5)'!$C$13,IF(R10='Sprachen &amp; Rückgabewerte(5)'!$B$14,'Sprachen &amp; Rückgabewerte(5)'!$C$14,""))))))</f>
        <v/>
      </c>
      <c r="S14" s="653"/>
      <c r="T14" s="659"/>
      <c r="U14" s="59"/>
      <c r="V14" s="653" t="str">
        <f>IF(V10='Sprachen &amp; Rückgabewerte(5)'!$B$9,'Sprachen &amp; Rückgabewerte(5)'!$C$9,IF(V10='Sprachen &amp; Rückgabewerte(5)'!$B$10,'Sprachen &amp; Rückgabewerte(5)'!$C$10,IF(V10='Sprachen &amp; Rückgabewerte(5)'!$B$11,'Sprachen &amp; Rückgabewerte(5)'!$C$11,IF(V10='Sprachen &amp; Rückgabewerte(5)'!$B$12,'Sprachen &amp; Rückgabewerte(5)'!$C$12,IF(V10='Sprachen &amp; Rückgabewerte(5)'!$B$13,'Sprachen &amp; Rückgabewerte(5)'!$C$13,IF(V10='Sprachen &amp; Rückgabewerte(5)'!$B$14,'Sprachen &amp; Rückgabewerte(5)'!$C$14,""))))))</f>
        <v/>
      </c>
      <c r="W14" s="653"/>
      <c r="X14" s="659"/>
      <c r="Y14" s="59"/>
      <c r="Z14" s="653" t="str">
        <f>IF(Z10='Sprachen &amp; Rückgabewerte(5)'!$B$9,'Sprachen &amp; Rückgabewerte(5)'!$C$9,IF(Z10='Sprachen &amp; Rückgabewerte(5)'!$B$10,'Sprachen &amp; Rückgabewerte(5)'!$C$10,IF(Z10='Sprachen &amp; Rückgabewerte(5)'!$B$11,'Sprachen &amp; Rückgabewerte(5)'!$C$11,IF(Z10='Sprachen &amp; Rückgabewerte(5)'!$B$12,'Sprachen &amp; Rückgabewerte(5)'!$C$12,IF(Z10='Sprachen &amp; Rückgabewerte(5)'!$B$13,'Sprachen &amp; Rückgabewerte(5)'!$C$13,IF(Z10='Sprachen &amp; Rückgabewerte(5)'!$B$14,'Sprachen &amp; Rückgabewerte(5)'!$C$14,""))))))</f>
        <v/>
      </c>
      <c r="AA14" s="653"/>
      <c r="AB14" s="659"/>
      <c r="AC14" s="59"/>
      <c r="AD14" s="653" t="str">
        <f>IF(AD10='Sprachen &amp; Rückgabewerte(5)'!$B$9,'Sprachen &amp; Rückgabewerte(5)'!$C$9,IF(AD10='Sprachen &amp; Rückgabewerte(5)'!$B$10,'Sprachen &amp; Rückgabewerte(5)'!$C$10,IF(AD10='Sprachen &amp; Rückgabewerte(5)'!$B$11,'Sprachen &amp; Rückgabewerte(5)'!$C$11,IF(AD10='Sprachen &amp; Rückgabewerte(5)'!$B$12,'Sprachen &amp; Rückgabewerte(5)'!$C$12,IF(AD10='Sprachen &amp; Rückgabewerte(5)'!$B$13,'Sprachen &amp; Rückgabewerte(5)'!$C$13,IF(AD10='Sprachen &amp; Rückgabewerte(5)'!$B$14,'Sprachen &amp; Rückgabewerte(5)'!$C$14,""))))))</f>
        <v/>
      </c>
      <c r="AE14" s="653"/>
      <c r="AF14" s="659"/>
      <c r="AG14" s="59"/>
      <c r="AH14" s="653" t="str">
        <f>IF(AH10='Sprachen &amp; Rückgabewerte(5)'!$B$9,'Sprachen &amp; Rückgabewerte(5)'!$C$9,IF(AH10='Sprachen &amp; Rückgabewerte(5)'!$B$10,'Sprachen &amp; Rückgabewerte(5)'!$C$10,IF(AH10='Sprachen &amp; Rückgabewerte(5)'!$B$11,'Sprachen &amp; Rückgabewerte(5)'!$C$11,IF(AH10='Sprachen &amp; Rückgabewerte(5)'!$B$12,'Sprachen &amp; Rückgabewerte(5)'!$C$12,IF(AH10='Sprachen &amp; Rückgabewerte(5)'!$B$13,'Sprachen &amp; Rückgabewerte(5)'!$C$13,IF(AH10='Sprachen &amp; Rückgabewerte(5)'!$B$14,'Sprachen &amp; Rückgabewerte(5)'!$C$14,""))))))</f>
        <v/>
      </c>
      <c r="AI14" s="653"/>
      <c r="AJ14" s="659"/>
      <c r="AK14" s="59"/>
      <c r="AL14" s="653" t="str">
        <f>IF(AL10='Sprachen &amp; Rückgabewerte(5)'!$B$9,'Sprachen &amp; Rückgabewerte(5)'!$C$9,IF(AL10='Sprachen &amp; Rückgabewerte(5)'!$B$10,'Sprachen &amp; Rückgabewerte(5)'!$C$10,IF(AL10='Sprachen &amp; Rückgabewerte(5)'!$B$11,'Sprachen &amp; Rückgabewerte(5)'!$C$11,IF(AL10='Sprachen &amp; Rückgabewerte(5)'!$B$12,'Sprachen &amp; Rückgabewerte(5)'!$C$12,IF(AL10='Sprachen &amp; Rückgabewerte(5)'!$B$13,'Sprachen &amp; Rückgabewerte(5)'!$C$13,IF(AL10='Sprachen &amp; Rückgabewerte(5)'!$B$14,'Sprachen &amp; Rückgabewerte(5)'!$C$14,""))))))</f>
        <v/>
      </c>
      <c r="AM14" s="653"/>
      <c r="AN14" s="659"/>
      <c r="AO14" s="59"/>
      <c r="AP14" s="653" t="str">
        <f>IF(AP10='Sprachen &amp; Rückgabewerte(5)'!$B$9,'Sprachen &amp; Rückgabewerte(5)'!$C$9,IF(AP10='Sprachen &amp; Rückgabewerte(5)'!$B$10,'Sprachen &amp; Rückgabewerte(5)'!$C$10,IF(AP10='Sprachen &amp; Rückgabewerte(5)'!$B$11,'Sprachen &amp; Rückgabewerte(5)'!$C$11,IF(AP10='Sprachen &amp; Rückgabewerte(5)'!$B$12,'Sprachen &amp; Rückgabewerte(5)'!$C$12,IF(AP10='Sprachen &amp; Rückgabewerte(5)'!$B$13,'Sprachen &amp; Rückgabewerte(5)'!$C$13,IF(AP10='Sprachen &amp; Rückgabewerte(5)'!$B$14,'Sprachen &amp; Rückgabewerte(5)'!$C$14,""))))))</f>
        <v/>
      </c>
      <c r="AQ14" s="653"/>
      <c r="AR14" s="659"/>
      <c r="AS14" s="149"/>
      <c r="AT14" s="114"/>
      <c r="AU14" s="114"/>
      <c r="AW14" s="242"/>
      <c r="AX14" s="155" t="str">
        <f>'Sprachen &amp; Rückgabewerte(5)'!H131</f>
        <v>Bemerkungen:</v>
      </c>
      <c r="AY14" s="60"/>
      <c r="AZ14" s="60"/>
      <c r="BA14" s="60"/>
      <c r="BB14" s="244"/>
    </row>
    <row r="15" spans="1:64" ht="13.5" customHeight="1" x14ac:dyDescent="0.2">
      <c r="B15" s="59"/>
      <c r="C15" s="59"/>
      <c r="D15" s="60"/>
      <c r="E15" s="657"/>
      <c r="F15" s="653"/>
      <c r="G15" s="653"/>
      <c r="H15" s="659"/>
      <c r="I15" s="59"/>
      <c r="J15" s="653"/>
      <c r="K15" s="653"/>
      <c r="L15" s="659"/>
      <c r="M15" s="59"/>
      <c r="N15" s="653"/>
      <c r="O15" s="653"/>
      <c r="P15" s="659"/>
      <c r="Q15" s="59"/>
      <c r="R15" s="653"/>
      <c r="S15" s="653"/>
      <c r="T15" s="659"/>
      <c r="U15" s="59"/>
      <c r="V15" s="653"/>
      <c r="W15" s="653"/>
      <c r="X15" s="659"/>
      <c r="Y15" s="59"/>
      <c r="Z15" s="653"/>
      <c r="AA15" s="653"/>
      <c r="AB15" s="659"/>
      <c r="AC15" s="59"/>
      <c r="AD15" s="653"/>
      <c r="AE15" s="653"/>
      <c r="AF15" s="659"/>
      <c r="AG15" s="59"/>
      <c r="AH15" s="653"/>
      <c r="AI15" s="653"/>
      <c r="AJ15" s="659"/>
      <c r="AK15" s="59"/>
      <c r="AL15" s="653"/>
      <c r="AM15" s="653"/>
      <c r="AN15" s="659"/>
      <c r="AO15" s="59"/>
      <c r="AP15" s="653"/>
      <c r="AQ15" s="653"/>
      <c r="AR15" s="659"/>
      <c r="AS15" s="60"/>
      <c r="AT15" s="114"/>
      <c r="AU15" s="114"/>
      <c r="AW15" s="242"/>
      <c r="AX15" s="639" t="s">
        <v>506</v>
      </c>
      <c r="AY15" s="640"/>
      <c r="AZ15" s="640"/>
      <c r="BA15" s="641"/>
      <c r="BB15" s="244"/>
    </row>
    <row r="16" spans="1:64" ht="13.5" customHeight="1" x14ac:dyDescent="0.2">
      <c r="B16" s="59"/>
      <c r="C16" s="59"/>
      <c r="D16" s="60"/>
      <c r="E16" s="657"/>
      <c r="F16" s="652"/>
      <c r="G16" s="652"/>
      <c r="H16" s="659"/>
      <c r="I16" s="59"/>
      <c r="J16" s="652"/>
      <c r="K16" s="652"/>
      <c r="L16" s="659"/>
      <c r="M16" s="59"/>
      <c r="N16" s="652"/>
      <c r="O16" s="652"/>
      <c r="P16" s="659"/>
      <c r="Q16" s="59"/>
      <c r="R16" s="652"/>
      <c r="S16" s="652"/>
      <c r="T16" s="659"/>
      <c r="U16" s="59"/>
      <c r="V16" s="652"/>
      <c r="W16" s="652"/>
      <c r="X16" s="659"/>
      <c r="Y16" s="59"/>
      <c r="Z16" s="652"/>
      <c r="AA16" s="652"/>
      <c r="AB16" s="659"/>
      <c r="AC16" s="59"/>
      <c r="AD16" s="652"/>
      <c r="AE16" s="652"/>
      <c r="AF16" s="659"/>
      <c r="AG16" s="59"/>
      <c r="AH16" s="652"/>
      <c r="AI16" s="652"/>
      <c r="AJ16" s="659"/>
      <c r="AK16" s="59"/>
      <c r="AL16" s="652"/>
      <c r="AM16" s="652"/>
      <c r="AN16" s="659"/>
      <c r="AO16" s="59"/>
      <c r="AP16" s="652"/>
      <c r="AQ16" s="652"/>
      <c r="AR16" s="659"/>
      <c r="AS16" s="60"/>
      <c r="AT16" s="114"/>
      <c r="AU16" s="114"/>
      <c r="AW16" s="246"/>
      <c r="AX16" s="642"/>
      <c r="AY16" s="643"/>
      <c r="AZ16" s="643"/>
      <c r="BA16" s="644"/>
      <c r="BB16" s="244"/>
    </row>
    <row r="17" spans="1:54" ht="13.5" customHeight="1" x14ac:dyDescent="0.2">
      <c r="B17" s="59"/>
      <c r="C17" s="59"/>
      <c r="D17" s="60"/>
      <c r="E17" s="657"/>
      <c r="F17" s="652"/>
      <c r="G17" s="652"/>
      <c r="H17" s="659"/>
      <c r="I17" s="59"/>
      <c r="J17" s="652"/>
      <c r="K17" s="652"/>
      <c r="L17" s="659"/>
      <c r="M17" s="59"/>
      <c r="N17" s="652"/>
      <c r="O17" s="652"/>
      <c r="P17" s="659"/>
      <c r="Q17" s="59"/>
      <c r="R17" s="652"/>
      <c r="S17" s="652"/>
      <c r="T17" s="659"/>
      <c r="U17" s="59"/>
      <c r="V17" s="652"/>
      <c r="W17" s="652"/>
      <c r="X17" s="659"/>
      <c r="Y17" s="59"/>
      <c r="Z17" s="652"/>
      <c r="AA17" s="652"/>
      <c r="AB17" s="659"/>
      <c r="AC17" s="59"/>
      <c r="AD17" s="652"/>
      <c r="AE17" s="652"/>
      <c r="AF17" s="659"/>
      <c r="AG17" s="59"/>
      <c r="AH17" s="652"/>
      <c r="AI17" s="652"/>
      <c r="AJ17" s="659"/>
      <c r="AK17" s="59"/>
      <c r="AL17" s="652"/>
      <c r="AM17" s="652"/>
      <c r="AN17" s="659"/>
      <c r="AO17" s="59"/>
      <c r="AP17" s="652"/>
      <c r="AQ17" s="652"/>
      <c r="AR17" s="659"/>
      <c r="AS17" s="60"/>
      <c r="AT17" s="114"/>
      <c r="AU17" s="114"/>
      <c r="AW17" s="246"/>
      <c r="AX17" s="642"/>
      <c r="AY17" s="643"/>
      <c r="AZ17" s="643"/>
      <c r="BA17" s="644"/>
      <c r="BB17" s="244"/>
    </row>
    <row r="18" spans="1:54" ht="13.5" customHeight="1" x14ac:dyDescent="0.2">
      <c r="B18" s="59"/>
      <c r="C18" s="59"/>
      <c r="D18" s="60"/>
      <c r="E18" s="657"/>
      <c r="F18" s="430"/>
      <c r="G18" s="430"/>
      <c r="H18" s="659"/>
      <c r="I18" s="59"/>
      <c r="J18" s="430"/>
      <c r="K18" s="430"/>
      <c r="L18" s="659"/>
      <c r="M18" s="59"/>
      <c r="N18" s="430"/>
      <c r="O18" s="430"/>
      <c r="P18" s="659"/>
      <c r="Q18" s="59"/>
      <c r="R18" s="430"/>
      <c r="S18" s="430"/>
      <c r="T18" s="659"/>
      <c r="U18" s="59"/>
      <c r="V18" s="430"/>
      <c r="W18" s="430"/>
      <c r="X18" s="659"/>
      <c r="Y18" s="59"/>
      <c r="Z18" s="430"/>
      <c r="AA18" s="430"/>
      <c r="AB18" s="659"/>
      <c r="AC18" s="59"/>
      <c r="AD18" s="430"/>
      <c r="AE18" s="430"/>
      <c r="AF18" s="659"/>
      <c r="AG18" s="59"/>
      <c r="AH18" s="430"/>
      <c r="AI18" s="430"/>
      <c r="AJ18" s="659"/>
      <c r="AK18" s="59"/>
      <c r="AL18" s="430"/>
      <c r="AM18" s="430"/>
      <c r="AN18" s="659"/>
      <c r="AO18" s="59"/>
      <c r="AP18" s="430"/>
      <c r="AQ18" s="430"/>
      <c r="AR18" s="659"/>
      <c r="AS18" s="60"/>
      <c r="AT18" s="114"/>
      <c r="AU18" s="114"/>
      <c r="AW18" s="246"/>
      <c r="AX18" s="645"/>
      <c r="AY18" s="646"/>
      <c r="AZ18" s="646"/>
      <c r="BA18" s="647"/>
      <c r="BB18" s="244"/>
    </row>
    <row r="19" spans="1:54" ht="13.5" customHeight="1" x14ac:dyDescent="0.2">
      <c r="B19" s="59"/>
      <c r="C19" s="59"/>
      <c r="D19" s="60"/>
      <c r="E19" s="658"/>
      <c r="F19" s="83"/>
      <c r="G19" s="83"/>
      <c r="H19" s="660"/>
      <c r="I19" s="67"/>
      <c r="J19" s="83"/>
      <c r="K19" s="83"/>
      <c r="L19" s="660"/>
      <c r="M19" s="67"/>
      <c r="N19" s="83"/>
      <c r="O19" s="83"/>
      <c r="P19" s="660"/>
      <c r="Q19" s="67"/>
      <c r="R19" s="83"/>
      <c r="S19" s="83"/>
      <c r="T19" s="660"/>
      <c r="U19" s="67"/>
      <c r="V19" s="83"/>
      <c r="W19" s="83"/>
      <c r="X19" s="660"/>
      <c r="Y19" s="67"/>
      <c r="Z19" s="83"/>
      <c r="AA19" s="83"/>
      <c r="AB19" s="660"/>
      <c r="AC19" s="67"/>
      <c r="AD19" s="83"/>
      <c r="AE19" s="83"/>
      <c r="AF19" s="660"/>
      <c r="AG19" s="67"/>
      <c r="AH19" s="83"/>
      <c r="AI19" s="83"/>
      <c r="AJ19" s="660"/>
      <c r="AK19" s="67"/>
      <c r="AL19" s="83"/>
      <c r="AM19" s="83"/>
      <c r="AN19" s="660"/>
      <c r="AO19" s="67"/>
      <c r="AP19" s="83"/>
      <c r="AQ19" s="83"/>
      <c r="AR19" s="660"/>
      <c r="AS19" s="60"/>
      <c r="AT19" s="114"/>
      <c r="AU19" s="114"/>
      <c r="AW19" s="246"/>
      <c r="AX19" s="629" t="str">
        <f>IF('Sprachen &amp; Rückgabewerte(5)'!U83=FALSE,'Sprachen &amp; Rückgabewerte(5)'!H155,'Sprachen &amp; Rückgabewerte(5)'!H156)</f>
        <v>Bestellformular unvollständig!</v>
      </c>
      <c r="AY19" s="629"/>
      <c r="AZ19" s="629"/>
      <c r="BA19" s="629"/>
      <c r="BB19" s="244"/>
    </row>
    <row r="20" spans="1:54" ht="13.5" customHeight="1" thickBot="1" x14ac:dyDescent="0.25">
      <c r="B20" s="59"/>
      <c r="C20" s="59"/>
      <c r="D20" s="60"/>
      <c r="E20" s="60"/>
      <c r="F20" s="90" t="str">
        <f>'Sprachen &amp; Rückgabewerte(5)'!$H$124</f>
        <v>Ecke:</v>
      </c>
      <c r="G20" s="648"/>
      <c r="H20" s="648"/>
      <c r="I20" s="649"/>
      <c r="J20" s="649"/>
      <c r="K20" s="649"/>
      <c r="L20" s="649"/>
      <c r="M20" s="649"/>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8"/>
      <c r="AP20" s="648"/>
      <c r="AQ20" s="60"/>
      <c r="AR20" s="61"/>
      <c r="AS20" s="60"/>
      <c r="AT20" s="114"/>
      <c r="AU20" s="114"/>
      <c r="AW20" s="247"/>
      <c r="AX20" s="630"/>
      <c r="AY20" s="630"/>
      <c r="AZ20" s="630"/>
      <c r="BA20" s="630"/>
      <c r="BB20" s="250"/>
    </row>
    <row r="21" spans="1:54" ht="13.5" customHeight="1" thickTop="1" thickBot="1" x14ac:dyDescent="0.25">
      <c r="B21" s="59"/>
      <c r="C21" s="59"/>
      <c r="D21" s="60"/>
      <c r="E21" s="63"/>
      <c r="F21" s="90" t="str">
        <f>IF(OR(G20='Sprachen &amp; Rückgabewerte(5)'!$H$106,G20='Sprachen &amp; Rückgabewerte(5)'!$H$107,K20='Sprachen &amp; Rückgabewerte(5)'!$H$106,K20='Sprachen &amp; Rückgabewerte(5)'!$H$107,O20='Sprachen &amp; Rückgabewerte(5)'!$H$106,O20='Sprachen &amp; Rückgabewerte(5)'!$H$107,S20='Sprachen &amp; Rückgabewerte(5)'!$H$106,S20='Sprachen &amp; Rückgabewerte(5)'!$H$107,W20='Sprachen &amp; Rückgabewerte(5)'!$H$106,W20='Sprachen &amp; Rückgabewerte(5)'!$H$107,AA20='Sprachen &amp; Rückgabewerte(5)'!$H$106,AA20='Sprachen &amp; Rückgabewerte(5)'!$H$107,AE20='Sprachen &amp; Rückgabewerte(5)'!$H$106,AE20='Sprachen &amp; Rückgabewerte(5)'!$H$107,AI20='Sprachen &amp; Rückgabewerte(5)'!$H$106,AI20='Sprachen &amp; Rückgabewerte(5)'!$H$107,AM20='Sprachen &amp; Rückgabewerte(5)'!$H$106,AM20='Sprachen &amp; Rückgabewerte(5)'!$H$107),'Sprachen &amp; Rückgabewerte(5)'!$H$108,"")</f>
        <v/>
      </c>
      <c r="G21" s="64"/>
      <c r="H21" s="625"/>
      <c r="I21" s="625"/>
      <c r="J21" s="65"/>
      <c r="K21" s="65"/>
      <c r="L21" s="625"/>
      <c r="M21" s="625"/>
      <c r="N21" s="627"/>
      <c r="O21" s="627"/>
      <c r="P21" s="625"/>
      <c r="Q21" s="625"/>
      <c r="R21" s="628"/>
      <c r="S21" s="628"/>
      <c r="T21" s="625"/>
      <c r="U21" s="625"/>
      <c r="V21" s="627"/>
      <c r="W21" s="627"/>
      <c r="X21" s="625"/>
      <c r="Y21" s="625"/>
      <c r="Z21" s="627"/>
      <c r="AA21" s="627"/>
      <c r="AB21" s="625"/>
      <c r="AC21" s="625"/>
      <c r="AD21" s="627"/>
      <c r="AE21" s="627"/>
      <c r="AF21" s="625"/>
      <c r="AG21" s="625"/>
      <c r="AH21" s="627"/>
      <c r="AI21" s="627"/>
      <c r="AJ21" s="625"/>
      <c r="AK21" s="625"/>
      <c r="AL21" s="627"/>
      <c r="AM21" s="627"/>
      <c r="AN21" s="625"/>
      <c r="AO21" s="625"/>
      <c r="AP21" s="60"/>
      <c r="AQ21" s="60"/>
      <c r="AR21" s="61"/>
      <c r="AS21" s="60"/>
      <c r="AT21" s="114"/>
      <c r="AU21" s="114"/>
      <c r="AW21" s="151"/>
      <c r="AY21" s="189"/>
      <c r="AZ21" s="189"/>
      <c r="BA21" s="189"/>
    </row>
    <row r="22" spans="1:54" ht="9.75" customHeight="1" thickTop="1" x14ac:dyDescent="0.2">
      <c r="B22" s="59"/>
      <c r="C22" s="59"/>
      <c r="D22" s="60"/>
      <c r="E22" s="626"/>
      <c r="F22" s="626"/>
      <c r="G22" s="626"/>
      <c r="H22" s="626"/>
      <c r="I22" s="626"/>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0"/>
      <c r="AT22" s="114"/>
      <c r="AU22" s="114"/>
      <c r="AW22" s="239"/>
      <c r="AX22" s="637" t="str">
        <f>'Sprachen &amp; Rückgabewerte(5)'!H157</f>
        <v>B2B-Login Projektnr:</v>
      </c>
      <c r="AY22" s="637"/>
      <c r="AZ22" s="637"/>
      <c r="BA22" s="637"/>
      <c r="BB22" s="241"/>
    </row>
    <row r="23" spans="1:54" ht="9.9499999999999993" customHeight="1" x14ac:dyDescent="0.2">
      <c r="B23" s="59"/>
      <c r="C23" s="59"/>
      <c r="D23" s="60"/>
      <c r="E23" s="593"/>
      <c r="F23" s="593"/>
      <c r="G23" s="593"/>
      <c r="H23" s="593"/>
      <c r="I23" s="593"/>
      <c r="J23" s="593"/>
      <c r="K23" s="593"/>
      <c r="L23" s="593"/>
      <c r="M23" s="593"/>
      <c r="N23" s="593"/>
      <c r="O23" s="593"/>
      <c r="P23" s="593"/>
      <c r="Q23" s="593"/>
      <c r="R23" s="593"/>
      <c r="S23" s="593"/>
      <c r="T23" s="593"/>
      <c r="U23" s="593"/>
      <c r="V23" s="593"/>
      <c r="W23" s="593"/>
      <c r="X23" s="593"/>
      <c r="Y23" s="593"/>
      <c r="Z23" s="593"/>
      <c r="AA23" s="593"/>
      <c r="AB23" s="593"/>
      <c r="AC23" s="593"/>
      <c r="AD23" s="593"/>
      <c r="AE23" s="593"/>
      <c r="AF23" s="593"/>
      <c r="AG23" s="593"/>
      <c r="AH23" s="593"/>
      <c r="AI23" s="593"/>
      <c r="AJ23" s="593"/>
      <c r="AK23" s="593"/>
      <c r="AL23" s="593"/>
      <c r="AM23" s="593"/>
      <c r="AN23" s="593"/>
      <c r="AO23" s="593"/>
      <c r="AP23" s="593"/>
      <c r="AQ23" s="593"/>
      <c r="AR23" s="593"/>
      <c r="AS23" s="66"/>
      <c r="AT23" s="114"/>
      <c r="AU23" s="114"/>
      <c r="AW23" s="242"/>
      <c r="AX23" s="638"/>
      <c r="AY23" s="638"/>
      <c r="AZ23" s="638"/>
      <c r="BA23" s="638"/>
      <c r="BB23" s="244"/>
    </row>
    <row r="24" spans="1:54" ht="9.9499999999999993" customHeight="1" x14ac:dyDescent="0.2">
      <c r="B24" s="59"/>
      <c r="C24" s="59"/>
      <c r="D24" s="60"/>
      <c r="E24" s="593"/>
      <c r="F24" s="593"/>
      <c r="G24" s="593"/>
      <c r="H24" s="593"/>
      <c r="I24" s="593"/>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c r="AS24" s="66"/>
      <c r="AT24" s="114"/>
      <c r="AU24" s="114"/>
      <c r="AW24" s="242"/>
      <c r="AX24" s="638"/>
      <c r="AY24" s="638"/>
      <c r="AZ24" s="638"/>
      <c r="BA24" s="638"/>
      <c r="BB24" s="244"/>
    </row>
    <row r="25" spans="1:54" ht="9.9499999999999993" customHeight="1" x14ac:dyDescent="0.2">
      <c r="B25" s="59"/>
      <c r="C25" s="59"/>
      <c r="D25" s="60"/>
      <c r="E25" s="593"/>
      <c r="F25" s="593"/>
      <c r="G25" s="593"/>
      <c r="H25" s="593"/>
      <c r="I25" s="593"/>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3"/>
      <c r="AK25" s="593"/>
      <c r="AL25" s="593"/>
      <c r="AM25" s="593"/>
      <c r="AN25" s="593"/>
      <c r="AO25" s="593"/>
      <c r="AP25" s="593"/>
      <c r="AQ25" s="593"/>
      <c r="AR25" s="593"/>
      <c r="AS25" s="66"/>
      <c r="AT25" s="114"/>
      <c r="AU25" s="114"/>
      <c r="AW25" s="242"/>
      <c r="AX25" s="631"/>
      <c r="AY25" s="632"/>
      <c r="AZ25" s="633"/>
      <c r="BA25" s="189"/>
      <c r="BB25" s="244"/>
    </row>
    <row r="26" spans="1:54" ht="9.9499999999999993" customHeight="1" x14ac:dyDescent="0.2">
      <c r="B26" s="59"/>
      <c r="C26" s="59"/>
      <c r="D26" s="60"/>
      <c r="E26" s="593"/>
      <c r="F26" s="593"/>
      <c r="G26" s="593"/>
      <c r="H26" s="593"/>
      <c r="I26" s="593"/>
      <c r="J26" s="593"/>
      <c r="K26" s="593"/>
      <c r="L26" s="593"/>
      <c r="M26" s="593"/>
      <c r="N26" s="593"/>
      <c r="O26" s="593"/>
      <c r="P26" s="593"/>
      <c r="Q26" s="593"/>
      <c r="R26" s="593"/>
      <c r="S26" s="593"/>
      <c r="T26" s="593"/>
      <c r="U26" s="593"/>
      <c r="V26" s="593"/>
      <c r="W26" s="593"/>
      <c r="X26" s="593"/>
      <c r="Y26" s="593"/>
      <c r="Z26" s="593"/>
      <c r="AA26" s="593"/>
      <c r="AB26" s="593"/>
      <c r="AC26" s="593"/>
      <c r="AD26" s="593"/>
      <c r="AE26" s="593"/>
      <c r="AF26" s="593"/>
      <c r="AG26" s="593"/>
      <c r="AH26" s="593"/>
      <c r="AI26" s="593"/>
      <c r="AJ26" s="593"/>
      <c r="AK26" s="593"/>
      <c r="AL26" s="593"/>
      <c r="AM26" s="593"/>
      <c r="AN26" s="593"/>
      <c r="AO26" s="593"/>
      <c r="AP26" s="593"/>
      <c r="AQ26" s="593"/>
      <c r="AR26" s="593"/>
      <c r="AS26" s="66"/>
      <c r="AT26" s="114"/>
      <c r="AU26" s="114"/>
      <c r="AW26" s="242"/>
      <c r="AX26" s="634"/>
      <c r="AY26" s="635"/>
      <c r="AZ26" s="636"/>
      <c r="BA26" s="189"/>
      <c r="BB26" s="244"/>
    </row>
    <row r="27" spans="1:54" ht="15.75" customHeight="1" thickBot="1" x14ac:dyDescent="0.25">
      <c r="B27" s="59"/>
      <c r="C27" s="59"/>
      <c r="D27" s="60"/>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6"/>
      <c r="AT27" s="114"/>
      <c r="AU27" s="114"/>
      <c r="AW27" s="242"/>
      <c r="AX27" s="318"/>
      <c r="AY27" s="189"/>
      <c r="AZ27" s="189"/>
      <c r="BA27" s="189"/>
      <c r="BB27" s="244"/>
    </row>
    <row r="28" spans="1:54" ht="18" customHeight="1" thickBot="1" x14ac:dyDescent="0.25">
      <c r="A28" s="157" t="str">
        <f>IF('Sprachen &amp; Rückgabewerte(5)'!$I$13=TRUE,'Sprachen &amp; Rückgabewerte(5)'!$H$58,"")</f>
        <v/>
      </c>
      <c r="B28" s="227"/>
      <c r="C28" s="59"/>
      <c r="D28" s="83"/>
      <c r="E28" s="594"/>
      <c r="F28" s="595"/>
      <c r="G28" s="595"/>
      <c r="H28" s="596"/>
      <c r="I28" s="594"/>
      <c r="J28" s="595"/>
      <c r="K28" s="595"/>
      <c r="L28" s="596"/>
      <c r="M28" s="594"/>
      <c r="N28" s="595"/>
      <c r="O28" s="595"/>
      <c r="P28" s="596"/>
      <c r="Q28" s="594"/>
      <c r="R28" s="595"/>
      <c r="S28" s="595"/>
      <c r="T28" s="596"/>
      <c r="U28" s="594"/>
      <c r="V28" s="595"/>
      <c r="W28" s="595"/>
      <c r="X28" s="596"/>
      <c r="Y28" s="594"/>
      <c r="Z28" s="595"/>
      <c r="AA28" s="595"/>
      <c r="AB28" s="596"/>
      <c r="AC28" s="594"/>
      <c r="AD28" s="595"/>
      <c r="AE28" s="595"/>
      <c r="AF28" s="596"/>
      <c r="AG28" s="594"/>
      <c r="AH28" s="595"/>
      <c r="AI28" s="595"/>
      <c r="AJ28" s="596"/>
      <c r="AK28" s="594"/>
      <c r="AL28" s="595"/>
      <c r="AM28" s="595"/>
      <c r="AN28" s="596"/>
      <c r="AO28" s="594"/>
      <c r="AP28" s="595"/>
      <c r="AQ28" s="595"/>
      <c r="AR28" s="596"/>
      <c r="AS28" s="67"/>
      <c r="AT28" s="114"/>
      <c r="AU28" s="114"/>
      <c r="AW28" s="258"/>
      <c r="AX28" s="248"/>
      <c r="AY28" s="249"/>
      <c r="AZ28" s="249"/>
      <c r="BA28" s="249"/>
      <c r="BB28" s="250"/>
    </row>
    <row r="29" spans="1:54" ht="7.5" customHeight="1" x14ac:dyDescent="0.2">
      <c r="B29" s="59"/>
      <c r="C29" s="59"/>
      <c r="D29" s="60"/>
      <c r="E29" s="68"/>
      <c r="F29" s="69"/>
      <c r="G29" s="69"/>
      <c r="H29" s="70"/>
      <c r="I29" s="69"/>
      <c r="J29" s="69"/>
      <c r="K29" s="69"/>
      <c r="L29" s="70"/>
      <c r="M29" s="69"/>
      <c r="N29" s="69"/>
      <c r="O29" s="69"/>
      <c r="P29" s="70"/>
      <c r="Q29" s="69"/>
      <c r="R29" s="69"/>
      <c r="S29" s="69"/>
      <c r="T29" s="70"/>
      <c r="U29" s="69"/>
      <c r="V29" s="69"/>
      <c r="W29" s="69"/>
      <c r="X29" s="70"/>
      <c r="Y29" s="69"/>
      <c r="Z29" s="69"/>
      <c r="AA29" s="69"/>
      <c r="AB29" s="70"/>
      <c r="AC29" s="69"/>
      <c r="AD29" s="69"/>
      <c r="AE29" s="69"/>
      <c r="AF29" s="70"/>
      <c r="AG29" s="69"/>
      <c r="AH29" s="69"/>
      <c r="AI29" s="69"/>
      <c r="AJ29" s="70"/>
      <c r="AK29" s="68"/>
      <c r="AL29" s="69"/>
      <c r="AM29" s="69"/>
      <c r="AN29" s="70"/>
      <c r="AO29" s="68"/>
      <c r="AP29" s="69"/>
      <c r="AQ29" s="69"/>
      <c r="AR29" s="70"/>
      <c r="AS29" s="60"/>
      <c r="AT29" s="114"/>
      <c r="AU29" s="114"/>
      <c r="AY29" s="189"/>
      <c r="AZ29" s="189"/>
      <c r="BA29" s="189"/>
    </row>
    <row r="30" spans="1:54" ht="10.5" customHeight="1" x14ac:dyDescent="0.2">
      <c r="B30" s="59"/>
      <c r="C30" s="67"/>
      <c r="D30" s="83"/>
      <c r="E30" s="432"/>
      <c r="F30" s="432"/>
      <c r="G30" s="432"/>
      <c r="H30" s="432"/>
      <c r="I30" s="432"/>
      <c r="J30" s="432"/>
      <c r="K30" s="432"/>
      <c r="L30" s="432"/>
      <c r="M30" s="432"/>
      <c r="N30" s="432"/>
      <c r="O30" s="432"/>
      <c r="P30" s="432"/>
      <c r="Q30" s="432"/>
      <c r="R30" s="432"/>
      <c r="S30" s="432"/>
      <c r="T30" s="432"/>
      <c r="U30" s="432"/>
      <c r="V30" s="432"/>
      <c r="W30" s="432"/>
      <c r="X30" s="432"/>
      <c r="Y30" s="432"/>
      <c r="Z30" s="432"/>
      <c r="AA30" s="432"/>
      <c r="AB30" s="432"/>
      <c r="AC30" s="432"/>
      <c r="AD30" s="432"/>
      <c r="AE30" s="432"/>
      <c r="AF30" s="432"/>
      <c r="AG30" s="432"/>
      <c r="AH30" s="432"/>
      <c r="AI30" s="432"/>
      <c r="AJ30" s="432"/>
      <c r="AK30" s="432"/>
      <c r="AL30" s="432"/>
      <c r="AM30" s="432"/>
      <c r="AN30" s="432"/>
      <c r="AO30" s="432"/>
      <c r="AP30" s="432"/>
      <c r="AQ30" s="432"/>
      <c r="AR30" s="432"/>
      <c r="AS30" s="83"/>
      <c r="AT30" s="115"/>
      <c r="AU30" s="114"/>
      <c r="AW30" s="619" t="str">
        <f>IF('Sprachen &amp; Rückgabewerte(5)'!$I$19=TRUE,'Sprachen &amp; Rückgabewerte(5)'!$H$137,"")</f>
        <v/>
      </c>
      <c r="AX30" s="620"/>
      <c r="AY30" s="620"/>
      <c r="AZ30" s="620"/>
      <c r="BA30" s="621"/>
    </row>
    <row r="31" spans="1:54" ht="11.25" customHeight="1" x14ac:dyDescent="0.2">
      <c r="B31" s="59"/>
      <c r="C31" s="60"/>
      <c r="D31" s="60"/>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0"/>
      <c r="AL31" s="60"/>
      <c r="AM31" s="62"/>
      <c r="AN31" s="60"/>
      <c r="AO31" s="60"/>
      <c r="AP31" s="60"/>
      <c r="AQ31" s="60"/>
      <c r="AR31" s="60"/>
      <c r="AS31" s="60"/>
      <c r="AT31" s="60"/>
      <c r="AU31" s="114"/>
      <c r="AW31" s="622"/>
      <c r="AX31" s="623"/>
      <c r="AY31" s="623"/>
      <c r="AZ31" s="623"/>
      <c r="BA31" s="624"/>
    </row>
    <row r="32" spans="1:54" ht="12.75" customHeight="1" x14ac:dyDescent="0.2">
      <c r="B32" s="59"/>
      <c r="C32" s="111"/>
      <c r="D32" s="81"/>
      <c r="E32" s="81"/>
      <c r="F32" s="81"/>
      <c r="G32" s="81"/>
      <c r="H32" s="81"/>
      <c r="I32" s="81"/>
      <c r="J32" s="81"/>
      <c r="K32" s="81"/>
      <c r="L32" s="81"/>
      <c r="M32" s="81"/>
      <c r="N32" s="81"/>
      <c r="O32" s="81"/>
      <c r="P32" s="81"/>
      <c r="Q32" s="81"/>
      <c r="R32" s="81"/>
      <c r="S32" s="81"/>
      <c r="T32" s="81"/>
      <c r="U32" s="81"/>
      <c r="V32" s="81"/>
      <c r="W32" s="81"/>
      <c r="X32" s="81"/>
      <c r="Y32" s="81"/>
      <c r="Z32" s="81"/>
      <c r="AA32" s="81"/>
      <c r="AB32" s="113"/>
      <c r="AC32" s="60"/>
      <c r="AD32" s="111"/>
      <c r="AE32" s="120" t="str">
        <f>'Sprachen &amp; Rückgabewerte(5)'!$H$134</f>
        <v>Features</v>
      </c>
      <c r="AF32" s="120"/>
      <c r="AG32" s="81"/>
      <c r="AH32" s="81"/>
      <c r="AI32" s="81"/>
      <c r="AJ32" s="81"/>
      <c r="AK32" s="81"/>
      <c r="AL32" s="81"/>
      <c r="AM32" s="138"/>
      <c r="AN32" s="81"/>
      <c r="AO32" s="81"/>
      <c r="AP32" s="81"/>
      <c r="AQ32" s="81"/>
      <c r="AR32" s="81"/>
      <c r="AS32" s="81"/>
      <c r="AT32" s="113"/>
      <c r="AU32" s="204"/>
      <c r="AV32" s="113"/>
      <c r="AW32" s="622"/>
      <c r="AX32" s="623"/>
      <c r="AY32" s="623"/>
      <c r="AZ32" s="623"/>
      <c r="BA32" s="624"/>
    </row>
    <row r="33" spans="2:53" ht="12.75" customHeight="1" x14ac:dyDescent="0.2">
      <c r="B33" s="59"/>
      <c r="C33" s="59"/>
      <c r="D33" s="71"/>
      <c r="E33" s="433"/>
      <c r="F33" s="431" t="str">
        <f>'Sprachen &amp; Rückgabewerte(5)'!$H$13</f>
        <v>Teilung Achsmasse</v>
      </c>
      <c r="G33" s="71"/>
      <c r="H33" s="71"/>
      <c r="I33" s="71"/>
      <c r="J33" s="71"/>
      <c r="K33" s="71"/>
      <c r="L33" s="71"/>
      <c r="M33" s="71"/>
      <c r="N33" s="71"/>
      <c r="O33" s="71"/>
      <c r="P33" s="71"/>
      <c r="Q33" s="71"/>
      <c r="R33" s="71"/>
      <c r="S33" s="71"/>
      <c r="T33" s="71"/>
      <c r="U33" s="71"/>
      <c r="V33" s="71"/>
      <c r="W33" s="71"/>
      <c r="X33" s="71"/>
      <c r="Y33" s="71"/>
      <c r="Z33" s="71"/>
      <c r="AA33" s="71"/>
      <c r="AB33" s="122"/>
      <c r="AC33" s="71"/>
      <c r="AD33" s="121"/>
      <c r="AE33" s="71"/>
      <c r="AH33" s="71"/>
      <c r="AI33" s="71"/>
      <c r="AJ33" s="71"/>
      <c r="AK33" s="71"/>
      <c r="AL33" s="71"/>
      <c r="AM33" s="71"/>
      <c r="AN33" s="433"/>
      <c r="AO33" s="60"/>
      <c r="AQ33" s="71"/>
      <c r="AR33" s="71"/>
      <c r="AS33" s="431"/>
      <c r="AT33" s="114"/>
      <c r="AU33" s="114"/>
      <c r="AW33" s="190" t="str">
        <f>IF(AND(F$10&gt;0,'Sprachen &amp; Rückgabewerte(5)'!$I$19=TRUE),CONCATENATE("Pos. ",'Pos. 5'!$B$2,".1"),"")</f>
        <v/>
      </c>
      <c r="AX33" s="715"/>
      <c r="AY33" s="716"/>
      <c r="AZ33" s="189"/>
      <c r="BA33" s="191"/>
    </row>
    <row r="34" spans="2:53" ht="12.75" customHeight="1" x14ac:dyDescent="0.2">
      <c r="B34" s="59"/>
      <c r="C34" s="59"/>
      <c r="D34" s="71"/>
      <c r="E34" s="433"/>
      <c r="F34" s="72" t="str">
        <f>'Sprachen &amp; Rückgabewerte(5)'!$H$14</f>
        <v>alle Gläser gleiche Breite (Empfehlung)</v>
      </c>
      <c r="G34" s="71"/>
      <c r="H34" s="71"/>
      <c r="I34" s="71"/>
      <c r="J34" s="71"/>
      <c r="K34" s="71"/>
      <c r="L34" s="71"/>
      <c r="M34" s="71"/>
      <c r="N34" s="71"/>
      <c r="O34" s="71"/>
      <c r="P34" s="71"/>
      <c r="Q34" s="71"/>
      <c r="R34" s="71"/>
      <c r="S34" s="71"/>
      <c r="T34" s="71"/>
      <c r="U34" s="71"/>
      <c r="V34" s="71"/>
      <c r="W34" s="71"/>
      <c r="X34" s="71"/>
      <c r="Y34" s="71"/>
      <c r="Z34" s="71"/>
      <c r="AA34" s="71"/>
      <c r="AB34" s="122"/>
      <c r="AC34" s="71"/>
      <c r="AD34" s="121"/>
      <c r="AE34" s="71"/>
      <c r="AF34" s="71" t="str">
        <f>'Sprachen &amp; Rückgabewerte(5)'!$H$15</f>
        <v>Standard</v>
      </c>
      <c r="AH34" s="71"/>
      <c r="AI34" s="71"/>
      <c r="AJ34" s="71"/>
      <c r="AK34" s="71"/>
      <c r="AL34" s="71"/>
      <c r="AM34" s="71"/>
      <c r="AN34" s="433"/>
      <c r="AO34" s="71"/>
      <c r="AP34" s="71"/>
      <c r="AQ34" s="71"/>
      <c r="AR34" s="71"/>
      <c r="AS34" s="431"/>
      <c r="AT34" s="114"/>
      <c r="AU34" s="114"/>
      <c r="AW34" s="190" t="str">
        <f>IF(AND(J10&gt;0,'Sprachen &amp; Rückgabewerte(5)'!$I$19=TRUE),CONCATENATE("Pos. ",'Pos. 5'!$B$2,".2"),"")</f>
        <v/>
      </c>
      <c r="AX34" s="715"/>
      <c r="AY34" s="716"/>
      <c r="AZ34" s="189"/>
      <c r="BA34" s="191"/>
    </row>
    <row r="35" spans="2:53" ht="12.75" customHeight="1" x14ac:dyDescent="0.2">
      <c r="B35" s="59"/>
      <c r="C35" s="59"/>
      <c r="D35" s="71"/>
      <c r="E35" s="71"/>
      <c r="F35" s="71"/>
      <c r="G35" s="71"/>
      <c r="H35" s="71"/>
      <c r="I35" s="71"/>
      <c r="J35" s="71"/>
      <c r="K35" s="71"/>
      <c r="L35" s="71"/>
      <c r="M35" s="71"/>
      <c r="N35" s="71"/>
      <c r="O35" s="71"/>
      <c r="P35" s="71"/>
      <c r="Q35" s="71"/>
      <c r="R35" s="71"/>
      <c r="S35" s="71"/>
      <c r="T35" s="71"/>
      <c r="U35" s="71"/>
      <c r="V35" s="71"/>
      <c r="W35" s="71"/>
      <c r="X35" s="71"/>
      <c r="Y35" s="71"/>
      <c r="Z35" s="71"/>
      <c r="AA35" s="71"/>
      <c r="AB35" s="122"/>
      <c r="AC35" s="71"/>
      <c r="AD35" s="121"/>
      <c r="AE35" s="71"/>
      <c r="AF35" s="71" t="str">
        <f>'Sprachen &amp; Rückgabewerte(5)'!$H$17</f>
        <v>Positionsüberwachung (P)</v>
      </c>
      <c r="AH35" s="71"/>
      <c r="AI35" s="71"/>
      <c r="AJ35" s="71"/>
      <c r="AK35" s="71"/>
      <c r="AL35" s="71"/>
      <c r="AM35" s="71"/>
      <c r="AN35" s="433"/>
      <c r="AO35" s="71"/>
      <c r="AP35" s="71"/>
      <c r="AQ35" s="71"/>
      <c r="AR35" s="71"/>
      <c r="AS35" s="73"/>
      <c r="AT35" s="114"/>
      <c r="AU35" s="114"/>
      <c r="AW35" s="190" t="str">
        <f>IF(AND(N10&gt;0,'Sprachen &amp; Rückgabewerte(5)'!$I$19=TRUE),CONCATENATE("Pos. ",'Pos. 5'!$B$2,".3"),"")</f>
        <v/>
      </c>
      <c r="AX35" s="715"/>
      <c r="AY35" s="716"/>
      <c r="AZ35" s="189"/>
      <c r="BA35" s="191"/>
    </row>
    <row r="36" spans="2:53" ht="12.75" customHeight="1" x14ac:dyDescent="0.2">
      <c r="B36" s="59"/>
      <c r="C36" s="59"/>
      <c r="D36" s="71"/>
      <c r="E36" s="71"/>
      <c r="F36" s="71"/>
      <c r="G36" s="71"/>
      <c r="H36" s="71"/>
      <c r="I36" s="71"/>
      <c r="J36" s="71"/>
      <c r="K36" s="71"/>
      <c r="L36" s="71"/>
      <c r="M36" s="71"/>
      <c r="N36" s="71"/>
      <c r="O36" s="71"/>
      <c r="P36" s="71"/>
      <c r="Q36" s="71"/>
      <c r="R36" s="71"/>
      <c r="S36" s="71"/>
      <c r="T36" s="71"/>
      <c r="U36" s="71"/>
      <c r="V36" s="71"/>
      <c r="W36" s="71"/>
      <c r="X36" s="71"/>
      <c r="Y36" s="71"/>
      <c r="Z36" s="71"/>
      <c r="AA36" s="71"/>
      <c r="AB36" s="122"/>
      <c r="AC36" s="71"/>
      <c r="AD36" s="121"/>
      <c r="AE36" s="71"/>
      <c r="AF36" s="71" t="str">
        <f>'Sprachen &amp; Rückgabewerte(5)'!$H$18</f>
        <v xml:space="preserve">Riegelüberwachung (R) </v>
      </c>
      <c r="AH36" s="71"/>
      <c r="AI36" s="71"/>
      <c r="AJ36" s="71"/>
      <c r="AK36" s="71"/>
      <c r="AL36" s="71"/>
      <c r="AM36" s="71"/>
      <c r="AN36" s="433"/>
      <c r="AO36" s="71"/>
      <c r="AP36" s="71"/>
      <c r="AQ36" s="71"/>
      <c r="AR36" s="71"/>
      <c r="AS36" s="73"/>
      <c r="AT36" s="114"/>
      <c r="AU36" s="114"/>
      <c r="AW36" s="190" t="str">
        <f>IF(AND(R10&gt;0,'Sprachen &amp; Rückgabewerte(5)'!$I$19=TRUE),CONCATENATE("Pos. ",'Pos. 5'!$B$2,".4"),"")</f>
        <v/>
      </c>
      <c r="AX36" s="715"/>
      <c r="AY36" s="716"/>
      <c r="AZ36" s="189"/>
      <c r="BA36" s="191"/>
    </row>
    <row r="37" spans="2:53" ht="12.75" customHeight="1" x14ac:dyDescent="0.2">
      <c r="B37" s="59"/>
      <c r="C37" s="59"/>
      <c r="D37" s="71"/>
      <c r="E37" s="71"/>
      <c r="F37" s="71"/>
      <c r="G37" s="71"/>
      <c r="H37" s="71"/>
      <c r="I37" s="71"/>
      <c r="J37" s="71"/>
      <c r="K37" s="71"/>
      <c r="L37" s="71"/>
      <c r="M37" s="71"/>
      <c r="N37" s="71"/>
      <c r="O37" s="71"/>
      <c r="P37" s="71"/>
      <c r="Q37" s="71"/>
      <c r="R37" s="71"/>
      <c r="S37" s="71"/>
      <c r="T37" s="71"/>
      <c r="U37" s="71"/>
      <c r="V37" s="71"/>
      <c r="W37" s="71"/>
      <c r="X37" s="71"/>
      <c r="Y37" s="71"/>
      <c r="Z37" s="71"/>
      <c r="AA37" s="71"/>
      <c r="AB37" s="122"/>
      <c r="AC37" s="71"/>
      <c r="AD37" s="121"/>
      <c r="AE37" s="71"/>
      <c r="AF37" s="71" t="str">
        <f>'Sprachen &amp; Rückgabewerte(5)'!$H$25</f>
        <v>Pool</v>
      </c>
      <c r="AH37" s="71"/>
      <c r="AI37" s="71"/>
      <c r="AJ37" s="71"/>
      <c r="AK37" s="71"/>
      <c r="AL37" s="71"/>
      <c r="AM37" s="71"/>
      <c r="AN37" s="433"/>
      <c r="AO37" s="71"/>
      <c r="AP37" s="71"/>
      <c r="AQ37" s="71"/>
      <c r="AR37" s="71"/>
      <c r="AS37" s="73"/>
      <c r="AT37" s="114"/>
      <c r="AU37" s="114"/>
      <c r="AW37" s="190" t="str">
        <f>IF(AND(V10&gt;0,'Sprachen &amp; Rückgabewerte(5)'!$I$19=TRUE),CONCATENATE("Pos. ",'Pos. 5'!$B$2,".5"),"")</f>
        <v/>
      </c>
      <c r="AX37" s="715"/>
      <c r="AY37" s="716"/>
      <c r="AZ37" s="189"/>
      <c r="BA37" s="191"/>
    </row>
    <row r="38" spans="2:53" ht="12.75" customHeight="1" x14ac:dyDescent="0.2">
      <c r="B38" s="59"/>
      <c r="C38" s="59"/>
      <c r="D38" s="71"/>
      <c r="E38" s="71"/>
      <c r="F38" s="71"/>
      <c r="G38" s="71"/>
      <c r="H38" s="71"/>
      <c r="I38" s="71"/>
      <c r="J38" s="71"/>
      <c r="K38" s="71"/>
      <c r="L38" s="71"/>
      <c r="M38" s="71"/>
      <c r="N38" s="71"/>
      <c r="O38" s="71"/>
      <c r="P38" s="71"/>
      <c r="Q38" s="71"/>
      <c r="R38" s="71"/>
      <c r="S38" s="71"/>
      <c r="T38" s="71"/>
      <c r="U38" s="71"/>
      <c r="V38" s="71"/>
      <c r="W38" s="71"/>
      <c r="X38" s="71"/>
      <c r="Y38" s="71"/>
      <c r="Z38" s="71"/>
      <c r="AA38" s="71"/>
      <c r="AB38" s="122"/>
      <c r="AC38" s="71"/>
      <c r="AD38" s="121"/>
      <c r="AE38" s="71"/>
      <c r="AF38" s="618" t="str">
        <f>'Sprachen &amp; Rückgabewerte(5)'!$H$20</f>
        <v>Elektrischer Antrieb, Anzahl</v>
      </c>
      <c r="AG38" s="618"/>
      <c r="AH38" s="618"/>
      <c r="AI38" s="618"/>
      <c r="AJ38" s="618"/>
      <c r="AK38" s="618"/>
      <c r="AL38" s="618"/>
      <c r="AM38" s="617">
        <f>IF('Sprachen &amp; Rückgabewerte(5)'!I20=FALSE,0,COUNTIF(F13:AQ19,"E"))</f>
        <v>0</v>
      </c>
      <c r="AN38" s="617"/>
      <c r="AO38" s="71" t="str">
        <f>'Sprachen &amp; Rückgabewerte(5)'!$H$21</f>
        <v>Stk.</v>
      </c>
      <c r="AQ38" s="71"/>
      <c r="AR38" s="71"/>
      <c r="AS38" s="431"/>
      <c r="AT38" s="114"/>
      <c r="AU38" s="114"/>
      <c r="AW38" s="190" t="str">
        <f>IF(AND(Z10&gt;0,'Sprachen &amp; Rückgabewerte(5)'!$I$19=TRUE),CONCATENATE("Pos. ",'Pos. 5'!$B$2,".6"),"")</f>
        <v/>
      </c>
      <c r="AX38" s="715"/>
      <c r="AY38" s="716"/>
      <c r="AZ38" s="60"/>
      <c r="BA38" s="114"/>
    </row>
    <row r="39" spans="2:53" ht="12.75" customHeight="1" x14ac:dyDescent="0.2">
      <c r="B39" s="59"/>
      <c r="C39" s="59"/>
      <c r="D39" s="71"/>
      <c r="E39" s="71"/>
      <c r="F39" s="71"/>
      <c r="G39" s="71"/>
      <c r="H39" s="71"/>
      <c r="I39" s="71"/>
      <c r="J39" s="71"/>
      <c r="K39" s="71"/>
      <c r="L39" s="71"/>
      <c r="M39" s="71"/>
      <c r="N39" s="71"/>
      <c r="O39" s="71"/>
      <c r="P39" s="71"/>
      <c r="Q39" s="71"/>
      <c r="R39" s="71"/>
      <c r="S39" s="71"/>
      <c r="T39" s="71"/>
      <c r="U39" s="71"/>
      <c r="V39" s="71"/>
      <c r="W39" s="71"/>
      <c r="X39" s="71"/>
      <c r="Y39" s="71"/>
      <c r="Z39" s="71"/>
      <c r="AA39" s="71"/>
      <c r="AB39" s="122"/>
      <c r="AC39" s="71"/>
      <c r="AD39" s="121"/>
      <c r="AE39" s="71"/>
      <c r="AF39" s="71" t="str">
        <f>'Sprachen &amp; Rückgabewerte(5)'!$H$22</f>
        <v>geforderte Klassen:</v>
      </c>
      <c r="AH39" s="71"/>
      <c r="AI39" s="71"/>
      <c r="AJ39" s="71"/>
      <c r="AK39" s="71"/>
      <c r="AL39" s="601"/>
      <c r="AM39" s="602"/>
      <c r="AN39" s="602"/>
      <c r="AO39" s="602"/>
      <c r="AP39" s="602"/>
      <c r="AQ39" s="602"/>
      <c r="AR39" s="602"/>
      <c r="AS39" s="603"/>
      <c r="AT39" s="114"/>
      <c r="AU39" s="114"/>
      <c r="AW39" s="190" t="str">
        <f>IF(AND(AD10&gt;0,'Sprachen &amp; Rückgabewerte(5)'!$I$19=TRUE),CONCATENATE("Pos. ",'Pos. 5'!$B$2,".7"),"")</f>
        <v/>
      </c>
      <c r="AX39" s="715"/>
      <c r="AY39" s="716"/>
      <c r="AZ39" s="60"/>
      <c r="BA39" s="114"/>
    </row>
    <row r="40" spans="2:53" ht="12.75" customHeight="1" x14ac:dyDescent="0.2">
      <c r="B40" s="59"/>
      <c r="C40" s="59"/>
      <c r="D40" s="71"/>
      <c r="E40" s="430"/>
      <c r="F40" s="72" t="str">
        <f>'Sprachen &amp; Rückgabewerte(5)'!H30</f>
        <v>nach rechts</v>
      </c>
      <c r="G40" s="71"/>
      <c r="H40" s="71"/>
      <c r="I40" s="71"/>
      <c r="J40" s="71"/>
      <c r="K40" s="71"/>
      <c r="L40" s="71"/>
      <c r="M40" s="71"/>
      <c r="N40" s="74" t="str">
        <f>'Sprachen &amp; Rückgabewerte(5)'!H31</f>
        <v>nach links</v>
      </c>
      <c r="O40" s="430"/>
      <c r="P40" s="74"/>
      <c r="Q40" s="433"/>
      <c r="R40" s="71"/>
      <c r="S40" s="71"/>
      <c r="T40" s="71"/>
      <c r="U40" s="71"/>
      <c r="V40" s="71"/>
      <c r="W40" s="71"/>
      <c r="X40" s="71"/>
      <c r="Y40" s="71"/>
      <c r="Z40" s="597" t="s">
        <v>179</v>
      </c>
      <c r="AA40" s="71"/>
      <c r="AB40" s="122"/>
      <c r="AC40" s="71"/>
      <c r="AD40" s="123"/>
      <c r="AE40" s="124"/>
      <c r="AF40" s="124"/>
      <c r="AG40" s="604"/>
      <c r="AH40" s="604"/>
      <c r="AI40" s="604"/>
      <c r="AJ40" s="604"/>
      <c r="AK40" s="604"/>
      <c r="AL40" s="604"/>
      <c r="AM40" s="604"/>
      <c r="AN40" s="604"/>
      <c r="AO40" s="604"/>
      <c r="AP40" s="604"/>
      <c r="AQ40" s="604"/>
      <c r="AR40" s="604"/>
      <c r="AS40" s="124"/>
      <c r="AT40" s="115"/>
      <c r="AU40" s="114"/>
      <c r="AW40" s="190" t="str">
        <f>IF(AND(AH10&gt;0,'Sprachen &amp; Rückgabewerte(5)'!$I$19=TRUE),CONCATENATE("Pos. ",'Pos. 5'!$B$2,".8"),"")</f>
        <v/>
      </c>
      <c r="AX40" s="715"/>
      <c r="AY40" s="716"/>
      <c r="AZ40" s="60"/>
      <c r="BA40" s="114"/>
    </row>
    <row r="41" spans="2:53" ht="12.75" customHeight="1" x14ac:dyDescent="0.2">
      <c r="B41" s="59"/>
      <c r="C41" s="59"/>
      <c r="D41" s="71"/>
      <c r="E41" s="430"/>
      <c r="F41" s="72"/>
      <c r="G41" s="71"/>
      <c r="H41" s="71"/>
      <c r="I41" s="71"/>
      <c r="J41" s="71"/>
      <c r="K41" s="71"/>
      <c r="L41" s="71"/>
      <c r="M41" s="71"/>
      <c r="N41" s="74"/>
      <c r="O41" s="430"/>
      <c r="P41" s="74"/>
      <c r="Q41" s="433"/>
      <c r="R41" s="71"/>
      <c r="S41" s="71"/>
      <c r="T41" s="71"/>
      <c r="U41" s="71"/>
      <c r="V41" s="71"/>
      <c r="W41" s="71"/>
      <c r="X41" s="71"/>
      <c r="Y41" s="71"/>
      <c r="Z41" s="598"/>
      <c r="AA41" s="71"/>
      <c r="AB41" s="122"/>
      <c r="AC41" s="71"/>
      <c r="AD41" s="71"/>
      <c r="AE41" s="71"/>
      <c r="AF41" s="71"/>
      <c r="AG41" s="75"/>
      <c r="AH41" s="75"/>
      <c r="AI41" s="75"/>
      <c r="AJ41" s="75"/>
      <c r="AK41" s="75"/>
      <c r="AL41" s="75"/>
      <c r="AM41" s="75"/>
      <c r="AN41" s="75"/>
      <c r="AO41" s="75"/>
      <c r="AP41" s="75"/>
      <c r="AQ41" s="75"/>
      <c r="AR41" s="75"/>
      <c r="AS41" s="71"/>
      <c r="AT41" s="60"/>
      <c r="AU41" s="114"/>
      <c r="AW41" s="190" t="str">
        <f>IF(AND(AL10&gt;0,'Sprachen &amp; Rückgabewerte(5)'!$I$19=TRUE),CONCATENATE("Pos. ",'Pos. 5'!$B$2,".9"),"")</f>
        <v/>
      </c>
      <c r="AX41" s="715"/>
      <c r="AY41" s="716"/>
      <c r="AZ41" s="60"/>
      <c r="BA41" s="114"/>
    </row>
    <row r="42" spans="2:53" ht="12.75" customHeight="1" x14ac:dyDescent="0.2">
      <c r="B42" s="59"/>
      <c r="C42" s="59"/>
      <c r="D42" s="71"/>
      <c r="E42" s="71"/>
      <c r="F42" s="71"/>
      <c r="G42" s="71"/>
      <c r="H42" s="71"/>
      <c r="I42" s="71"/>
      <c r="J42" s="71"/>
      <c r="K42" s="71"/>
      <c r="L42" s="71"/>
      <c r="M42" s="71"/>
      <c r="N42" s="71"/>
      <c r="O42" s="71"/>
      <c r="P42" s="71"/>
      <c r="Q42" s="71"/>
      <c r="R42" s="71"/>
      <c r="S42" s="71"/>
      <c r="T42" s="71"/>
      <c r="U42" s="71"/>
      <c r="V42" s="71"/>
      <c r="W42" s="71"/>
      <c r="X42" s="71"/>
      <c r="Y42" s="71"/>
      <c r="Z42" s="590"/>
      <c r="AA42" s="71"/>
      <c r="AB42" s="122"/>
      <c r="AC42" s="76"/>
      <c r="AD42" s="118"/>
      <c r="AE42" s="120" t="str">
        <f>'Sprachen &amp; Rückgabewerte(5)'!$H$35</f>
        <v>Oberfläche:</v>
      </c>
      <c r="AF42" s="120"/>
      <c r="AG42" s="119"/>
      <c r="AH42" s="119"/>
      <c r="AI42" s="119"/>
      <c r="AJ42" s="119"/>
      <c r="AK42" s="119"/>
      <c r="AL42" s="119"/>
      <c r="AM42" s="139"/>
      <c r="AN42" s="119"/>
      <c r="AO42" s="119"/>
      <c r="AP42" s="119"/>
      <c r="AQ42" s="119"/>
      <c r="AR42" s="119"/>
      <c r="AS42" s="119"/>
      <c r="AT42" s="113"/>
      <c r="AU42" s="114"/>
      <c r="AW42" s="190" t="str">
        <f>IF(AND(AP10&gt;0,'Sprachen &amp; Rückgabewerte(5)'!$I$19=TRUE),CONCATENATE("Pos. ",'Pos. 5'!$B$2,".10"),"")</f>
        <v/>
      </c>
      <c r="AX42" s="715"/>
      <c r="AY42" s="716"/>
      <c r="AZ42" s="60"/>
      <c r="BA42" s="114"/>
    </row>
    <row r="43" spans="2:53" ht="12.75" customHeight="1" x14ac:dyDescent="0.2">
      <c r="B43" s="59"/>
      <c r="C43" s="59"/>
      <c r="D43" s="71"/>
      <c r="E43" s="71"/>
      <c r="F43" s="71"/>
      <c r="G43" s="71"/>
      <c r="H43" s="71"/>
      <c r="I43" s="71"/>
      <c r="J43" s="71"/>
      <c r="K43" s="71"/>
      <c r="L43" s="71"/>
      <c r="M43" s="71"/>
      <c r="N43" s="71"/>
      <c r="O43" s="71"/>
      <c r="P43" s="71"/>
      <c r="Q43" s="71"/>
      <c r="R43" s="71"/>
      <c r="S43" s="71"/>
      <c r="T43" s="71"/>
      <c r="U43" s="71"/>
      <c r="V43" s="71"/>
      <c r="W43" s="71"/>
      <c r="X43" s="71"/>
      <c r="Y43" s="71"/>
      <c r="Z43" s="591"/>
      <c r="AA43" s="71"/>
      <c r="AB43" s="122"/>
      <c r="AC43" s="76"/>
      <c r="AD43" s="121"/>
      <c r="AE43" s="71"/>
      <c r="AF43" s="180" t="str">
        <f>'Sprachen &amp; Rückgabewerte(5)'!H36</f>
        <v>eloxiert (Qualanod):</v>
      </c>
      <c r="AG43" s="71"/>
      <c r="AH43" s="71"/>
      <c r="AI43" s="71"/>
      <c r="AJ43" s="71"/>
      <c r="AK43" s="71"/>
      <c r="AL43" s="71"/>
      <c r="AM43" s="561"/>
      <c r="AN43" s="561"/>
      <c r="AO43" s="561"/>
      <c r="AP43" s="561"/>
      <c r="AQ43" s="561"/>
      <c r="AR43" s="561"/>
      <c r="AS43" s="561"/>
      <c r="AT43" s="114"/>
      <c r="AU43" s="114"/>
      <c r="AW43" s="205">
        <f>COUNTBLANK(AW33:AW42)</f>
        <v>10</v>
      </c>
      <c r="AX43" s="206">
        <f>COUNTBLANK(AX33:AX42)</f>
        <v>10</v>
      </c>
      <c r="AY43" s="206">
        <f>AW43-AX43</f>
        <v>0</v>
      </c>
      <c r="AZ43" s="83"/>
      <c r="BA43" s="115"/>
    </row>
    <row r="44" spans="2:53" ht="12.75" customHeight="1" x14ac:dyDescent="0.2">
      <c r="B44" s="59"/>
      <c r="C44" s="59"/>
      <c r="D44" s="71"/>
      <c r="E44" s="71"/>
      <c r="F44" s="71"/>
      <c r="G44" s="71"/>
      <c r="H44" s="71"/>
      <c r="I44" s="71"/>
      <c r="J44" s="71"/>
      <c r="K44" s="71"/>
      <c r="L44" s="71"/>
      <c r="M44" s="71"/>
      <c r="N44" s="71"/>
      <c r="O44" s="71"/>
      <c r="P44" s="686" t="str">
        <f>'Sprachen &amp; Rückgabewerte(5)'!$H$33</f>
        <v>Griffhöhe:</v>
      </c>
      <c r="Q44" s="686"/>
      <c r="R44" s="686"/>
      <c r="S44" s="686"/>
      <c r="T44" s="71"/>
      <c r="U44" s="71"/>
      <c r="V44" s="71"/>
      <c r="W44" s="71"/>
      <c r="X44" s="71"/>
      <c r="Y44" s="71"/>
      <c r="Z44" s="591"/>
      <c r="AA44" s="71"/>
      <c r="AB44" s="122"/>
      <c r="AC44" s="76"/>
      <c r="AD44" s="121"/>
      <c r="AE44" s="71"/>
      <c r="AF44" s="433"/>
      <c r="AG44" s="72"/>
      <c r="AH44" s="71"/>
      <c r="AI44" s="71"/>
      <c r="AJ44" s="71"/>
      <c r="AK44" s="71"/>
      <c r="AL44" s="71"/>
      <c r="AM44" s="431"/>
      <c r="AN44" s="433"/>
      <c r="AO44" s="570"/>
      <c r="AP44" s="570"/>
      <c r="AQ44" s="570"/>
      <c r="AR44" s="570"/>
      <c r="AS44" s="570"/>
      <c r="AT44" s="114"/>
      <c r="AU44" s="114"/>
    </row>
    <row r="45" spans="2:53" ht="12.75" customHeight="1" x14ac:dyDescent="0.2">
      <c r="B45" s="59"/>
      <c r="C45" s="59"/>
      <c r="D45" s="71"/>
      <c r="E45" s="71"/>
      <c r="F45" s="71"/>
      <c r="G45" s="71"/>
      <c r="H45" s="71"/>
      <c r="I45" s="71"/>
      <c r="J45" s="71"/>
      <c r="K45" s="71"/>
      <c r="L45" s="71"/>
      <c r="M45" s="71"/>
      <c r="N45" s="71"/>
      <c r="O45" s="71"/>
      <c r="P45" s="686"/>
      <c r="Q45" s="686"/>
      <c r="R45" s="686"/>
      <c r="S45" s="686"/>
      <c r="T45" s="692"/>
      <c r="U45" s="693"/>
      <c r="V45" s="72" t="s">
        <v>179</v>
      </c>
      <c r="W45" s="71"/>
      <c r="X45" s="71"/>
      <c r="Y45" s="71"/>
      <c r="Z45" s="592"/>
      <c r="AA45" s="71"/>
      <c r="AB45" s="122"/>
      <c r="AC45" s="76"/>
      <c r="AD45" s="121"/>
      <c r="AE45" s="71"/>
      <c r="AF45" s="431" t="str">
        <f>'Sprachen &amp; Rückgabewerte(5)'!$H$39</f>
        <v>pulverbeschichtet:</v>
      </c>
      <c r="AG45" s="152"/>
      <c r="AH45" s="152"/>
      <c r="AI45" s="152"/>
      <c r="AJ45" s="152"/>
      <c r="AK45" s="152"/>
      <c r="AL45" s="152"/>
      <c r="AM45" s="614"/>
      <c r="AN45" s="615"/>
      <c r="AO45" s="615"/>
      <c r="AP45" s="615"/>
      <c r="AQ45" s="615"/>
      <c r="AR45" s="615"/>
      <c r="AS45" s="616"/>
      <c r="AT45" s="114"/>
      <c r="AU45" s="204"/>
      <c r="AV45" s="113"/>
      <c r="AW45" s="111"/>
      <c r="AX45" s="113"/>
    </row>
    <row r="46" spans="2:53" ht="12.75" customHeight="1" x14ac:dyDescent="0.2">
      <c r="B46" s="59"/>
      <c r="C46" s="59"/>
      <c r="D46" s="71"/>
      <c r="E46" s="71"/>
      <c r="F46" s="71"/>
      <c r="G46" s="71"/>
      <c r="H46" s="71"/>
      <c r="I46" s="681"/>
      <c r="J46" s="681"/>
      <c r="K46" s="681"/>
      <c r="L46" s="163" t="s">
        <v>193</v>
      </c>
      <c r="M46" s="71"/>
      <c r="N46" s="71"/>
      <c r="O46" s="71"/>
      <c r="P46" s="71"/>
      <c r="Q46" s="71"/>
      <c r="R46" s="71"/>
      <c r="S46" s="71"/>
      <c r="T46" s="71"/>
      <c r="U46" s="71"/>
      <c r="V46" s="71"/>
      <c r="W46" s="71"/>
      <c r="X46" s="71"/>
      <c r="Y46" s="71"/>
      <c r="Z46" s="690" t="str">
        <f>'Sprachen &amp; Rückgabewerte(5)'!$H$34</f>
        <v xml:space="preserve">Höhe = </v>
      </c>
      <c r="AA46" s="71"/>
      <c r="AB46" s="122"/>
      <c r="AC46" s="76"/>
      <c r="AD46" s="121"/>
      <c r="AE46" s="71"/>
      <c r="AF46" s="431" t="str">
        <f>'Sprachen &amp; Rückgabewerte(5)'!$H$40</f>
        <v>Vorbehandlung:</v>
      </c>
      <c r="AG46" s="431"/>
      <c r="AH46" s="71"/>
      <c r="AI46" s="71"/>
      <c r="AJ46" s="71"/>
      <c r="AK46" s="71"/>
      <c r="AL46" s="71"/>
      <c r="AM46" s="611"/>
      <c r="AN46" s="612"/>
      <c r="AO46" s="612"/>
      <c r="AP46" s="612"/>
      <c r="AQ46" s="612"/>
      <c r="AR46" s="612"/>
      <c r="AS46" s="613"/>
      <c r="AT46" s="114"/>
      <c r="AU46" s="114"/>
      <c r="AW46" s="236" t="str">
        <f>'Sprachen &amp; Rückgabewerte(5)'!$H$150</f>
        <v>Farbe Panele:</v>
      </c>
      <c r="AX46" s="114"/>
    </row>
    <row r="47" spans="2:53" ht="12.75" customHeight="1" x14ac:dyDescent="0.2">
      <c r="B47" s="59"/>
      <c r="C47" s="59"/>
      <c r="D47" s="71"/>
      <c r="E47" s="71"/>
      <c r="F47" s="71"/>
      <c r="G47" s="71"/>
      <c r="H47" s="71"/>
      <c r="I47" s="681"/>
      <c r="J47" s="681"/>
      <c r="K47" s="681"/>
      <c r="L47" s="163" t="s">
        <v>193</v>
      </c>
      <c r="M47" s="71"/>
      <c r="N47" s="71"/>
      <c r="O47" s="430"/>
      <c r="P47" s="71"/>
      <c r="Q47" s="71"/>
      <c r="R47" s="71"/>
      <c r="S47" s="71"/>
      <c r="T47" s="71"/>
      <c r="U47" s="71"/>
      <c r="V47" s="71"/>
      <c r="W47" s="71"/>
      <c r="X47" s="71"/>
      <c r="Y47" s="71"/>
      <c r="Z47" s="691"/>
      <c r="AA47" s="430"/>
      <c r="AB47" s="122"/>
      <c r="AC47" s="77"/>
      <c r="AD47" s="121"/>
      <c r="AE47" s="71"/>
      <c r="AF47" s="431" t="str">
        <f>'Sprachen &amp; Rückgabewerte(5)'!$H$176</f>
        <v>Pulverlack Klasse:</v>
      </c>
      <c r="AG47" s="71"/>
      <c r="AH47" s="71"/>
      <c r="AI47" s="71"/>
      <c r="AJ47" s="71"/>
      <c r="AK47" s="71"/>
      <c r="AL47" s="71"/>
      <c r="AM47" s="607"/>
      <c r="AN47" s="608"/>
      <c r="AO47" s="608"/>
      <c r="AP47" s="608"/>
      <c r="AQ47" s="608"/>
      <c r="AR47" s="608"/>
      <c r="AS47" s="609"/>
      <c r="AT47" s="114"/>
      <c r="AU47" s="114"/>
      <c r="AW47" s="59"/>
      <c r="AX47" s="114"/>
    </row>
    <row r="48" spans="2:53" ht="12.75" customHeight="1" x14ac:dyDescent="0.2">
      <c r="B48" s="59"/>
      <c r="C48" s="59"/>
      <c r="D48" s="71"/>
      <c r="E48" s="71"/>
      <c r="F48" s="71"/>
      <c r="G48" s="71"/>
      <c r="H48" s="71"/>
      <c r="I48" s="685"/>
      <c r="J48" s="685"/>
      <c r="K48" s="685"/>
      <c r="L48" s="163" t="s">
        <v>193</v>
      </c>
      <c r="M48" s="71"/>
      <c r="N48" s="71"/>
      <c r="O48" s="430"/>
      <c r="P48" s="71"/>
      <c r="Q48" s="71"/>
      <c r="R48" s="71"/>
      <c r="S48" s="71"/>
      <c r="T48" s="71"/>
      <c r="U48" s="71"/>
      <c r="V48" s="71"/>
      <c r="W48" s="71"/>
      <c r="X48" s="71"/>
      <c r="Y48" s="71"/>
      <c r="Z48" s="691"/>
      <c r="AA48" s="430"/>
      <c r="AB48" s="122"/>
      <c r="AC48" s="77"/>
      <c r="AD48" s="121"/>
      <c r="AE48" s="71"/>
      <c r="AF48" s="605" t="str">
        <f>'Sprachen &amp; Rückgabewerte(5)'!$H$91</f>
        <v>Farbe Laufschiene + Schraubenarretierungen:</v>
      </c>
      <c r="AG48" s="605"/>
      <c r="AH48" s="605"/>
      <c r="AI48" s="605"/>
      <c r="AJ48" s="605"/>
      <c r="AK48" s="605"/>
      <c r="AL48" s="605"/>
      <c r="AM48" s="60"/>
      <c r="AN48" s="60"/>
      <c r="AO48" s="431"/>
      <c r="AP48" s="71"/>
      <c r="AQ48" s="71"/>
      <c r="AR48" s="71"/>
      <c r="AS48" s="71"/>
      <c r="AT48" s="114"/>
      <c r="AU48" s="114"/>
      <c r="AW48" s="559"/>
      <c r="AX48" s="560"/>
    </row>
    <row r="49" spans="2:50" ht="12.75" customHeight="1" x14ac:dyDescent="0.2">
      <c r="B49" s="59"/>
      <c r="C49" s="59"/>
      <c r="D49" s="71"/>
      <c r="E49" s="71"/>
      <c r="F49" s="71"/>
      <c r="G49" s="71"/>
      <c r="H49" s="74" t="str">
        <f>'Sprachen &amp; Rückgabewerte(5)'!$H$32</f>
        <v>Breite =</v>
      </c>
      <c r="I49" s="682"/>
      <c r="J49" s="683"/>
      <c r="K49" s="684"/>
      <c r="L49" s="72" t="s">
        <v>179</v>
      </c>
      <c r="M49" s="71"/>
      <c r="N49" s="71"/>
      <c r="O49" s="430"/>
      <c r="P49" s="71"/>
      <c r="Q49" s="71"/>
      <c r="R49" s="71"/>
      <c r="S49" s="71"/>
      <c r="T49" s="71"/>
      <c r="U49" s="71"/>
      <c r="V49" s="71"/>
      <c r="W49" s="71"/>
      <c r="X49" s="71"/>
      <c r="Y49" s="71"/>
      <c r="Z49" s="691"/>
      <c r="AA49" s="430"/>
      <c r="AB49" s="122"/>
      <c r="AC49" s="77"/>
      <c r="AD49" s="121"/>
      <c r="AE49" s="71"/>
      <c r="AF49" s="605"/>
      <c r="AG49" s="605"/>
      <c r="AH49" s="605"/>
      <c r="AI49" s="605"/>
      <c r="AJ49" s="605"/>
      <c r="AK49" s="605"/>
      <c r="AL49" s="605"/>
      <c r="AM49" s="687"/>
      <c r="AN49" s="688"/>
      <c r="AO49" s="688"/>
      <c r="AP49" s="689"/>
      <c r="AQ49" s="71"/>
      <c r="AR49" s="71"/>
      <c r="AS49" s="71"/>
      <c r="AT49" s="114"/>
      <c r="AU49" s="114"/>
      <c r="AW49" s="67"/>
      <c r="AX49" s="115"/>
    </row>
    <row r="50" spans="2:50" ht="12.75" customHeight="1" x14ac:dyDescent="0.2">
      <c r="B50" s="59"/>
      <c r="C50" s="59"/>
      <c r="D50" s="71"/>
      <c r="E50" s="71"/>
      <c r="F50" s="71"/>
      <c r="G50" s="71"/>
      <c r="H50" s="60"/>
      <c r="I50" s="60"/>
      <c r="J50" s="60"/>
      <c r="K50" s="60"/>
      <c r="L50" s="60"/>
      <c r="M50" s="71"/>
      <c r="N50" s="71"/>
      <c r="O50" s="71"/>
      <c r="P50" s="71"/>
      <c r="Q50" s="71"/>
      <c r="R50" s="71"/>
      <c r="S50" s="71"/>
      <c r="T50" s="71"/>
      <c r="U50" s="71"/>
      <c r="V50" s="71"/>
      <c r="W50" s="71"/>
      <c r="X50" s="71"/>
      <c r="Y50" s="71"/>
      <c r="Z50" s="691"/>
      <c r="AA50" s="71"/>
      <c r="AB50" s="122"/>
      <c r="AC50" s="77"/>
      <c r="AD50" s="123"/>
      <c r="AE50" s="124"/>
      <c r="AF50" s="606"/>
      <c r="AG50" s="606"/>
      <c r="AH50" s="606"/>
      <c r="AI50" s="606"/>
      <c r="AJ50" s="606"/>
      <c r="AK50" s="606"/>
      <c r="AL50" s="606"/>
      <c r="AM50" s="140"/>
      <c r="AN50" s="124"/>
      <c r="AO50" s="124"/>
      <c r="AP50" s="124"/>
      <c r="AQ50" s="124"/>
      <c r="AR50" s="124"/>
      <c r="AS50" s="124"/>
      <c r="AT50" s="115"/>
      <c r="AU50" s="114"/>
    </row>
    <row r="51" spans="2:50" ht="12.75" customHeight="1" x14ac:dyDescent="0.2">
      <c r="B51" s="59"/>
      <c r="C51" s="59"/>
      <c r="D51" s="71"/>
      <c r="E51" s="71"/>
      <c r="F51" s="71"/>
      <c r="G51" s="71"/>
      <c r="H51" s="60"/>
      <c r="I51" s="60"/>
      <c r="J51" s="60"/>
      <c r="K51" s="60"/>
      <c r="L51" s="60"/>
      <c r="M51" s="71"/>
      <c r="N51" s="71"/>
      <c r="O51" s="71"/>
      <c r="P51" s="71"/>
      <c r="Q51" s="71"/>
      <c r="R51" s="71"/>
      <c r="S51" s="71"/>
      <c r="T51" s="71"/>
      <c r="U51" s="71"/>
      <c r="V51" s="71"/>
      <c r="W51" s="71"/>
      <c r="X51" s="71"/>
      <c r="Y51" s="71"/>
      <c r="Z51" s="691"/>
      <c r="AA51" s="71"/>
      <c r="AB51" s="122"/>
      <c r="AC51" s="77"/>
      <c r="AD51" s="71"/>
      <c r="AE51" s="71"/>
      <c r="AF51" s="71"/>
      <c r="AG51" s="71"/>
      <c r="AH51" s="71"/>
      <c r="AI51" s="71"/>
      <c r="AJ51" s="71"/>
      <c r="AK51" s="71"/>
      <c r="AL51" s="71"/>
      <c r="AM51" s="431"/>
      <c r="AN51" s="71"/>
      <c r="AO51" s="71"/>
      <c r="AP51" s="71"/>
      <c r="AQ51" s="71"/>
      <c r="AR51" s="71"/>
      <c r="AS51" s="71"/>
      <c r="AT51" s="60"/>
      <c r="AU51" s="114"/>
    </row>
    <row r="52" spans="2:50" ht="12.75" customHeight="1" x14ac:dyDescent="0.2">
      <c r="B52" s="59"/>
      <c r="C52" s="59"/>
      <c r="D52" s="71"/>
      <c r="E52" s="71"/>
      <c r="F52" s="71"/>
      <c r="G52" s="71"/>
      <c r="H52" s="71"/>
      <c r="I52" s="74"/>
      <c r="J52" s="71"/>
      <c r="K52" s="71"/>
      <c r="L52" s="72"/>
      <c r="M52" s="71"/>
      <c r="N52" s="71"/>
      <c r="O52" s="71"/>
      <c r="P52" s="71"/>
      <c r="Q52" s="71"/>
      <c r="R52" s="71"/>
      <c r="S52" s="71"/>
      <c r="T52" s="71"/>
      <c r="U52" s="71"/>
      <c r="V52" s="71"/>
      <c r="W52" s="71"/>
      <c r="X52" s="71"/>
      <c r="Y52" s="71"/>
      <c r="Z52" s="691"/>
      <c r="AA52" s="71"/>
      <c r="AB52" s="122"/>
      <c r="AC52" s="77"/>
      <c r="AD52" s="118"/>
      <c r="AE52" s="120" t="str">
        <f>'Sprachen &amp; Rückgabewerte(5)'!$H$42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59"/>
      <c r="C53" s="59"/>
      <c r="D53" s="71"/>
      <c r="E53" s="71"/>
      <c r="F53" s="71"/>
      <c r="G53" s="71"/>
      <c r="H53" s="60"/>
      <c r="I53" s="60"/>
      <c r="J53" s="60"/>
      <c r="K53" s="60"/>
      <c r="L53" s="71"/>
      <c r="M53" s="72"/>
      <c r="N53" s="71"/>
      <c r="O53" s="71"/>
      <c r="P53" s="71"/>
      <c r="Q53" s="71"/>
      <c r="R53" s="71"/>
      <c r="S53" s="71"/>
      <c r="T53" s="71"/>
      <c r="U53" s="71"/>
      <c r="V53" s="71"/>
      <c r="W53" s="71"/>
      <c r="X53" s="71"/>
      <c r="Y53" s="71"/>
      <c r="Z53" s="691"/>
      <c r="AA53" s="71"/>
      <c r="AB53" s="122"/>
      <c r="AC53" s="77"/>
      <c r="AD53" s="121"/>
      <c r="AE53" s="567"/>
      <c r="AF53" s="568"/>
      <c r="AG53" s="569"/>
      <c r="AH53" s="71" t="str">
        <f>'Sprachen &amp; Rückgabewerte(5)'!$W$1</f>
        <v>Ug=</v>
      </c>
      <c r="AI53" s="610">
        <f>LOOKUP($AE$53,'Sprachen &amp; Rückgabewerte(5)'!$V$3:$V$35,'Sprachen &amp; Rückgabewerte(5)'!W3:W35)</f>
        <v>0</v>
      </c>
      <c r="AJ53" s="610"/>
      <c r="AK53" s="694" t="str">
        <f>'Sprachen &amp; Rückgabewerte(5)'!$X$1</f>
        <v>Lt=</v>
      </c>
      <c r="AL53" s="694"/>
      <c r="AM53" s="695">
        <f>LOOKUP(AE53,'Sprachen &amp; Rückgabewerte(5)'!V3:V35,'Sprachen &amp; Rückgabewerte(5)'!X3:X35)</f>
        <v>0</v>
      </c>
      <c r="AN53" s="695"/>
      <c r="AO53" s="210" t="str">
        <f>'Sprachen &amp; Rückgabewerte(5)'!$Y$1</f>
        <v>g=</v>
      </c>
      <c r="AP53" s="695">
        <f>LOOKUP(AE53,'Sprachen &amp; Rückgabewerte(5)'!V3:V35,'Sprachen &amp; Rückgabewerte(5)'!Y3:Y35)</f>
        <v>0</v>
      </c>
      <c r="AQ53" s="695"/>
      <c r="AR53" s="71"/>
      <c r="AS53" s="71"/>
      <c r="AT53" s="114"/>
      <c r="AU53" s="114"/>
    </row>
    <row r="54" spans="2:50" ht="12.75" customHeight="1" x14ac:dyDescent="0.2">
      <c r="B54" s="59"/>
      <c r="C54" s="59"/>
      <c r="D54" s="71"/>
      <c r="E54" s="71"/>
      <c r="F54" s="71"/>
      <c r="G54" s="71"/>
      <c r="H54" s="71"/>
      <c r="I54" s="71"/>
      <c r="J54" s="71"/>
      <c r="K54" s="71"/>
      <c r="L54" s="71"/>
      <c r="M54" s="71"/>
      <c r="N54" s="71"/>
      <c r="O54" s="71"/>
      <c r="P54" s="71"/>
      <c r="Q54" s="71"/>
      <c r="R54" s="71"/>
      <c r="S54" s="71"/>
      <c r="T54" s="71"/>
      <c r="U54" s="71"/>
      <c r="V54" s="71"/>
      <c r="W54" s="71"/>
      <c r="X54" s="71"/>
      <c r="Y54" s="71"/>
      <c r="Z54" s="691"/>
      <c r="AA54" s="71"/>
      <c r="AB54" s="122"/>
      <c r="AC54" s="71"/>
      <c r="AD54" s="121"/>
      <c r="AE54" s="71"/>
      <c r="AF54" s="71"/>
      <c r="AG54" s="71"/>
      <c r="AH54" s="72" t="str">
        <f>IF(AT52=1,'Sprachen &amp; Rückgabewerte(5)'!H158,LOOKUP(AE53,'Sprachen &amp; Rückgabewerte(5)'!V3:V35,'Sprachen &amp; Rückgabewerte(5)'!Z3:Z35))</f>
        <v>Glastyp wählen</v>
      </c>
      <c r="AI54" s="71"/>
      <c r="AJ54" s="71"/>
      <c r="AK54" s="71"/>
      <c r="AL54" s="71"/>
      <c r="AM54" s="431"/>
      <c r="AN54" s="78"/>
      <c r="AO54" s="78"/>
      <c r="AP54" s="71"/>
      <c r="AQ54" s="71"/>
      <c r="AR54" s="71"/>
      <c r="AS54" s="71"/>
      <c r="AT54" s="114"/>
      <c r="AU54" s="114"/>
    </row>
    <row r="55" spans="2:50" ht="12.75" customHeight="1" x14ac:dyDescent="0.2">
      <c r="B55" s="59"/>
      <c r="C55" s="59"/>
      <c r="D55" s="71"/>
      <c r="E55" s="71"/>
      <c r="F55" s="71"/>
      <c r="G55" s="71"/>
      <c r="H55" s="71"/>
      <c r="I55" s="71"/>
      <c r="J55" s="71"/>
      <c r="K55" s="71"/>
      <c r="L55" s="71"/>
      <c r="M55" s="71"/>
      <c r="N55" s="71"/>
      <c r="O55" s="71"/>
      <c r="P55" s="71"/>
      <c r="Q55" s="71"/>
      <c r="R55" s="71"/>
      <c r="S55" s="71"/>
      <c r="T55" s="71"/>
      <c r="U55" s="71"/>
      <c r="V55" s="71"/>
      <c r="W55" s="71"/>
      <c r="X55" s="71"/>
      <c r="Y55" s="71"/>
      <c r="Z55" s="71"/>
      <c r="AA55" s="71"/>
      <c r="AB55" s="122"/>
      <c r="AC55" s="71"/>
      <c r="AD55" s="121"/>
      <c r="AE55" s="210"/>
      <c r="AF55" s="210"/>
      <c r="AG55" s="210"/>
      <c r="AH55" s="210"/>
      <c r="AI55" s="210"/>
      <c r="AJ55" s="210"/>
      <c r="AK55" s="210"/>
      <c r="AL55" s="210"/>
      <c r="AM55" s="210"/>
      <c r="AN55" s="210"/>
      <c r="AO55" s="328"/>
      <c r="AP55" s="328"/>
      <c r="AQ55" s="71"/>
      <c r="AR55" s="79"/>
      <c r="AS55" s="71"/>
      <c r="AT55" s="114"/>
      <c r="AU55" s="114"/>
    </row>
    <row r="56" spans="2:50" ht="12.75" customHeight="1" x14ac:dyDescent="0.2">
      <c r="B56" s="59"/>
      <c r="C56" s="59"/>
      <c r="D56" s="71"/>
      <c r="E56" s="71"/>
      <c r="F56" s="71"/>
      <c r="G56" s="71"/>
      <c r="H56" s="71"/>
      <c r="I56" s="71"/>
      <c r="J56" s="71"/>
      <c r="K56" s="71"/>
      <c r="L56" s="71"/>
      <c r="M56" s="71"/>
      <c r="N56" s="71"/>
      <c r="O56" s="71"/>
      <c r="P56" s="71"/>
      <c r="Q56" s="71"/>
      <c r="R56" s="71"/>
      <c r="S56" s="71"/>
      <c r="T56" s="71"/>
      <c r="U56" s="71"/>
      <c r="V56" s="71"/>
      <c r="W56" s="71"/>
      <c r="X56" s="71"/>
      <c r="Y56" s="71"/>
      <c r="Z56" s="71"/>
      <c r="AA56" s="71"/>
      <c r="AB56" s="122"/>
      <c r="AC56" s="71"/>
      <c r="AD56" s="121"/>
      <c r="AE56" s="71"/>
      <c r="AF56" s="132"/>
      <c r="AG56" s="71"/>
      <c r="AH56" s="71"/>
      <c r="AI56" s="71"/>
      <c r="AJ56" s="71"/>
      <c r="AK56" s="71"/>
      <c r="AL56" s="71"/>
      <c r="AM56" s="71"/>
      <c r="AN56" s="132"/>
      <c r="AQ56" s="71"/>
      <c r="AS56" s="79"/>
      <c r="AT56" s="114"/>
      <c r="AU56" s="114"/>
    </row>
    <row r="57" spans="2:50" ht="12.75" customHeight="1" x14ac:dyDescent="0.2">
      <c r="B57" s="59"/>
      <c r="C57" s="59"/>
      <c r="D57" s="71"/>
      <c r="E57" s="71"/>
      <c r="F57" s="71"/>
      <c r="G57" s="71"/>
      <c r="H57" s="71"/>
      <c r="I57" s="71"/>
      <c r="J57" s="71"/>
      <c r="K57" s="71"/>
      <c r="L57" s="71"/>
      <c r="M57" s="71"/>
      <c r="N57" s="71"/>
      <c r="O57" s="71"/>
      <c r="P57" s="71"/>
      <c r="Q57" s="71"/>
      <c r="R57" s="71"/>
      <c r="S57" s="71"/>
      <c r="T57" s="71"/>
      <c r="U57" s="71"/>
      <c r="V57" s="71"/>
      <c r="W57" s="71"/>
      <c r="X57" s="71"/>
      <c r="Y57" s="71"/>
      <c r="Z57" s="71"/>
      <c r="AA57" s="71"/>
      <c r="AB57" s="122"/>
      <c r="AC57" s="71"/>
      <c r="AD57" s="121"/>
      <c r="AE57" s="71"/>
      <c r="AF57" s="132" t="str">
        <f>'Sprachen &amp; Rückgabewerte(5)'!$H$45</f>
        <v>Speziell:</v>
      </c>
      <c r="AG57" s="71"/>
      <c r="AH57" s="71"/>
      <c r="AI57" s="577"/>
      <c r="AJ57" s="578"/>
      <c r="AK57" s="578"/>
      <c r="AL57" s="578"/>
      <c r="AM57" s="578"/>
      <c r="AN57" s="578"/>
      <c r="AO57" s="578"/>
      <c r="AP57" s="578"/>
      <c r="AQ57" s="578"/>
      <c r="AR57" s="578"/>
      <c r="AS57" s="579"/>
      <c r="AT57" s="114"/>
      <c r="AU57" s="114"/>
    </row>
    <row r="58" spans="2:50" ht="12.75" customHeight="1" x14ac:dyDescent="0.2">
      <c r="B58" s="59"/>
      <c r="C58" s="59"/>
      <c r="D58" s="71"/>
      <c r="E58" s="71"/>
      <c r="F58" s="71"/>
      <c r="G58" s="71"/>
      <c r="H58" s="71"/>
      <c r="I58" s="74"/>
      <c r="J58" s="72"/>
      <c r="K58" s="72"/>
      <c r="L58" s="72"/>
      <c r="M58" s="72"/>
      <c r="N58" s="72"/>
      <c r="O58" s="71"/>
      <c r="P58" s="71"/>
      <c r="Q58" s="71"/>
      <c r="R58" s="71"/>
      <c r="S58" s="71"/>
      <c r="T58" s="71"/>
      <c r="U58" s="71"/>
      <c r="V58" s="71"/>
      <c r="W58" s="71"/>
      <c r="X58" s="71"/>
      <c r="Y58" s="71"/>
      <c r="Z58" s="71"/>
      <c r="AA58" s="71"/>
      <c r="AB58" s="122"/>
      <c r="AC58" s="71"/>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59"/>
      <c r="C59" s="59"/>
      <c r="D59" s="71"/>
      <c r="E59" s="71"/>
      <c r="F59" s="71"/>
      <c r="G59" s="71"/>
      <c r="H59" s="71"/>
      <c r="I59" s="74"/>
      <c r="J59" s="72"/>
      <c r="K59" s="72"/>
      <c r="L59" s="72"/>
      <c r="M59" s="72"/>
      <c r="N59" s="72"/>
      <c r="O59" s="71"/>
      <c r="P59" s="71"/>
      <c r="Q59" s="71"/>
      <c r="R59" s="71"/>
      <c r="S59" s="71"/>
      <c r="T59" s="71"/>
      <c r="U59" s="71"/>
      <c r="V59" s="71"/>
      <c r="W59" s="71"/>
      <c r="X59" s="71"/>
      <c r="Y59" s="71"/>
      <c r="Z59" s="71"/>
      <c r="AA59" s="71"/>
      <c r="AB59" s="122"/>
      <c r="AC59" s="71"/>
      <c r="AD59" s="71"/>
      <c r="AE59" s="71"/>
      <c r="AF59" s="71"/>
      <c r="AG59" s="71"/>
      <c r="AH59" s="71"/>
      <c r="AI59" s="78"/>
      <c r="AJ59" s="78"/>
      <c r="AK59" s="78"/>
      <c r="AL59" s="78"/>
      <c r="AM59" s="78"/>
      <c r="AN59" s="78"/>
      <c r="AO59" s="78"/>
      <c r="AP59" s="78"/>
      <c r="AQ59" s="78"/>
      <c r="AR59" s="78"/>
      <c r="AS59" s="78"/>
      <c r="AT59" s="60"/>
      <c r="AU59" s="114"/>
    </row>
    <row r="60" spans="2:50" ht="12.75" customHeight="1" x14ac:dyDescent="0.2">
      <c r="B60" s="59"/>
      <c r="C60" s="67"/>
      <c r="D60" s="124"/>
      <c r="E60" s="124"/>
      <c r="F60" s="183" t="str">
        <f>'Sprachen &amp; Rückgabewerte(5)'!$H$110</f>
        <v>KABA (22)</v>
      </c>
      <c r="G60" s="124"/>
      <c r="H60" s="124"/>
      <c r="I60" s="124"/>
      <c r="J60" s="124"/>
      <c r="K60" s="124"/>
      <c r="L60" s="183" t="str">
        <f>'Sprachen &amp; Rückgabewerte(5)'!$H$111</f>
        <v>PZ / Euro (17)</v>
      </c>
      <c r="M60" s="124"/>
      <c r="N60" s="124"/>
      <c r="O60" s="124"/>
      <c r="P60" s="124"/>
      <c r="Q60" s="124"/>
      <c r="R60" s="124"/>
      <c r="S60" s="124"/>
      <c r="T60" s="124"/>
      <c r="U60" s="124"/>
      <c r="V60" s="124"/>
      <c r="W60" s="124"/>
      <c r="X60" s="124"/>
      <c r="Y60" s="124"/>
      <c r="Z60" s="124"/>
      <c r="AA60" s="154"/>
      <c r="AB60" s="125"/>
      <c r="AC60" s="71"/>
      <c r="AD60" s="118"/>
      <c r="AE60" s="120" t="str">
        <f>'Sprachen &amp; Rückgabewerte(5)'!$H$64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59"/>
      <c r="C61" s="60"/>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121"/>
      <c r="AE61" s="71"/>
      <c r="AF61" s="80"/>
      <c r="AG61" s="71"/>
      <c r="AH61" s="71"/>
      <c r="AI61" s="71"/>
      <c r="AJ61" s="71"/>
      <c r="AK61" s="71"/>
      <c r="AL61" s="71"/>
      <c r="AM61" s="431"/>
      <c r="AN61" s="71"/>
      <c r="AO61" s="71"/>
      <c r="AP61" s="71"/>
      <c r="AQ61" s="71"/>
      <c r="AR61" s="71"/>
      <c r="AS61" s="71"/>
      <c r="AT61" s="114"/>
      <c r="AU61" s="114"/>
    </row>
    <row r="62" spans="2:50" ht="12.75" customHeight="1" x14ac:dyDescent="0.2">
      <c r="B62" s="59"/>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33"/>
      <c r="AC62" s="71"/>
      <c r="AD62" s="121"/>
      <c r="AE62" s="71"/>
      <c r="AF62" s="80"/>
      <c r="AG62" s="71"/>
      <c r="AH62" s="71"/>
      <c r="AI62" s="71"/>
      <c r="AJ62" s="71"/>
      <c r="AK62" s="71"/>
      <c r="AL62" s="71"/>
      <c r="AM62" s="431"/>
      <c r="AN62" s="71"/>
      <c r="AO62" s="71"/>
      <c r="AP62" s="71"/>
      <c r="AQ62" s="71"/>
      <c r="AR62" s="71"/>
      <c r="AS62" s="71"/>
      <c r="AT62" s="114"/>
      <c r="AU62" s="114"/>
    </row>
    <row r="63" spans="2:50" ht="12.75" customHeight="1" x14ac:dyDescent="0.2">
      <c r="B63" s="59"/>
      <c r="C63" s="59"/>
      <c r="D63" s="71"/>
      <c r="E63" s="71"/>
      <c r="F63" s="60"/>
      <c r="G63" s="71"/>
      <c r="H63" s="71"/>
      <c r="I63" s="71"/>
      <c r="J63" s="71"/>
      <c r="K63" s="71"/>
      <c r="L63" s="60"/>
      <c r="M63" s="71"/>
      <c r="N63" s="71"/>
      <c r="O63" s="71"/>
      <c r="P63" s="71"/>
      <c r="Q63" s="71"/>
      <c r="R63" s="71"/>
      <c r="S63" s="71"/>
      <c r="T63" s="71"/>
      <c r="U63" s="71"/>
      <c r="V63" s="71"/>
      <c r="W63" s="71"/>
      <c r="X63" s="71"/>
      <c r="Y63" s="71"/>
      <c r="Z63" s="71"/>
      <c r="AA63" s="71"/>
      <c r="AB63" s="122"/>
      <c r="AC63" s="71"/>
      <c r="AD63" s="121"/>
      <c r="AE63" s="71"/>
      <c r="AF63" s="71"/>
      <c r="AG63" s="71"/>
      <c r="AH63" s="71"/>
      <c r="AI63" s="71"/>
      <c r="AJ63" s="71"/>
      <c r="AK63" s="71"/>
      <c r="AL63" s="71"/>
      <c r="AM63" s="431"/>
      <c r="AN63" s="71"/>
      <c r="AO63" s="71"/>
      <c r="AP63" s="71"/>
      <c r="AQ63" s="71"/>
      <c r="AR63" s="71"/>
      <c r="AS63" s="71"/>
      <c r="AT63" s="114"/>
      <c r="AU63" s="114"/>
    </row>
    <row r="64" spans="2:50" ht="12.75" customHeight="1" x14ac:dyDescent="0.2">
      <c r="B64" s="59"/>
      <c r="C64" s="59"/>
      <c r="D64" s="71"/>
      <c r="E64" s="72"/>
      <c r="F64" s="72"/>
      <c r="G64" s="71"/>
      <c r="H64" s="71"/>
      <c r="I64" s="71"/>
      <c r="J64" s="71"/>
      <c r="K64" s="71"/>
      <c r="L64" s="72"/>
      <c r="M64" s="71"/>
      <c r="N64" s="71"/>
      <c r="O64" s="71"/>
      <c r="P64" s="71"/>
      <c r="Q64" s="71"/>
      <c r="R64" s="71"/>
      <c r="S64" s="71"/>
      <c r="T64" s="71"/>
      <c r="U64" s="71"/>
      <c r="V64" s="71"/>
      <c r="W64" s="71"/>
      <c r="X64" s="71"/>
      <c r="Y64" s="71"/>
      <c r="Z64" s="71"/>
      <c r="AA64" s="71"/>
      <c r="AB64" s="122"/>
      <c r="AC64" s="71"/>
      <c r="AD64" s="121"/>
      <c r="AE64" s="71"/>
      <c r="AF64" s="71"/>
      <c r="AG64" s="71"/>
      <c r="AH64" s="71"/>
      <c r="AI64" s="71"/>
      <c r="AJ64" s="71"/>
      <c r="AK64" s="71"/>
      <c r="AL64" s="71"/>
      <c r="AM64" s="431"/>
      <c r="AN64" s="71"/>
      <c r="AO64" s="71"/>
      <c r="AP64" s="71"/>
      <c r="AQ64" s="71"/>
      <c r="AR64" s="71"/>
      <c r="AS64" s="71"/>
      <c r="AT64" s="114"/>
      <c r="AU64" s="114"/>
    </row>
    <row r="65" spans="2:50" ht="12.75" customHeight="1" x14ac:dyDescent="0.2">
      <c r="B65" s="59"/>
      <c r="C65" s="59"/>
      <c r="D65" s="71"/>
      <c r="E65" s="71"/>
      <c r="F65" s="71"/>
      <c r="G65" s="71"/>
      <c r="H65" s="71"/>
      <c r="I65" s="71"/>
      <c r="J65" s="71"/>
      <c r="K65" s="71"/>
      <c r="L65" s="71"/>
      <c r="M65" s="71"/>
      <c r="N65" s="71"/>
      <c r="O65" s="71"/>
      <c r="P65" s="71"/>
      <c r="Q65" s="71"/>
      <c r="R65" s="71"/>
      <c r="S65" s="71"/>
      <c r="T65" s="71"/>
      <c r="U65" s="71"/>
      <c r="V65" s="71"/>
      <c r="W65" s="71"/>
      <c r="X65" s="71"/>
      <c r="Y65" s="71"/>
      <c r="Z65" s="71"/>
      <c r="AA65" s="71"/>
      <c r="AB65" s="122"/>
      <c r="AC65" s="71"/>
      <c r="AD65" s="121"/>
      <c r="AE65" s="71"/>
      <c r="AF65" s="71"/>
      <c r="AG65" s="71"/>
      <c r="AH65" s="71"/>
      <c r="AI65" s="71"/>
      <c r="AJ65" s="71"/>
      <c r="AK65" s="71"/>
      <c r="AL65" s="71"/>
      <c r="AM65" s="71"/>
      <c r="AN65" s="71"/>
      <c r="AO65" s="71"/>
      <c r="AP65" s="71"/>
      <c r="AQ65" s="71"/>
      <c r="AR65" s="71"/>
      <c r="AS65" s="71"/>
      <c r="AT65" s="114"/>
      <c r="AU65" s="114"/>
    </row>
    <row r="66" spans="2:50" ht="12.75" customHeight="1" x14ac:dyDescent="0.2">
      <c r="B66" s="59"/>
      <c r="C66" s="59"/>
      <c r="D66" s="71"/>
      <c r="E66" s="71"/>
      <c r="F66" s="71"/>
      <c r="G66" s="71"/>
      <c r="H66" s="71"/>
      <c r="I66" s="71"/>
      <c r="J66" s="71"/>
      <c r="K66" s="71"/>
      <c r="L66" s="71"/>
      <c r="M66" s="71"/>
      <c r="N66" s="71"/>
      <c r="O66" s="71"/>
      <c r="P66" s="71"/>
      <c r="Q66" s="71"/>
      <c r="R66" s="71"/>
      <c r="S66" s="71"/>
      <c r="T66" s="71"/>
      <c r="U66" s="71"/>
      <c r="V66" s="71"/>
      <c r="W66" s="71"/>
      <c r="X66" s="71"/>
      <c r="Y66" s="71"/>
      <c r="Z66" s="71"/>
      <c r="AA66" s="71"/>
      <c r="AB66" s="122"/>
      <c r="AC66" s="71"/>
      <c r="AD66" s="121"/>
      <c r="AE66" s="71"/>
      <c r="AF66" s="71"/>
      <c r="AG66" s="71"/>
      <c r="AH66" s="71"/>
      <c r="AI66" s="71"/>
      <c r="AJ66" s="71"/>
      <c r="AK66" s="71"/>
      <c r="AL66" s="71"/>
      <c r="AM66" s="71"/>
      <c r="AN66" s="71"/>
      <c r="AO66" s="71"/>
      <c r="AP66" s="71"/>
      <c r="AQ66" s="71"/>
      <c r="AR66" s="71"/>
      <c r="AS66" s="71"/>
      <c r="AT66" s="114"/>
      <c r="AU66" s="114"/>
    </row>
    <row r="67" spans="2:50" ht="12.75" customHeight="1" x14ac:dyDescent="0.2">
      <c r="B67" s="59"/>
      <c r="C67" s="59"/>
      <c r="D67" s="71"/>
      <c r="E67" s="71"/>
      <c r="F67" s="71"/>
      <c r="G67" s="71"/>
      <c r="H67" s="71"/>
      <c r="I67" s="71"/>
      <c r="J67" s="71"/>
      <c r="K67" s="71"/>
      <c r="L67" s="71"/>
      <c r="M67" s="71"/>
      <c r="N67" s="71"/>
      <c r="O67" s="71"/>
      <c r="P67" s="71"/>
      <c r="Q67" s="71"/>
      <c r="R67" s="71"/>
      <c r="S67" s="71"/>
      <c r="T67" s="71"/>
      <c r="U67" s="71"/>
      <c r="V67" s="71"/>
      <c r="W67" s="71"/>
      <c r="X67" s="71"/>
      <c r="Y67" s="71"/>
      <c r="Z67" s="71"/>
      <c r="AA67" s="71"/>
      <c r="AB67" s="122"/>
      <c r="AC67" s="71"/>
      <c r="AD67" s="121"/>
      <c r="AE67" s="71"/>
      <c r="AF67" s="71"/>
      <c r="AG67" s="71"/>
      <c r="AH67" s="71"/>
      <c r="AI67" s="71"/>
      <c r="AJ67" s="71"/>
      <c r="AK67" s="71"/>
      <c r="AL67" s="71"/>
      <c r="AM67" s="71"/>
      <c r="AN67" s="71"/>
      <c r="AO67" s="71"/>
      <c r="AP67" s="71"/>
      <c r="AQ67" s="71"/>
      <c r="AR67" s="71"/>
      <c r="AS67" s="71"/>
      <c r="AT67" s="114"/>
      <c r="AU67" s="114"/>
    </row>
    <row r="68" spans="2:50" ht="12.75" customHeight="1" x14ac:dyDescent="0.2">
      <c r="B68" s="59"/>
      <c r="C68" s="59"/>
      <c r="D68" s="71"/>
      <c r="E68" s="71"/>
      <c r="F68" s="71"/>
      <c r="G68" s="71"/>
      <c r="H68" s="71"/>
      <c r="I68" s="71"/>
      <c r="J68" s="71"/>
      <c r="K68" s="71"/>
      <c r="L68" s="71"/>
      <c r="M68" s="71"/>
      <c r="N68" s="71"/>
      <c r="O68" s="71"/>
      <c r="P68" s="71"/>
      <c r="Q68" s="71"/>
      <c r="R68" s="71"/>
      <c r="S68" s="71"/>
      <c r="T68" s="71"/>
      <c r="U68" s="71"/>
      <c r="V68" s="71"/>
      <c r="W68" s="71"/>
      <c r="X68" s="71"/>
      <c r="Y68" s="71"/>
      <c r="Z68" s="71"/>
      <c r="AA68" s="71"/>
      <c r="AB68" s="122"/>
      <c r="AC68" s="71"/>
      <c r="AD68" s="121"/>
      <c r="AE68" s="71"/>
      <c r="AF68" s="71"/>
      <c r="AG68" s="71"/>
      <c r="AH68" s="71"/>
      <c r="AI68" s="71"/>
      <c r="AJ68" s="71"/>
      <c r="AK68" s="71"/>
      <c r="AL68" s="71"/>
      <c r="AM68" s="71"/>
      <c r="AN68" s="71"/>
      <c r="AO68" s="71"/>
      <c r="AP68" s="71"/>
      <c r="AQ68" s="71"/>
      <c r="AR68" s="71"/>
      <c r="AS68" s="71"/>
      <c r="AT68" s="114"/>
      <c r="AU68" s="114"/>
    </row>
    <row r="69" spans="2:50" ht="12.75" customHeight="1" x14ac:dyDescent="0.2">
      <c r="B69" s="59"/>
      <c r="C69" s="59"/>
      <c r="D69" s="71"/>
      <c r="E69" s="71"/>
      <c r="F69" s="71"/>
      <c r="G69" s="71"/>
      <c r="H69" s="71"/>
      <c r="I69" s="71"/>
      <c r="J69" s="71"/>
      <c r="K69" s="71"/>
      <c r="L69" s="71"/>
      <c r="M69" s="71"/>
      <c r="N69" s="71"/>
      <c r="O69" s="71"/>
      <c r="P69" s="71"/>
      <c r="Q69" s="71"/>
      <c r="R69" s="71"/>
      <c r="S69" s="71"/>
      <c r="T69" s="71"/>
      <c r="U69" s="71"/>
      <c r="V69" s="71"/>
      <c r="W69" s="71"/>
      <c r="X69" s="71"/>
      <c r="Y69" s="71"/>
      <c r="Z69" s="71"/>
      <c r="AA69" s="71"/>
      <c r="AB69" s="122"/>
      <c r="AC69" s="71"/>
      <c r="AD69" s="121"/>
      <c r="AE69" s="71"/>
      <c r="AF69" s="71"/>
      <c r="AG69" s="71"/>
      <c r="AH69" s="71"/>
      <c r="AI69" s="71"/>
      <c r="AJ69" s="71"/>
      <c r="AK69" s="71"/>
      <c r="AL69" s="71"/>
      <c r="AM69" s="71"/>
      <c r="AN69" s="71"/>
      <c r="AO69" s="71"/>
      <c r="AP69" s="71"/>
      <c r="AQ69" s="71"/>
      <c r="AR69" s="71"/>
      <c r="AS69" s="71"/>
      <c r="AT69" s="114"/>
      <c r="AU69" s="114"/>
    </row>
    <row r="70" spans="2:50" ht="12.75" customHeight="1" x14ac:dyDescent="0.2">
      <c r="B70" s="59"/>
      <c r="C70" s="59"/>
      <c r="D70" s="71"/>
      <c r="E70" s="71"/>
      <c r="F70" s="71"/>
      <c r="G70" s="71"/>
      <c r="H70" s="71"/>
      <c r="I70" s="71"/>
      <c r="J70" s="71"/>
      <c r="K70" s="71"/>
      <c r="L70" s="71"/>
      <c r="M70" s="71"/>
      <c r="N70" s="71"/>
      <c r="O70" s="71"/>
      <c r="P70" s="71"/>
      <c r="Q70" s="71"/>
      <c r="R70" s="71"/>
      <c r="S70" s="71"/>
      <c r="T70" s="71"/>
      <c r="U70" s="71"/>
      <c r="V70" s="71"/>
      <c r="W70" s="71"/>
      <c r="X70" s="71"/>
      <c r="Y70" s="71"/>
      <c r="Z70" s="71"/>
      <c r="AA70" s="71"/>
      <c r="AB70" s="122"/>
      <c r="AC70" s="71"/>
      <c r="AD70" s="121"/>
      <c r="AE70" s="556"/>
      <c r="AF70" s="557"/>
      <c r="AG70" s="557"/>
      <c r="AH70" s="557"/>
      <c r="AI70" s="557"/>
      <c r="AJ70" s="557"/>
      <c r="AK70" s="557"/>
      <c r="AL70" s="558"/>
      <c r="AM70" s="71"/>
      <c r="AN70" s="580"/>
      <c r="AO70" s="581"/>
      <c r="AP70" s="581"/>
      <c r="AQ70" s="581"/>
      <c r="AR70" s="581"/>
      <c r="AS70" s="582"/>
      <c r="AT70" s="114"/>
      <c r="AU70" s="114"/>
    </row>
    <row r="71" spans="2:50" ht="12.75" customHeight="1" x14ac:dyDescent="0.2">
      <c r="B71" s="59"/>
      <c r="C71" s="59"/>
      <c r="D71" s="71"/>
      <c r="E71" s="71"/>
      <c r="F71" s="72" t="str">
        <f>'Sprachen &amp; Rückgabewerte(5)'!$B$41</f>
        <v>120101/120101</v>
      </c>
      <c r="G71" s="71"/>
      <c r="H71" s="71"/>
      <c r="I71" s="71"/>
      <c r="J71" s="71"/>
      <c r="K71" s="71"/>
      <c r="L71" s="72" t="str">
        <f>'Sprachen &amp; Rückgabewerte(5)'!$B$42</f>
        <v>120101/120401</v>
      </c>
      <c r="M71" s="60"/>
      <c r="N71" s="71"/>
      <c r="O71" s="71"/>
      <c r="P71" s="71"/>
      <c r="Q71" s="71"/>
      <c r="R71" s="72" t="str">
        <f>'Sprachen &amp; Rückgabewerte(5)'!$B$43</f>
        <v>120401/120401</v>
      </c>
      <c r="S71" s="71"/>
      <c r="T71" s="71"/>
      <c r="U71" s="71"/>
      <c r="V71" s="71"/>
      <c r="W71" s="71"/>
      <c r="X71" s="72" t="str">
        <f>'Sprachen &amp; Rückgabewerte(5)'!$B$44</f>
        <v>121101/121101</v>
      </c>
      <c r="Y71" s="60"/>
      <c r="Z71" s="71"/>
      <c r="AA71" s="71"/>
      <c r="AB71" s="122"/>
      <c r="AC71" s="71"/>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59"/>
      <c r="C72" s="59"/>
      <c r="D72" s="71"/>
      <c r="E72" s="71"/>
      <c r="F72" s="665"/>
      <c r="G72" s="666"/>
      <c r="H72" s="666"/>
      <c r="I72" s="667"/>
      <c r="J72" s="71"/>
      <c r="K72" s="71"/>
      <c r="L72" s="665"/>
      <c r="M72" s="666"/>
      <c r="N72" s="666"/>
      <c r="O72" s="667"/>
      <c r="P72" s="71"/>
      <c r="Q72" s="71"/>
      <c r="R72" s="665"/>
      <c r="S72" s="666"/>
      <c r="T72" s="666"/>
      <c r="U72" s="667"/>
      <c r="V72" s="71"/>
      <c r="W72" s="71"/>
      <c r="X72" s="665"/>
      <c r="Y72" s="666"/>
      <c r="Z72" s="666"/>
      <c r="AA72" s="667"/>
      <c r="AB72" s="122"/>
      <c r="AC72" s="71"/>
      <c r="AD72" s="71"/>
      <c r="AE72" s="71"/>
      <c r="AF72" s="71"/>
      <c r="AG72" s="71"/>
      <c r="AH72" s="71"/>
      <c r="AI72" s="71"/>
      <c r="AJ72" s="71"/>
      <c r="AK72" s="71"/>
      <c r="AL72" s="71"/>
      <c r="AM72" s="71"/>
      <c r="AN72" s="71"/>
      <c r="AO72" s="71"/>
      <c r="AP72" s="71"/>
      <c r="AQ72" s="71"/>
      <c r="AR72" s="71"/>
      <c r="AS72" s="71"/>
      <c r="AT72" s="60"/>
      <c r="AU72" s="114"/>
    </row>
    <row r="73" spans="2:50" ht="12.75" customHeight="1" x14ac:dyDescent="0.2">
      <c r="B73" s="59"/>
      <c r="C73" s="59"/>
      <c r="D73" s="71"/>
      <c r="E73" s="71"/>
      <c r="F73" s="71"/>
      <c r="G73" s="71"/>
      <c r="H73" s="71"/>
      <c r="I73" s="71"/>
      <c r="J73" s="71"/>
      <c r="K73" s="71"/>
      <c r="L73" s="71"/>
      <c r="M73" s="71"/>
      <c r="N73" s="71"/>
      <c r="O73" s="71"/>
      <c r="P73" s="71"/>
      <c r="Q73" s="71"/>
      <c r="R73" s="71"/>
      <c r="S73" s="71"/>
      <c r="T73" s="71"/>
      <c r="U73" s="71"/>
      <c r="V73" s="71"/>
      <c r="W73" s="71"/>
      <c r="X73" s="71"/>
      <c r="Y73" s="71"/>
      <c r="Z73" s="71"/>
      <c r="AA73" s="71"/>
      <c r="AB73" s="332"/>
      <c r="AC73" s="71"/>
      <c r="AD73" s="118"/>
      <c r="AE73" s="120" t="str">
        <f>'Sprachen &amp; Rückgabewerte(5)'!$H$70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59"/>
      <c r="C74" s="59"/>
      <c r="D74" s="71"/>
      <c r="E74" s="71"/>
      <c r="F74" s="71"/>
      <c r="G74" s="71"/>
      <c r="H74" s="71"/>
      <c r="I74" s="71"/>
      <c r="J74" s="71"/>
      <c r="K74" s="71"/>
      <c r="L74" s="71"/>
      <c r="M74" s="71"/>
      <c r="N74" s="71"/>
      <c r="O74" s="71"/>
      <c r="P74" s="71"/>
      <c r="Q74" s="71"/>
      <c r="R74" s="71"/>
      <c r="S74" s="71"/>
      <c r="T74" s="71"/>
      <c r="U74" s="71"/>
      <c r="V74" s="71"/>
      <c r="W74" s="71"/>
      <c r="X74" s="71"/>
      <c r="Y74" s="71"/>
      <c r="Z74" s="71"/>
      <c r="AA74" s="71"/>
      <c r="AB74" s="122"/>
      <c r="AC74" s="71"/>
      <c r="AD74" s="121"/>
      <c r="AE74" s="71"/>
      <c r="AF74" s="71" t="str">
        <f>'Sprachen &amp; Rückgabewerte(5)'!$H$71</f>
        <v>Universalschrauben (A2):</v>
      </c>
      <c r="AG74" s="71"/>
      <c r="AH74" s="71"/>
      <c r="AI74" s="71"/>
      <c r="AJ74" s="71"/>
      <c r="AK74" s="71"/>
      <c r="AL74" s="71"/>
      <c r="AM74" s="71" t="str">
        <f>'Sprachen &amp; Rückgabewerte(5)'!H72</f>
        <v>L=52mm</v>
      </c>
      <c r="AN74" s="380"/>
      <c r="AO74" s="382"/>
      <c r="AP74" s="383"/>
      <c r="AQ74" s="141" t="str">
        <f>'Sprachen &amp; Rückgabewerte(5)'!$H$180</f>
        <v>VE</v>
      </c>
      <c r="AR74" s="71"/>
      <c r="AS74" s="71"/>
      <c r="AT74" s="114"/>
      <c r="AU74" s="114"/>
    </row>
    <row r="75" spans="2:50" ht="12.75" customHeight="1" thickBot="1" x14ac:dyDescent="0.25">
      <c r="B75" s="59"/>
      <c r="C75" s="59"/>
      <c r="D75" s="71"/>
      <c r="E75" s="71"/>
      <c r="F75" s="71"/>
      <c r="G75" s="71"/>
      <c r="H75" s="71"/>
      <c r="I75" s="71"/>
      <c r="J75" s="71"/>
      <c r="K75" s="71"/>
      <c r="L75" s="71"/>
      <c r="M75" s="71"/>
      <c r="N75" s="71"/>
      <c r="O75" s="71"/>
      <c r="P75" s="71"/>
      <c r="Q75" s="71"/>
      <c r="R75" s="71"/>
      <c r="S75" s="71"/>
      <c r="T75" s="71"/>
      <c r="U75" s="71"/>
      <c r="V75" s="71"/>
      <c r="W75" s="71"/>
      <c r="X75" s="71"/>
      <c r="Y75" s="71"/>
      <c r="Z75" s="71"/>
      <c r="AA75" s="71"/>
      <c r="AB75" s="122"/>
      <c r="AC75" s="71"/>
      <c r="AD75" s="121"/>
      <c r="AE75" s="71"/>
      <c r="AF75" s="71"/>
      <c r="AG75" s="78" t="str">
        <f>'Sprachen &amp; Rückgabewerte(5)'!H75</f>
        <v>(VE à 100 Stk.)</v>
      </c>
      <c r="AH75" s="71"/>
      <c r="AI75" s="71"/>
      <c r="AJ75" s="71"/>
      <c r="AK75" s="71"/>
      <c r="AL75" s="71"/>
      <c r="AM75" s="71" t="str">
        <f>'Sprachen &amp; Rückgabewerte(5)'!H73</f>
        <v>L=82mm</v>
      </c>
      <c r="AN75" s="381"/>
      <c r="AO75" s="71"/>
      <c r="AP75" s="383"/>
      <c r="AQ75" s="141" t="str">
        <f>'Sprachen &amp; Rückgabewerte(5)'!$H$180</f>
        <v>VE</v>
      </c>
      <c r="AR75" s="71"/>
      <c r="AS75" s="71"/>
      <c r="AT75" s="114"/>
      <c r="AU75" s="114"/>
    </row>
    <row r="76" spans="2:50" ht="12.75" customHeight="1" x14ac:dyDescent="0.2">
      <c r="B76" s="59"/>
      <c r="C76" s="59"/>
      <c r="D76" s="71"/>
      <c r="E76" s="71"/>
      <c r="F76" s="71"/>
      <c r="G76" s="71"/>
      <c r="H76" s="71"/>
      <c r="I76" s="71"/>
      <c r="J76" s="71"/>
      <c r="K76" s="71"/>
      <c r="L76" s="71"/>
      <c r="M76" s="71"/>
      <c r="N76" s="71"/>
      <c r="O76" s="71"/>
      <c r="P76" s="71"/>
      <c r="Q76" s="71"/>
      <c r="R76" s="71"/>
      <c r="S76" s="71"/>
      <c r="T76" s="71"/>
      <c r="U76" s="71"/>
      <c r="V76" s="71"/>
      <c r="W76" s="71"/>
      <c r="X76" s="71"/>
      <c r="Y76" s="71"/>
      <c r="Z76" s="71"/>
      <c r="AA76" s="71"/>
      <c r="AB76" s="122"/>
      <c r="AC76" s="71"/>
      <c r="AD76" s="121"/>
      <c r="AE76" s="71"/>
      <c r="AF76" s="71"/>
      <c r="AG76" s="71"/>
      <c r="AH76" s="71"/>
      <c r="AI76" s="71"/>
      <c r="AJ76" s="71"/>
      <c r="AK76" s="71"/>
      <c r="AL76" s="71"/>
      <c r="AM76" s="71" t="str">
        <f>'Sprachen &amp; Rückgabewerte(5)'!H74</f>
        <v>L=112mm</v>
      </c>
      <c r="AN76" s="431"/>
      <c r="AO76" s="71"/>
      <c r="AP76" s="383"/>
      <c r="AQ76" s="141" t="str">
        <f>'Sprachen &amp; Rückgabewerte(5)'!$H$180</f>
        <v>VE</v>
      </c>
      <c r="AR76" s="71"/>
      <c r="AS76" s="71"/>
      <c r="AT76" s="114"/>
      <c r="AU76" s="114"/>
      <c r="AW76" s="587"/>
      <c r="AX76" s="587"/>
    </row>
    <row r="77" spans="2:50" ht="12.75" customHeight="1" x14ac:dyDescent="0.2">
      <c r="B77" s="59"/>
      <c r="C77" s="59"/>
      <c r="D77" s="71"/>
      <c r="E77" s="71"/>
      <c r="F77" s="71"/>
      <c r="G77" s="71"/>
      <c r="H77" s="71"/>
      <c r="I77" s="71"/>
      <c r="J77" s="71"/>
      <c r="K77" s="71"/>
      <c r="L77" s="71"/>
      <c r="M77" s="71"/>
      <c r="N77" s="71"/>
      <c r="O77" s="71"/>
      <c r="P77" s="71"/>
      <c r="Q77" s="71"/>
      <c r="R77" s="71"/>
      <c r="S77" s="71"/>
      <c r="T77" s="71"/>
      <c r="U77" s="71"/>
      <c r="V77" s="71"/>
      <c r="W77" s="71"/>
      <c r="X77" s="71"/>
      <c r="Y77" s="71"/>
      <c r="Z77" s="71"/>
      <c r="AA77" s="71"/>
      <c r="AB77" s="122"/>
      <c r="AC77" s="71"/>
      <c r="AD77" s="121"/>
      <c r="AE77" s="80" t="str">
        <f>'Sprachen &amp; Rückgabewerte(5)'!$H$76</f>
        <v>Sockelbefestigung:</v>
      </c>
      <c r="AF77" s="80"/>
      <c r="AG77" s="71"/>
      <c r="AH77" s="71"/>
      <c r="AI77" s="71"/>
      <c r="AJ77" s="71"/>
      <c r="AK77" s="71"/>
      <c r="AL77" s="71"/>
      <c r="AM77" s="71"/>
      <c r="AN77" s="71"/>
      <c r="AO77" s="71"/>
      <c r="AP77" s="71"/>
      <c r="AQ77" s="71"/>
      <c r="AR77" s="71"/>
      <c r="AS77" s="71"/>
      <c r="AT77" s="114"/>
      <c r="AU77" s="114"/>
      <c r="AW77" s="588"/>
      <c r="AX77" s="588"/>
    </row>
    <row r="78" spans="2:50" ht="12.75" customHeight="1" x14ac:dyDescent="0.2">
      <c r="B78" s="59"/>
      <c r="C78" s="59"/>
      <c r="D78" s="71"/>
      <c r="E78" s="71"/>
      <c r="F78" s="71"/>
      <c r="G78" s="71"/>
      <c r="H78" s="71"/>
      <c r="I78" s="71"/>
      <c r="J78" s="71"/>
      <c r="K78" s="71"/>
      <c r="L78" s="71"/>
      <c r="M78" s="71"/>
      <c r="N78" s="71"/>
      <c r="O78" s="71"/>
      <c r="P78" s="71"/>
      <c r="Q78" s="71"/>
      <c r="R78" s="71"/>
      <c r="S78" s="71"/>
      <c r="T78" s="71"/>
      <c r="U78" s="71"/>
      <c r="V78" s="71"/>
      <c r="W78" s="71"/>
      <c r="X78" s="71"/>
      <c r="Y78" s="71"/>
      <c r="Z78" s="71"/>
      <c r="AA78" s="71"/>
      <c r="AB78" s="122"/>
      <c r="AC78" s="71"/>
      <c r="AD78" s="121"/>
      <c r="AE78" s="71" t="str">
        <f>'Sprachen &amp; Rückgabewerte(5)'!$H$77</f>
        <v>Verstellschrauben M10 x</v>
      </c>
      <c r="AF78" s="71"/>
      <c r="AG78" s="71"/>
      <c r="AH78" s="71"/>
      <c r="AI78" s="71"/>
      <c r="AJ78" s="71"/>
      <c r="AK78" s="71"/>
      <c r="AL78" s="71"/>
      <c r="AM78" s="71"/>
      <c r="AN78" s="563"/>
      <c r="AO78" s="563"/>
      <c r="AP78" s="563"/>
      <c r="AQ78" s="71"/>
      <c r="AR78" s="71"/>
      <c r="AS78" s="71"/>
      <c r="AT78" s="114"/>
      <c r="AU78" s="114"/>
      <c r="AW78" s="588"/>
      <c r="AX78" s="588"/>
    </row>
    <row r="79" spans="2:50" ht="12.75" customHeight="1" x14ac:dyDescent="0.2">
      <c r="B79" s="59"/>
      <c r="C79" s="59"/>
      <c r="D79" s="71"/>
      <c r="E79" s="71"/>
      <c r="F79" s="71"/>
      <c r="G79" s="71"/>
      <c r="H79" s="71"/>
      <c r="I79" s="71"/>
      <c r="J79" s="71"/>
      <c r="K79" s="71"/>
      <c r="L79" s="71"/>
      <c r="M79" s="71"/>
      <c r="N79" s="71"/>
      <c r="O79" s="71"/>
      <c r="P79" s="71"/>
      <c r="Q79" s="71"/>
      <c r="R79" s="71"/>
      <c r="S79" s="71"/>
      <c r="T79" s="71"/>
      <c r="U79" s="71"/>
      <c r="V79" s="71"/>
      <c r="W79" s="71"/>
      <c r="X79" s="71"/>
      <c r="Y79" s="71"/>
      <c r="Z79" s="71"/>
      <c r="AA79" s="71"/>
      <c r="AB79" s="122"/>
      <c r="AC79" s="71"/>
      <c r="AD79" s="121"/>
      <c r="AE79" s="71" t="str">
        <f>'Sprachen &amp; Rückgabewerte(5)'!$H$52</f>
        <v>Standardgrundplatten:</v>
      </c>
      <c r="AF79" s="71"/>
      <c r="AG79" s="71"/>
      <c r="AH79" s="71"/>
      <c r="AI79" s="71"/>
      <c r="AJ79" s="71"/>
      <c r="AK79" s="71"/>
      <c r="AL79" s="71"/>
      <c r="AM79" s="71"/>
      <c r="AN79" s="563"/>
      <c r="AO79" s="563"/>
      <c r="AP79" s="563"/>
      <c r="AQ79" s="71"/>
      <c r="AR79" s="71"/>
      <c r="AS79" s="71"/>
      <c r="AT79" s="114"/>
      <c r="AU79" s="114"/>
      <c r="AW79" s="588"/>
      <c r="AX79" s="588"/>
    </row>
    <row r="80" spans="2:50" ht="12" customHeight="1" thickBot="1" x14ac:dyDescent="0.25">
      <c r="B80" s="59"/>
      <c r="C80" s="59"/>
      <c r="D80" s="71"/>
      <c r="E80" s="71"/>
      <c r="F80" s="71"/>
      <c r="G80" s="71"/>
      <c r="H80" s="71"/>
      <c r="I80" s="71"/>
      <c r="J80" s="71"/>
      <c r="K80" s="71"/>
      <c r="L80" s="71"/>
      <c r="M80" s="71"/>
      <c r="N80" s="71"/>
      <c r="O80" s="71"/>
      <c r="P80" s="71"/>
      <c r="Q80" s="71"/>
      <c r="R80" s="71"/>
      <c r="S80" s="71"/>
      <c r="T80" s="71"/>
      <c r="U80" s="71"/>
      <c r="V80" s="71"/>
      <c r="W80" s="71"/>
      <c r="X80" s="71"/>
      <c r="Y80" s="71"/>
      <c r="Z80" s="71"/>
      <c r="AA80" s="71"/>
      <c r="AB80" s="122"/>
      <c r="AC80" s="71"/>
      <c r="AD80" s="121"/>
      <c r="AE80" s="188" t="str">
        <f>'Sprachen &amp; Rückgabewerte(5)'!$H$84</f>
        <v>Rahmenzusammenbau:</v>
      </c>
      <c r="AF80" s="71"/>
      <c r="AG80" s="71"/>
      <c r="AH80" s="71"/>
      <c r="AI80" s="71"/>
      <c r="AJ80" s="71"/>
      <c r="AK80" s="71"/>
      <c r="AL80" s="71"/>
      <c r="AM80" s="71"/>
      <c r="AN80" s="564"/>
      <c r="AO80" s="565"/>
      <c r="AP80" s="565"/>
      <c r="AQ80" s="565"/>
      <c r="AR80" s="565"/>
      <c r="AS80" s="566"/>
      <c r="AT80" s="325"/>
      <c r="AU80" s="115"/>
      <c r="AV80" s="326"/>
      <c r="AW80" s="589"/>
      <c r="AX80" s="589"/>
    </row>
    <row r="81" spans="2:50" ht="12.75" customHeight="1" x14ac:dyDescent="0.2">
      <c r="B81" s="59"/>
      <c r="C81" s="59"/>
      <c r="D81" s="71"/>
      <c r="E81" s="71"/>
      <c r="F81" s="71"/>
      <c r="G81" s="71"/>
      <c r="H81" s="71"/>
      <c r="I81" s="71"/>
      <c r="J81" s="71"/>
      <c r="K81" s="71"/>
      <c r="L81" s="71"/>
      <c r="M81" s="71"/>
      <c r="N81" s="71"/>
      <c r="O81" s="71"/>
      <c r="P81" s="71"/>
      <c r="Q81" s="71"/>
      <c r="R81" s="71"/>
      <c r="S81" s="71"/>
      <c r="T81" s="71"/>
      <c r="U81" s="71"/>
      <c r="V81" s="71"/>
      <c r="W81" s="71"/>
      <c r="X81" s="71"/>
      <c r="Y81" s="71"/>
      <c r="Z81" s="71"/>
      <c r="AA81" s="71"/>
      <c r="AB81" s="122"/>
      <c r="AC81" s="71"/>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59"/>
      <c r="C82" s="59"/>
      <c r="D82" s="71"/>
      <c r="E82" s="71"/>
      <c r="F82" s="71"/>
      <c r="G82" s="71"/>
      <c r="H82" s="71"/>
      <c r="I82" s="71"/>
      <c r="J82" s="71"/>
      <c r="K82" s="71"/>
      <c r="L82" s="71"/>
      <c r="M82" s="71"/>
      <c r="N82" s="71"/>
      <c r="O82" s="71"/>
      <c r="P82" s="71"/>
      <c r="Q82" s="71"/>
      <c r="R82" s="71"/>
      <c r="S82" s="71"/>
      <c r="T82" s="71"/>
      <c r="U82" s="71"/>
      <c r="V82" s="71"/>
      <c r="W82" s="71"/>
      <c r="X82" s="71"/>
      <c r="Y82" s="71"/>
      <c r="Z82" s="71"/>
      <c r="AA82" s="71"/>
      <c r="AB82" s="122"/>
      <c r="AC82" s="71"/>
      <c r="AD82" s="71"/>
      <c r="AE82" s="71"/>
      <c r="AF82" s="71"/>
      <c r="AG82" s="71"/>
      <c r="AH82" s="71"/>
      <c r="AI82" s="71"/>
      <c r="AJ82" s="71"/>
      <c r="AK82" s="71"/>
      <c r="AL82" s="71"/>
      <c r="AM82" s="71"/>
      <c r="AN82" s="71"/>
      <c r="AO82" s="71"/>
      <c r="AP82" s="71"/>
      <c r="AQ82" s="71"/>
      <c r="AR82" s="71"/>
      <c r="AS82" s="71"/>
      <c r="AT82" s="60"/>
      <c r="AU82" s="114"/>
    </row>
    <row r="83" spans="2:50" ht="12.75" customHeight="1" x14ac:dyDescent="0.2">
      <c r="B83" s="59"/>
      <c r="C83" s="59"/>
      <c r="D83" s="71"/>
      <c r="E83" s="71"/>
      <c r="F83" s="71"/>
      <c r="G83" s="71"/>
      <c r="H83" s="71"/>
      <c r="I83" s="71"/>
      <c r="J83" s="71"/>
      <c r="K83" s="71"/>
      <c r="L83" s="71"/>
      <c r="M83" s="71"/>
      <c r="N83" s="71"/>
      <c r="O83" s="71"/>
      <c r="P83" s="71"/>
      <c r="Q83" s="71"/>
      <c r="R83" s="71"/>
      <c r="S83" s="71"/>
      <c r="T83" s="71"/>
      <c r="U83" s="71"/>
      <c r="V83" s="71"/>
      <c r="W83" s="71"/>
      <c r="X83" s="71"/>
      <c r="Y83" s="71"/>
      <c r="Z83" s="71"/>
      <c r="AA83" s="71"/>
      <c r="AB83" s="122"/>
      <c r="AC83" s="71"/>
      <c r="AD83" s="118"/>
      <c r="AE83" s="120" t="str">
        <f>'Sprachen &amp; Rückgabewerte(5)'!$H$87</f>
        <v>Logistik:</v>
      </c>
      <c r="AF83" s="120"/>
      <c r="AG83" s="119"/>
      <c r="AH83" s="119"/>
      <c r="AI83" s="119"/>
      <c r="AJ83" s="119"/>
      <c r="AK83" s="119"/>
      <c r="AL83" s="119"/>
      <c r="AM83" s="119"/>
      <c r="AN83" s="120" t="str">
        <f>'Sprachen &amp; Rückgabewerte(5)'!$H$49</f>
        <v>Zubehör:</v>
      </c>
      <c r="AO83" s="119"/>
      <c r="AP83" s="119"/>
      <c r="AQ83" s="119"/>
      <c r="AR83" s="119"/>
      <c r="AS83" s="119"/>
      <c r="AT83" s="113"/>
      <c r="AU83" s="114"/>
    </row>
    <row r="84" spans="2:50" ht="12.75" customHeight="1" x14ac:dyDescent="0.2">
      <c r="B84" s="59"/>
      <c r="C84" s="59"/>
      <c r="D84" s="71"/>
      <c r="E84" s="71"/>
      <c r="F84" s="71"/>
      <c r="G84" s="71"/>
      <c r="H84" s="72" t="str">
        <f>'Sprachen &amp; Rückgabewerte(5)'!$B$45</f>
        <v>321901/321901</v>
      </c>
      <c r="I84" s="71"/>
      <c r="J84" s="71"/>
      <c r="K84" s="71"/>
      <c r="L84" s="71"/>
      <c r="M84" s="71"/>
      <c r="N84" s="60"/>
      <c r="O84" s="72" t="str">
        <f>'Sprachen &amp; Rückgabewerte(5)'!$B$46</f>
        <v>321901/322301</v>
      </c>
      <c r="P84" s="71"/>
      <c r="Q84" s="71"/>
      <c r="R84" s="71"/>
      <c r="S84" s="71"/>
      <c r="T84" s="71"/>
      <c r="U84" s="60"/>
      <c r="V84" s="72" t="str">
        <f>'Sprachen &amp; Rückgabewerte(5)'!$B$47</f>
        <v>322301/322301</v>
      </c>
      <c r="W84" s="71"/>
      <c r="X84" s="71"/>
      <c r="Y84" s="71"/>
      <c r="Z84" s="71"/>
      <c r="AA84" s="71"/>
      <c r="AB84" s="122"/>
      <c r="AC84" s="71"/>
      <c r="AD84" s="121"/>
      <c r="AE84" s="544"/>
      <c r="AF84" s="571"/>
      <c r="AG84" s="571"/>
      <c r="AH84" s="571"/>
      <c r="AI84" s="571"/>
      <c r="AJ84" s="571"/>
      <c r="AK84" s="571"/>
      <c r="AL84" s="545"/>
      <c r="AM84" s="71"/>
      <c r="AN84" s="71"/>
      <c r="AO84" s="71" t="str">
        <f>'Sprachen &amp; Rückgabewerte(5)'!$H$50</f>
        <v>Rinne (siehe unten)</v>
      </c>
      <c r="AP84" s="71"/>
      <c r="AQ84" s="71"/>
      <c r="AR84" s="71"/>
      <c r="AS84" s="71"/>
      <c r="AT84" s="114"/>
      <c r="AU84" s="204"/>
      <c r="AV84" s="204"/>
    </row>
    <row r="85" spans="2:50" ht="12.75" customHeight="1" x14ac:dyDescent="0.2">
      <c r="B85" s="59"/>
      <c r="C85" s="59"/>
      <c r="D85" s="71"/>
      <c r="E85" s="71"/>
      <c r="F85" s="71"/>
      <c r="G85" s="71"/>
      <c r="H85" s="665"/>
      <c r="I85" s="666"/>
      <c r="J85" s="666"/>
      <c r="K85" s="667"/>
      <c r="L85" s="71"/>
      <c r="M85" s="71"/>
      <c r="N85" s="71"/>
      <c r="O85" s="665"/>
      <c r="P85" s="666"/>
      <c r="Q85" s="666"/>
      <c r="R85" s="667"/>
      <c r="S85" s="71"/>
      <c r="T85" s="71"/>
      <c r="U85" s="71"/>
      <c r="V85" s="665"/>
      <c r="W85" s="666"/>
      <c r="X85" s="666"/>
      <c r="Y85" s="667"/>
      <c r="Z85" s="71"/>
      <c r="AA85" s="71"/>
      <c r="AB85" s="122"/>
      <c r="AC85" s="71"/>
      <c r="AD85" s="121"/>
      <c r="AE85" s="576"/>
      <c r="AF85" s="576"/>
      <c r="AG85" s="576"/>
      <c r="AH85" s="576"/>
      <c r="AI85" s="576"/>
      <c r="AJ85" s="576"/>
      <c r="AK85" s="576"/>
      <c r="AL85" s="576"/>
      <c r="AM85" s="71"/>
      <c r="AN85" s="71"/>
      <c r="AO85" s="71" t="str">
        <f>'Sprachen &amp; Rückgabewerte(5)'!$H$51</f>
        <v>Wetterschenkel</v>
      </c>
      <c r="AP85" s="71"/>
      <c r="AQ85" s="71"/>
      <c r="AR85" s="71"/>
      <c r="AS85" s="71"/>
      <c r="AT85" s="114"/>
      <c r="AU85" s="114"/>
      <c r="AV85" s="227"/>
    </row>
    <row r="86" spans="2:50" ht="12.75" customHeight="1" x14ac:dyDescent="0.2">
      <c r="B86" s="59"/>
      <c r="C86" s="59"/>
      <c r="D86" s="60"/>
      <c r="E86" s="60"/>
      <c r="F86" s="60"/>
      <c r="G86" s="60"/>
      <c r="H86" s="60"/>
      <c r="I86" s="60"/>
      <c r="J86" s="60"/>
      <c r="K86" s="60"/>
      <c r="L86" s="60"/>
      <c r="M86" s="60"/>
      <c r="N86" s="60"/>
      <c r="O86" s="60"/>
      <c r="P86" s="60"/>
      <c r="Q86" s="60"/>
      <c r="R86" s="60"/>
      <c r="S86" s="60"/>
      <c r="T86" s="60"/>
      <c r="U86" s="60"/>
      <c r="V86" s="60"/>
      <c r="W86" s="60"/>
      <c r="X86" s="60"/>
      <c r="Y86" s="60"/>
      <c r="Z86" s="60"/>
      <c r="AA86" s="60"/>
      <c r="AB86" s="114"/>
      <c r="AC86" s="60"/>
      <c r="AD86" s="59"/>
      <c r="AE86" s="60"/>
      <c r="AF86" s="60"/>
      <c r="AG86" s="60"/>
      <c r="AH86" s="60"/>
      <c r="AI86" s="60"/>
      <c r="AJ86" s="60"/>
      <c r="AK86" s="60"/>
      <c r="AL86" s="60"/>
      <c r="AM86" s="60"/>
      <c r="AN86" s="60"/>
      <c r="AO86" s="60" t="str">
        <f>IF('Sprachen &amp; Rückgabewerte(5)'!$I$51=TRUE,"L=","")</f>
        <v/>
      </c>
      <c r="AP86" s="562"/>
      <c r="AQ86" s="562"/>
      <c r="AR86" s="562"/>
      <c r="AS86" s="60" t="str">
        <f>IF('Sprachen &amp; Rückgabewerte(5)'!$I$51=TRUE,"mm","")</f>
        <v/>
      </c>
      <c r="AT86" s="114"/>
      <c r="AU86" s="114"/>
      <c r="AV86" s="227"/>
    </row>
    <row r="87" spans="2:50" ht="12.75" customHeight="1" x14ac:dyDescent="0.2">
      <c r="B87" s="59"/>
      <c r="C87" s="59"/>
      <c r="D87" s="60"/>
      <c r="E87" s="60"/>
      <c r="F87" s="60"/>
      <c r="G87" s="60"/>
      <c r="H87" s="60"/>
      <c r="I87" s="60"/>
      <c r="J87" s="60"/>
      <c r="K87" s="60"/>
      <c r="L87" s="60"/>
      <c r="M87" s="60"/>
      <c r="N87" s="60"/>
      <c r="O87" s="60"/>
      <c r="P87" s="60"/>
      <c r="Q87" s="60"/>
      <c r="R87" s="60"/>
      <c r="S87" s="60"/>
      <c r="T87" s="60"/>
      <c r="U87" s="60"/>
      <c r="V87" s="60"/>
      <c r="W87" s="60"/>
      <c r="X87" s="60"/>
      <c r="Y87" s="60"/>
      <c r="Z87" s="676"/>
      <c r="AA87" s="676"/>
      <c r="AB87" s="677"/>
      <c r="AC87" s="60"/>
      <c r="AD87" s="59"/>
      <c r="AE87" s="320" t="str">
        <f>'Sprachen &amp; Rückgabewerte(5)'!$H$47</f>
        <v>Windlast:</v>
      </c>
      <c r="AF87" s="80"/>
      <c r="AG87" s="155"/>
      <c r="AH87" s="60"/>
      <c r="AI87" s="60"/>
      <c r="AJ87" s="60"/>
      <c r="AK87" s="60"/>
      <c r="AL87" s="60"/>
      <c r="AM87" s="584"/>
      <c r="AN87" s="585"/>
      <c r="AO87" s="586"/>
      <c r="AP87" s="321" t="s">
        <v>764</v>
      </c>
      <c r="AS87" s="184"/>
      <c r="AT87" s="114"/>
      <c r="AU87" s="114"/>
      <c r="AV87" s="227"/>
    </row>
    <row r="88" spans="2:50" ht="12.75" customHeight="1" x14ac:dyDescent="0.2">
      <c r="B88" s="59"/>
      <c r="C88" s="59"/>
      <c r="D88" s="60"/>
      <c r="E88" s="60"/>
      <c r="F88" s="60"/>
      <c r="G88" s="60"/>
      <c r="H88" s="60"/>
      <c r="I88" s="60"/>
      <c r="J88" s="60"/>
      <c r="K88" s="60"/>
      <c r="L88" s="60"/>
      <c r="M88" s="60"/>
      <c r="N88" s="60"/>
      <c r="O88" s="60"/>
      <c r="P88" s="60"/>
      <c r="Q88" s="60"/>
      <c r="R88" s="60"/>
      <c r="S88" s="60"/>
      <c r="T88" s="60"/>
      <c r="U88" s="60"/>
      <c r="V88" s="60"/>
      <c r="W88" s="60"/>
      <c r="X88" s="60"/>
      <c r="Y88" s="60"/>
      <c r="Z88" s="676"/>
      <c r="AA88" s="676"/>
      <c r="AB88" s="677"/>
      <c r="AC88" s="60"/>
      <c r="AD88" s="59"/>
      <c r="AE88" s="188" t="str">
        <f>'Sprachen &amp; Rückgabewerte(5)'!$H$90</f>
        <v>Wunschtermin:</v>
      </c>
      <c r="AF88" s="319"/>
      <c r="AG88" s="319"/>
      <c r="AH88" s="319"/>
      <c r="AI88" s="319"/>
      <c r="AJ88" s="319"/>
      <c r="AK88" s="319"/>
      <c r="AL88" s="319"/>
      <c r="AM88" s="572"/>
      <c r="AN88" s="573"/>
      <c r="AO88" s="573"/>
      <c r="AP88" s="574"/>
      <c r="AQ88" s="574"/>
      <c r="AR88" s="575"/>
      <c r="AS88" s="319"/>
      <c r="AT88" s="114"/>
      <c r="AU88" s="114"/>
      <c r="AV88" s="227"/>
    </row>
    <row r="89" spans="2:50" ht="12.75" customHeight="1" x14ac:dyDescent="0.2">
      <c r="B89" s="59"/>
      <c r="C89" s="59"/>
      <c r="D89" s="60"/>
      <c r="E89" s="60"/>
      <c r="F89" s="60"/>
      <c r="G89" s="60"/>
      <c r="H89" s="60"/>
      <c r="I89" s="60"/>
      <c r="J89" s="60"/>
      <c r="K89" s="60"/>
      <c r="L89" s="60"/>
      <c r="M89" s="60"/>
      <c r="N89" s="60"/>
      <c r="O89" s="60"/>
      <c r="P89" s="60"/>
      <c r="Q89" s="60"/>
      <c r="R89" s="60"/>
      <c r="S89" s="60"/>
      <c r="T89" s="60"/>
      <c r="U89" s="60"/>
      <c r="V89" s="60"/>
      <c r="W89" s="60"/>
      <c r="X89" s="60"/>
      <c r="Y89" s="60"/>
      <c r="Z89" s="676"/>
      <c r="AA89" s="676"/>
      <c r="AB89" s="677"/>
      <c r="AC89" s="60"/>
      <c r="AD89" s="59"/>
      <c r="AF89" s="319"/>
      <c r="AG89" s="319"/>
      <c r="AH89" s="319"/>
      <c r="AI89" s="319"/>
      <c r="AJ89" s="319"/>
      <c r="AK89" s="319"/>
      <c r="AL89" s="319"/>
      <c r="AS89" s="319"/>
      <c r="AT89" s="114"/>
      <c r="AU89" s="114"/>
      <c r="AV89" s="227"/>
    </row>
    <row r="90" spans="2:50" ht="12.75" customHeight="1" x14ac:dyDescent="0.2">
      <c r="B90" s="59"/>
      <c r="C90" s="59"/>
      <c r="D90" s="60"/>
      <c r="E90" s="60"/>
      <c r="F90" s="60"/>
      <c r="G90" s="60"/>
      <c r="H90" s="60"/>
      <c r="I90" s="60"/>
      <c r="J90" s="60"/>
      <c r="K90" s="60"/>
      <c r="L90" s="60"/>
      <c r="M90" s="60"/>
      <c r="N90" s="60"/>
      <c r="O90" s="60"/>
      <c r="P90" s="60"/>
      <c r="Q90" s="60"/>
      <c r="R90" s="60"/>
      <c r="S90" s="60"/>
      <c r="T90" s="60"/>
      <c r="U90" s="60"/>
      <c r="W90" s="60"/>
      <c r="X90" s="60"/>
      <c r="Y90" s="60"/>
      <c r="Z90" s="60"/>
      <c r="AA90" s="60"/>
      <c r="AB90" s="114"/>
      <c r="AC90" s="60"/>
      <c r="AD90" s="59"/>
      <c r="AE90" s="583" t="str">
        <f>'Sprachen &amp; Rückgabewerte(5)'!$H$102</f>
        <v>Diese Bestellung ist verbindlich und muss komplett ausgefüllt werden. Änderungen werden als Mehraufwand verrechnet.</v>
      </c>
      <c r="AF90" s="583"/>
      <c r="AG90" s="583"/>
      <c r="AH90" s="583"/>
      <c r="AI90" s="583"/>
      <c r="AJ90" s="583"/>
      <c r="AK90" s="583"/>
      <c r="AL90" s="583"/>
      <c r="AM90" s="583"/>
      <c r="AN90" s="583"/>
      <c r="AO90" s="583"/>
      <c r="AP90" s="583"/>
      <c r="AQ90" s="583"/>
      <c r="AR90" s="583"/>
      <c r="AS90" s="583"/>
      <c r="AT90" s="114"/>
      <c r="AU90" s="114"/>
      <c r="AV90" s="227"/>
    </row>
    <row r="91" spans="2:50" ht="12.75" customHeight="1" x14ac:dyDescent="0.2">
      <c r="B91" s="59"/>
      <c r="C91" s="59"/>
      <c r="D91" s="60"/>
      <c r="E91" s="60"/>
      <c r="F91" s="60"/>
      <c r="G91" s="60"/>
      <c r="H91" s="60"/>
      <c r="I91" s="60"/>
      <c r="J91" s="60"/>
      <c r="K91" s="60"/>
      <c r="L91" s="60"/>
      <c r="M91" s="60"/>
      <c r="N91" s="60"/>
      <c r="O91" s="60"/>
      <c r="P91" s="60"/>
      <c r="Q91" s="60"/>
      <c r="R91" s="60"/>
      <c r="S91" s="60"/>
      <c r="T91" s="60"/>
      <c r="U91" s="60"/>
      <c r="V91" s="60"/>
      <c r="W91" s="60"/>
      <c r="X91" s="60"/>
      <c r="Y91" s="60"/>
      <c r="Z91" s="678"/>
      <c r="AA91" s="678"/>
      <c r="AB91" s="679"/>
      <c r="AC91" s="60"/>
      <c r="AD91" s="59"/>
      <c r="AE91" s="583"/>
      <c r="AF91" s="583"/>
      <c r="AG91" s="583"/>
      <c r="AH91" s="583"/>
      <c r="AI91" s="583"/>
      <c r="AJ91" s="583"/>
      <c r="AK91" s="583"/>
      <c r="AL91" s="583"/>
      <c r="AM91" s="583"/>
      <c r="AN91" s="583"/>
      <c r="AO91" s="583"/>
      <c r="AP91" s="583"/>
      <c r="AQ91" s="583"/>
      <c r="AR91" s="583"/>
      <c r="AS91" s="583"/>
      <c r="AT91" s="114"/>
      <c r="AU91" s="114"/>
      <c r="AV91" s="227"/>
    </row>
    <row r="92" spans="2:50" ht="12.75" customHeight="1" x14ac:dyDescent="0.2">
      <c r="B92" s="59"/>
      <c r="C92" s="59"/>
      <c r="D92" s="60"/>
      <c r="E92" s="60"/>
      <c r="F92" s="60"/>
      <c r="G92" s="60"/>
      <c r="H92" s="60"/>
      <c r="I92" s="60"/>
      <c r="J92" s="60"/>
      <c r="K92" s="60"/>
      <c r="L92" s="60"/>
      <c r="M92" s="60"/>
      <c r="N92" s="60"/>
      <c r="O92" s="60"/>
      <c r="P92" s="60"/>
      <c r="Q92" s="60"/>
      <c r="R92" s="60"/>
      <c r="S92" s="60"/>
      <c r="T92" s="60"/>
      <c r="U92" s="60"/>
      <c r="V92" s="60"/>
      <c r="W92" s="60"/>
      <c r="X92" s="60"/>
      <c r="Y92" s="60"/>
      <c r="Z92" s="678"/>
      <c r="AA92" s="678"/>
      <c r="AB92" s="679"/>
      <c r="AC92" s="60"/>
      <c r="AD92" s="59"/>
      <c r="AE92" s="583"/>
      <c r="AF92" s="583"/>
      <c r="AG92" s="583"/>
      <c r="AH92" s="583"/>
      <c r="AI92" s="583"/>
      <c r="AJ92" s="583"/>
      <c r="AK92" s="583"/>
      <c r="AL92" s="583"/>
      <c r="AM92" s="583"/>
      <c r="AN92" s="583"/>
      <c r="AO92" s="583"/>
      <c r="AP92" s="583"/>
      <c r="AQ92" s="583"/>
      <c r="AR92" s="583"/>
      <c r="AS92" s="583"/>
      <c r="AT92" s="114"/>
      <c r="AU92" s="114"/>
      <c r="AV92" s="227"/>
    </row>
    <row r="93" spans="2:50" ht="12.75" customHeight="1" x14ac:dyDescent="0.2">
      <c r="B93" s="59"/>
      <c r="C93" s="59"/>
      <c r="D93" s="60"/>
      <c r="E93" s="60"/>
      <c r="F93" s="60"/>
      <c r="G93" s="60"/>
      <c r="H93" s="60"/>
      <c r="I93" s="60"/>
      <c r="J93" s="60"/>
      <c r="K93" s="60"/>
      <c r="L93" s="60"/>
      <c r="M93" s="60"/>
      <c r="N93" s="60"/>
      <c r="O93" s="60"/>
      <c r="P93" s="60"/>
      <c r="Q93" s="60"/>
      <c r="R93" s="60"/>
      <c r="S93" s="60"/>
      <c r="T93" s="60"/>
      <c r="U93" s="60"/>
      <c r="V93" s="60"/>
      <c r="W93" s="60"/>
      <c r="X93" s="60"/>
      <c r="Y93" s="60"/>
      <c r="Z93" s="678"/>
      <c r="AA93" s="678"/>
      <c r="AB93" s="679"/>
      <c r="AC93" s="60"/>
      <c r="AD93" s="67"/>
      <c r="AE93" s="83"/>
      <c r="AF93" s="83"/>
      <c r="AG93" s="83"/>
      <c r="AH93" s="83"/>
      <c r="AI93" s="83"/>
      <c r="AJ93" s="83"/>
      <c r="AK93" s="83"/>
      <c r="AL93" s="83"/>
      <c r="AM93" s="83"/>
      <c r="AN93" s="83"/>
      <c r="AO93" s="83"/>
      <c r="AP93" s="83"/>
      <c r="AQ93" s="83"/>
      <c r="AR93" s="83"/>
      <c r="AS93" s="83"/>
      <c r="AT93" s="115"/>
      <c r="AU93" s="114"/>
      <c r="AV93" s="227"/>
    </row>
    <row r="94" spans="2:50" ht="12.75" customHeight="1" x14ac:dyDescent="0.2">
      <c r="B94" s="59"/>
      <c r="C94" s="59"/>
      <c r="D94" s="60"/>
      <c r="E94" s="60"/>
      <c r="F94" s="60"/>
      <c r="G94" s="60"/>
      <c r="H94" s="60"/>
      <c r="I94" s="60"/>
      <c r="J94" s="60"/>
      <c r="K94" s="60"/>
      <c r="L94" s="60"/>
      <c r="M94" s="60"/>
      <c r="N94" s="60"/>
      <c r="O94" s="60"/>
      <c r="P94" s="60"/>
      <c r="Q94" s="60"/>
      <c r="R94" s="60"/>
      <c r="S94" s="60"/>
      <c r="T94" s="60"/>
      <c r="U94" s="60"/>
      <c r="V94" s="60"/>
      <c r="W94" s="60"/>
      <c r="X94" s="60"/>
      <c r="Y94" s="60"/>
      <c r="Z94" s="60"/>
      <c r="AA94" s="60"/>
      <c r="AB94" s="114"/>
      <c r="AC94" s="60"/>
      <c r="AD94" s="60"/>
      <c r="AE94" s="60"/>
      <c r="AF94" s="60"/>
      <c r="AG94" s="60"/>
      <c r="AH94" s="60"/>
      <c r="AI94" s="60"/>
      <c r="AJ94" s="60"/>
      <c r="AK94" s="71"/>
      <c r="AL94" s="71"/>
      <c r="AM94" s="71"/>
      <c r="AN94" s="71"/>
      <c r="AO94" s="71"/>
      <c r="AP94" s="71"/>
      <c r="AQ94" s="71"/>
      <c r="AR94" s="60"/>
      <c r="AS94" s="60"/>
      <c r="AT94" s="60"/>
      <c r="AU94" s="114"/>
      <c r="AV94" s="227"/>
    </row>
    <row r="95" spans="2:50" ht="12.75" customHeight="1" x14ac:dyDescent="0.2">
      <c r="B95" s="59"/>
      <c r="C95" s="59"/>
      <c r="D95" s="60"/>
      <c r="E95" s="60"/>
      <c r="F95" s="60"/>
      <c r="G95" s="60"/>
      <c r="H95" s="156" t="str">
        <f>'Sprachen &amp; Rückgabewerte(5)'!$B$48</f>
        <v>110101/110301</v>
      </c>
      <c r="I95" s="60"/>
      <c r="J95" s="60"/>
      <c r="K95" s="60"/>
      <c r="L95" s="60"/>
      <c r="M95" s="60"/>
      <c r="N95" s="60"/>
      <c r="O95" s="156" t="str">
        <f>'Sprachen &amp; Rückgabewerte(5)'!$B$49</f>
        <v>110101/110501</v>
      </c>
      <c r="P95" s="60"/>
      <c r="Q95" s="60"/>
      <c r="R95" s="60"/>
      <c r="S95" s="60"/>
      <c r="T95" s="60"/>
      <c r="U95" s="60"/>
      <c r="V95" s="156" t="str">
        <f>'Sprachen &amp; Rückgabewerte(5)'!$H$116</f>
        <v>Ganzglas-Ecke</v>
      </c>
      <c r="W95" s="60"/>
      <c r="X95" s="60"/>
      <c r="Y95" s="60"/>
      <c r="Z95" s="60"/>
      <c r="AA95" s="60"/>
      <c r="AB95" s="114"/>
      <c r="AC95" s="60"/>
      <c r="AD95" s="111"/>
      <c r="AE95" s="119"/>
      <c r="AF95" s="119"/>
      <c r="AG95" s="119"/>
      <c r="AH95" s="119"/>
      <c r="AI95" s="119"/>
      <c r="AJ95" s="119"/>
      <c r="AK95" s="119"/>
      <c r="AL95" s="119"/>
      <c r="AM95" s="119"/>
      <c r="AN95" s="119"/>
      <c r="AO95" s="119"/>
      <c r="AP95" s="119"/>
      <c r="AQ95" s="119"/>
      <c r="AR95" s="119"/>
      <c r="AS95" s="119"/>
      <c r="AT95" s="406"/>
      <c r="AU95" s="114"/>
      <c r="AV95" s="227"/>
      <c r="AW95" s="407" t="str">
        <f>'Sprachen &amp; Rückgabewerte(5)'!H182</f>
        <v>Beratungsnummer: (z.B. P123456)</v>
      </c>
    </row>
    <row r="96" spans="2:50" ht="12.75" customHeight="1" x14ac:dyDescent="0.2">
      <c r="B96" s="59"/>
      <c r="C96" s="59"/>
      <c r="D96" s="60"/>
      <c r="E96" s="60"/>
      <c r="F96" s="60"/>
      <c r="G96" s="60"/>
      <c r="H96" s="665"/>
      <c r="I96" s="666"/>
      <c r="J96" s="666"/>
      <c r="K96" s="667"/>
      <c r="L96" s="60"/>
      <c r="M96" s="60"/>
      <c r="N96" s="60"/>
      <c r="O96" s="665"/>
      <c r="P96" s="666"/>
      <c r="Q96" s="666"/>
      <c r="R96" s="667"/>
      <c r="S96" s="60"/>
      <c r="T96" s="60"/>
      <c r="U96" s="60"/>
      <c r="V96" s="60"/>
      <c r="W96" s="60"/>
      <c r="X96" s="60"/>
      <c r="Y96" s="60"/>
      <c r="Z96" s="60"/>
      <c r="AA96" s="60"/>
      <c r="AB96" s="114"/>
      <c r="AC96" s="60"/>
      <c r="AD96" s="59"/>
      <c r="AE96" s="72" t="str">
        <f>'Sprachen &amp; Rückgabewerte(5)'!H181</f>
        <v>Sky-Frame Beratung vorhanden:</v>
      </c>
      <c r="AF96" s="71"/>
      <c r="AG96" s="71"/>
      <c r="AH96" s="71"/>
      <c r="AI96" s="71"/>
      <c r="AJ96" s="71"/>
      <c r="AK96" s="71"/>
      <c r="AL96" s="71"/>
      <c r="AM96" s="71"/>
      <c r="AN96" s="71"/>
      <c r="AO96" s="71"/>
      <c r="AP96" s="71"/>
      <c r="AQ96" s="544"/>
      <c r="AR96" s="545"/>
      <c r="AS96" s="408"/>
      <c r="AT96" s="125"/>
      <c r="AU96" s="115"/>
      <c r="AV96" s="409"/>
      <c r="AW96" s="546"/>
      <c r="AX96" s="547"/>
    </row>
    <row r="97" spans="2:48" ht="12.75" customHeight="1" x14ac:dyDescent="0.2">
      <c r="B97" s="59"/>
      <c r="C97" s="67"/>
      <c r="D97" s="83"/>
      <c r="E97" s="83"/>
      <c r="F97" s="83"/>
      <c r="G97" s="83"/>
      <c r="H97" s="83"/>
      <c r="I97" s="83"/>
      <c r="J97" s="83"/>
      <c r="K97" s="83"/>
      <c r="L97" s="83"/>
      <c r="M97" s="83"/>
      <c r="N97" s="83"/>
      <c r="O97" s="83"/>
      <c r="P97" s="83"/>
      <c r="Q97" s="83"/>
      <c r="R97" s="83"/>
      <c r="S97" s="83"/>
      <c r="T97" s="83"/>
      <c r="U97" s="83"/>
      <c r="V97" s="83"/>
      <c r="W97" s="83"/>
      <c r="X97" s="83"/>
      <c r="Y97" s="83"/>
      <c r="Z97" s="83"/>
      <c r="AA97" s="83"/>
      <c r="AB97" s="115"/>
      <c r="AC97" s="60"/>
      <c r="AD97" s="67"/>
      <c r="AE97" s="124"/>
      <c r="AF97" s="124"/>
      <c r="AG97" s="124"/>
      <c r="AH97" s="124"/>
      <c r="AI97" s="124"/>
      <c r="AJ97" s="124"/>
      <c r="AK97" s="124"/>
      <c r="AL97" s="124"/>
      <c r="AM97" s="124"/>
      <c r="AN97" s="124"/>
      <c r="AO97" s="124"/>
      <c r="AP97" s="124"/>
      <c r="AQ97" s="124"/>
      <c r="AR97" s="124"/>
      <c r="AS97" s="124"/>
      <c r="AT97" s="125"/>
      <c r="AU97" s="114"/>
      <c r="AV97" s="227"/>
    </row>
    <row r="98" spans="2:48" ht="19.5" customHeight="1" x14ac:dyDescent="0.2">
      <c r="B98" s="67"/>
      <c r="C98" s="680" t="s">
        <v>891</v>
      </c>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83"/>
      <c r="AQ98" s="83"/>
      <c r="AR98" s="83"/>
      <c r="AS98" s="83"/>
      <c r="AT98" s="158" t="s">
        <v>892</v>
      </c>
      <c r="AU98" s="115"/>
      <c r="AV98" s="227"/>
    </row>
    <row r="99" spans="2:48" ht="19.5" customHeight="1" x14ac:dyDescent="0.2">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254"/>
      <c r="AU99" s="60"/>
      <c r="AV99" s="114"/>
    </row>
    <row r="100" spans="2:48" x14ac:dyDescent="0.2">
      <c r="AV100" s="115"/>
    </row>
    <row r="101" spans="2:48" ht="13.5" thickBot="1" x14ac:dyDescent="0.25">
      <c r="B101" s="11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113"/>
    </row>
    <row r="102" spans="2:48" ht="16.5" thickTop="1" x14ac:dyDescent="0.25">
      <c r="B102" s="59"/>
      <c r="C102" s="111"/>
      <c r="D102" s="81"/>
      <c r="E102" s="272" t="str">
        <f>'Sprachen &amp; Rückgabewerte(5)'!$H$138</f>
        <v>Rinnenbestellung</v>
      </c>
      <c r="F102" s="81"/>
      <c r="G102" s="81"/>
      <c r="H102" s="81"/>
      <c r="I102" s="81"/>
      <c r="J102" s="81"/>
      <c r="K102" s="81"/>
      <c r="L102" s="81"/>
      <c r="M102" s="81"/>
      <c r="N102" s="81"/>
      <c r="O102" s="81"/>
      <c r="P102" s="81"/>
      <c r="Q102" s="81"/>
      <c r="R102" s="81"/>
      <c r="S102" s="81"/>
      <c r="T102" s="81"/>
      <c r="U102" s="81"/>
      <c r="V102" s="81"/>
      <c r="W102" s="81"/>
      <c r="X102" s="81"/>
      <c r="Y102" s="81"/>
      <c r="Z102" s="113"/>
      <c r="AA102" s="60"/>
      <c r="AB102" s="239"/>
      <c r="AC102" s="240"/>
      <c r="AD102" s="240"/>
      <c r="AE102" s="240"/>
      <c r="AF102" s="255"/>
      <c r="AG102" s="256"/>
      <c r="AH102" s="259"/>
      <c r="AI102" s="255"/>
      <c r="AJ102" s="255"/>
      <c r="AK102" s="255"/>
      <c r="AL102" s="255"/>
      <c r="AM102" s="256"/>
      <c r="AN102" s="259"/>
      <c r="AO102" s="255"/>
      <c r="AP102" s="255"/>
      <c r="AQ102" s="255"/>
      <c r="AR102" s="255"/>
      <c r="AS102" s="255"/>
      <c r="AT102" s="256"/>
      <c r="AU102" s="114"/>
    </row>
    <row r="103" spans="2:48" x14ac:dyDescent="0.2">
      <c r="B103" s="59"/>
      <c r="C103" s="59"/>
      <c r="D103" s="60"/>
      <c r="E103" s="60"/>
      <c r="F103" s="60"/>
      <c r="G103" s="60"/>
      <c r="H103" s="60"/>
      <c r="I103" s="60"/>
      <c r="J103" s="60"/>
      <c r="K103" s="60"/>
      <c r="L103" s="60"/>
      <c r="M103" s="60"/>
      <c r="N103" s="60"/>
      <c r="O103" s="60"/>
      <c r="P103" s="60"/>
      <c r="Q103" s="60"/>
      <c r="R103" s="60"/>
      <c r="S103" s="60"/>
      <c r="T103" s="60"/>
      <c r="U103" s="60"/>
      <c r="V103" s="60"/>
      <c r="W103" s="60"/>
      <c r="X103" s="60"/>
      <c r="Y103" s="60"/>
      <c r="Z103" s="114"/>
      <c r="AA103" s="60"/>
      <c r="AB103" s="242"/>
      <c r="AC103" s="60"/>
      <c r="AD103" s="60"/>
      <c r="AE103" s="60"/>
      <c r="AF103" s="132"/>
      <c r="AG103" s="257"/>
      <c r="AH103" s="260"/>
      <c r="AI103" s="132"/>
      <c r="AJ103" s="132"/>
      <c r="AK103" s="132"/>
      <c r="AL103" s="132"/>
      <c r="AM103" s="257"/>
      <c r="AN103" s="260"/>
      <c r="AO103" s="132"/>
      <c r="AP103" s="132"/>
      <c r="AQ103" s="132"/>
      <c r="AR103" s="132"/>
      <c r="AS103" s="132"/>
      <c r="AT103" s="257"/>
      <c r="AU103" s="133"/>
    </row>
    <row r="104" spans="2:48" ht="15" customHeight="1" x14ac:dyDescent="0.2">
      <c r="B104" s="59"/>
      <c r="C104" s="59"/>
      <c r="D104" s="60"/>
      <c r="E104" s="71" t="str">
        <f>'Sprachen &amp; Rückgabewerte(5)'!$H$139</f>
        <v>Wahl des Rinnensystems:</v>
      </c>
      <c r="F104" s="60"/>
      <c r="G104" s="60"/>
      <c r="H104" s="60"/>
      <c r="I104" s="60"/>
      <c r="J104" s="60"/>
      <c r="K104" s="60"/>
      <c r="L104" s="60"/>
      <c r="M104" s="60"/>
      <c r="N104" s="60"/>
      <c r="O104" s="60"/>
      <c r="P104" s="60"/>
      <c r="Q104" s="60"/>
      <c r="R104" s="60"/>
      <c r="S104" s="60"/>
      <c r="T104" s="717"/>
      <c r="U104" s="718"/>
      <c r="V104" s="237"/>
      <c r="W104" s="237"/>
      <c r="X104" s="60"/>
      <c r="Y104" s="60"/>
      <c r="Z104" s="114"/>
      <c r="AB104" s="242"/>
      <c r="AC104" s="60"/>
      <c r="AD104" s="60"/>
      <c r="AE104" s="60"/>
      <c r="AF104" s="132"/>
      <c r="AG104" s="257"/>
      <c r="AH104" s="260"/>
      <c r="AI104" s="132"/>
      <c r="AJ104" s="132"/>
      <c r="AK104" s="132"/>
      <c r="AL104" s="132"/>
      <c r="AM104" s="257"/>
      <c r="AN104" s="260"/>
      <c r="AO104" s="132"/>
      <c r="AP104" s="132"/>
      <c r="AQ104" s="132"/>
      <c r="AR104" s="132"/>
      <c r="AS104" s="132"/>
      <c r="AT104" s="257"/>
      <c r="AU104" s="133"/>
    </row>
    <row r="105" spans="2:48" x14ac:dyDescent="0.2">
      <c r="B105" s="59"/>
      <c r="C105" s="59"/>
      <c r="D105" s="60"/>
      <c r="E105" s="60"/>
      <c r="F105" s="60"/>
      <c r="G105" s="60"/>
      <c r="H105" s="60"/>
      <c r="I105" s="60"/>
      <c r="J105" s="60"/>
      <c r="K105" s="60"/>
      <c r="L105" s="60"/>
      <c r="M105" s="60"/>
      <c r="N105" s="60"/>
      <c r="O105" s="60"/>
      <c r="P105" s="60"/>
      <c r="Q105" s="60"/>
      <c r="R105" s="60"/>
      <c r="S105" s="60"/>
      <c r="T105" s="60"/>
      <c r="U105" s="60"/>
      <c r="V105" s="60"/>
      <c r="W105" s="60"/>
      <c r="X105" s="60"/>
      <c r="Y105" s="60"/>
      <c r="Z105" s="114"/>
      <c r="AB105" s="242"/>
      <c r="AC105" s="60"/>
      <c r="AD105" s="60"/>
      <c r="AE105" s="60"/>
      <c r="AF105" s="132"/>
      <c r="AG105" s="257"/>
      <c r="AH105" s="260"/>
      <c r="AI105" s="132"/>
      <c r="AJ105" s="132"/>
      <c r="AK105" s="132"/>
      <c r="AL105" s="132"/>
      <c r="AM105" s="257"/>
      <c r="AN105" s="260"/>
      <c r="AO105" s="132"/>
      <c r="AP105" s="132"/>
      <c r="AQ105" s="132"/>
      <c r="AR105" s="132"/>
      <c r="AS105" s="132"/>
      <c r="AT105" s="257"/>
      <c r="AU105" s="133"/>
    </row>
    <row r="106" spans="2:48" ht="15" customHeight="1" x14ac:dyDescent="0.2">
      <c r="B106" s="59"/>
      <c r="C106" s="59"/>
      <c r="D106" s="60"/>
      <c r="E106" s="71" t="str">
        <f>'Sprachen &amp; Rückgabewerte(5)'!$H$140</f>
        <v>Einzug an der linken Anlagenseite:</v>
      </c>
      <c r="F106" s="60"/>
      <c r="G106" s="60"/>
      <c r="H106" s="60"/>
      <c r="I106" s="60"/>
      <c r="J106" s="60"/>
      <c r="K106" s="60"/>
      <c r="L106" s="60"/>
      <c r="M106" s="60"/>
      <c r="N106" s="60"/>
      <c r="O106" s="60"/>
      <c r="P106" s="60"/>
      <c r="Q106" s="60"/>
      <c r="R106" s="60"/>
      <c r="S106" s="60"/>
      <c r="T106" s="670"/>
      <c r="U106" s="719"/>
      <c r="V106" s="60" t="s">
        <v>179</v>
      </c>
      <c r="W106" s="60"/>
      <c r="X106" s="60"/>
      <c r="Y106" s="60"/>
      <c r="Z106" s="114"/>
      <c r="AB106" s="242"/>
      <c r="AC106" s="60"/>
      <c r="AD106" s="60"/>
      <c r="AE106" s="60"/>
      <c r="AF106" s="132"/>
      <c r="AG106" s="257"/>
      <c r="AH106" s="260"/>
      <c r="AI106" s="132"/>
      <c r="AJ106" s="132"/>
      <c r="AK106" s="132"/>
      <c r="AL106" s="132"/>
      <c r="AM106" s="257"/>
      <c r="AN106" s="260"/>
      <c r="AO106" s="132"/>
      <c r="AP106" s="132"/>
      <c r="AQ106" s="132"/>
      <c r="AR106" s="132"/>
      <c r="AS106" s="132"/>
      <c r="AT106" s="257"/>
      <c r="AU106" s="133"/>
    </row>
    <row r="107" spans="2:48" x14ac:dyDescent="0.2">
      <c r="B107" s="59"/>
      <c r="C107" s="59"/>
      <c r="D107" s="60"/>
      <c r="E107" s="60"/>
      <c r="F107" s="60"/>
      <c r="G107" s="60"/>
      <c r="H107" s="60"/>
      <c r="I107" s="60"/>
      <c r="J107" s="60"/>
      <c r="K107" s="60"/>
      <c r="L107" s="60"/>
      <c r="M107" s="60"/>
      <c r="N107" s="60"/>
      <c r="O107" s="60"/>
      <c r="P107" s="60"/>
      <c r="Q107" s="60"/>
      <c r="R107" s="60"/>
      <c r="S107" s="60"/>
      <c r="T107" s="60"/>
      <c r="U107" s="60"/>
      <c r="V107" s="60"/>
      <c r="W107" s="60"/>
      <c r="X107" s="60"/>
      <c r="Y107" s="60"/>
      <c r="Z107" s="114"/>
      <c r="AB107" s="242"/>
      <c r="AC107" s="60"/>
      <c r="AD107" s="60"/>
      <c r="AE107" s="60"/>
      <c r="AF107" s="132"/>
      <c r="AG107" s="257"/>
      <c r="AH107" s="260"/>
      <c r="AI107" s="132"/>
      <c r="AJ107" s="132"/>
      <c r="AK107" s="132"/>
      <c r="AL107" s="132"/>
      <c r="AM107" s="257"/>
      <c r="AN107" s="260"/>
      <c r="AO107" s="132"/>
      <c r="AP107" s="132"/>
      <c r="AQ107" s="132"/>
      <c r="AR107" s="132"/>
      <c r="AS107" s="132"/>
      <c r="AT107" s="257"/>
      <c r="AU107" s="133"/>
    </row>
    <row r="108" spans="2:48" ht="15" customHeight="1" x14ac:dyDescent="0.2">
      <c r="B108" s="59"/>
      <c r="C108" s="59"/>
      <c r="D108" s="60"/>
      <c r="E108" s="71" t="str">
        <f>'Sprachen &amp; Rückgabewerte(5)'!$H$141</f>
        <v>Einzug an der rechten Anlagenseite:</v>
      </c>
      <c r="F108" s="60"/>
      <c r="G108" s="60"/>
      <c r="H108" s="60"/>
      <c r="I108" s="60"/>
      <c r="J108" s="60"/>
      <c r="K108" s="60"/>
      <c r="L108" s="60"/>
      <c r="M108" s="60"/>
      <c r="N108" s="60"/>
      <c r="O108" s="60"/>
      <c r="P108" s="60"/>
      <c r="Q108" s="60"/>
      <c r="R108" s="60"/>
      <c r="S108" s="60"/>
      <c r="T108" s="670"/>
      <c r="U108" s="719"/>
      <c r="V108" s="60" t="s">
        <v>179</v>
      </c>
      <c r="W108" s="60"/>
      <c r="X108" s="60"/>
      <c r="Y108" s="60"/>
      <c r="Z108" s="114"/>
      <c r="AB108" s="242"/>
      <c r="AC108" s="60"/>
      <c r="AD108" s="60"/>
      <c r="AE108" s="60"/>
      <c r="AF108" s="132"/>
      <c r="AG108" s="257"/>
      <c r="AH108" s="260"/>
      <c r="AI108" s="132"/>
      <c r="AJ108" s="132"/>
      <c r="AK108" s="132"/>
      <c r="AL108" s="132"/>
      <c r="AM108" s="257"/>
      <c r="AN108" s="260"/>
      <c r="AO108" s="132"/>
      <c r="AP108" s="132"/>
      <c r="AQ108" s="132"/>
      <c r="AR108" s="132"/>
      <c r="AS108" s="132"/>
      <c r="AT108" s="257"/>
      <c r="AU108" s="133"/>
    </row>
    <row r="109" spans="2:48" x14ac:dyDescent="0.2">
      <c r="B109" s="59"/>
      <c r="C109" s="59"/>
      <c r="D109" s="60"/>
      <c r="E109" s="60"/>
      <c r="F109" s="60"/>
      <c r="G109" s="60"/>
      <c r="H109" s="60"/>
      <c r="I109" s="60"/>
      <c r="J109" s="60"/>
      <c r="K109" s="60"/>
      <c r="L109" s="60"/>
      <c r="M109" s="60"/>
      <c r="N109" s="60"/>
      <c r="O109" s="60"/>
      <c r="P109" s="60"/>
      <c r="Q109" s="60"/>
      <c r="R109" s="60"/>
      <c r="S109" s="60"/>
      <c r="T109" s="60"/>
      <c r="U109" s="60"/>
      <c r="V109" s="60"/>
      <c r="W109" s="60"/>
      <c r="X109" s="60"/>
      <c r="Y109" s="60"/>
      <c r="Z109" s="114"/>
      <c r="AB109" s="242"/>
      <c r="AC109" s="60"/>
      <c r="AD109" s="60"/>
      <c r="AE109" s="60"/>
      <c r="AF109" s="132"/>
      <c r="AG109" s="257"/>
      <c r="AH109" s="260"/>
      <c r="AI109" s="132"/>
      <c r="AJ109" s="132"/>
      <c r="AK109" s="132"/>
      <c r="AL109" s="132"/>
      <c r="AM109" s="257"/>
      <c r="AN109" s="260"/>
      <c r="AO109" s="132"/>
      <c r="AP109" s="132"/>
      <c r="AQ109" s="132"/>
      <c r="AR109" s="132"/>
      <c r="AS109" s="132"/>
      <c r="AT109" s="257"/>
      <c r="AU109" s="133"/>
    </row>
    <row r="110" spans="2:48" ht="15" customHeight="1" x14ac:dyDescent="0.2">
      <c r="B110" s="59"/>
      <c r="C110" s="59"/>
      <c r="D110" s="60"/>
      <c r="E110" s="71" t="str">
        <f>'Sprachen &amp; Rückgabewerte(5)'!$H$142</f>
        <v>Anschlussstutzen:</v>
      </c>
      <c r="F110" s="60"/>
      <c r="G110" s="60"/>
      <c r="H110" s="60"/>
      <c r="I110" s="60"/>
      <c r="J110" s="60"/>
      <c r="K110" s="60"/>
      <c r="L110" s="60"/>
      <c r="M110" s="60"/>
      <c r="N110" s="60"/>
      <c r="O110" s="60"/>
      <c r="P110" s="60"/>
      <c r="Q110" s="60"/>
      <c r="R110" s="60"/>
      <c r="S110" s="60"/>
      <c r="T110" s="717"/>
      <c r="U110" s="720"/>
      <c r="V110" s="720"/>
      <c r="W110" s="720"/>
      <c r="X110" s="720"/>
      <c r="Y110" s="718"/>
      <c r="Z110" s="530"/>
      <c r="AB110" s="261"/>
      <c r="AC110" s="262"/>
      <c r="AD110" s="262"/>
      <c r="AE110" s="262"/>
      <c r="AF110" s="263"/>
      <c r="AG110" s="264"/>
      <c r="AH110" s="265"/>
      <c r="AI110" s="263"/>
      <c r="AJ110" s="263"/>
      <c r="AK110" s="263"/>
      <c r="AL110" s="263"/>
      <c r="AM110" s="264"/>
      <c r="AN110" s="265"/>
      <c r="AO110" s="263"/>
      <c r="AP110" s="263"/>
      <c r="AQ110" s="263"/>
      <c r="AR110" s="263"/>
      <c r="AS110" s="263"/>
      <c r="AT110" s="264"/>
      <c r="AU110" s="133"/>
    </row>
    <row r="111" spans="2:48" x14ac:dyDescent="0.2">
      <c r="B111" s="59"/>
      <c r="C111" s="59"/>
      <c r="D111" s="60"/>
      <c r="E111" s="60"/>
      <c r="F111" s="60"/>
      <c r="G111" s="60"/>
      <c r="H111" s="60"/>
      <c r="I111" s="60"/>
      <c r="J111" s="60"/>
      <c r="K111" s="60"/>
      <c r="L111" s="60"/>
      <c r="M111" s="60"/>
      <c r="N111" s="60"/>
      <c r="O111" s="60"/>
      <c r="P111" s="60"/>
      <c r="Q111" s="60"/>
      <c r="R111" s="60"/>
      <c r="S111" s="60"/>
      <c r="T111" s="60"/>
      <c r="U111" s="60"/>
      <c r="V111" s="60"/>
      <c r="W111" s="60"/>
      <c r="X111" s="60"/>
      <c r="Y111" s="60"/>
      <c r="Z111" s="114"/>
      <c r="AB111" s="266"/>
      <c r="AC111" s="267"/>
      <c r="AD111" s="267"/>
      <c r="AE111" s="267"/>
      <c r="AF111" s="268"/>
      <c r="AG111" s="269"/>
      <c r="AH111" s="268"/>
      <c r="AI111" s="268"/>
      <c r="AJ111" s="268"/>
      <c r="AK111" s="268"/>
      <c r="AL111" s="268"/>
      <c r="AM111" s="268"/>
      <c r="AN111" s="270"/>
      <c r="AO111" s="268"/>
      <c r="AP111" s="268"/>
      <c r="AQ111" s="268"/>
      <c r="AR111" s="268"/>
      <c r="AS111" s="268"/>
      <c r="AT111" s="269"/>
      <c r="AU111" s="133"/>
    </row>
    <row r="112" spans="2:48" ht="15" customHeight="1" x14ac:dyDescent="0.2">
      <c r="B112" s="59"/>
      <c r="C112" s="59"/>
      <c r="D112" s="60"/>
      <c r="E112" s="60"/>
      <c r="F112" s="60"/>
      <c r="G112" s="60"/>
      <c r="H112" s="60"/>
      <c r="I112" s="60"/>
      <c r="J112" s="60"/>
      <c r="K112" s="60"/>
      <c r="L112" s="60"/>
      <c r="M112" s="60"/>
      <c r="N112" s="60"/>
      <c r="O112" s="60"/>
      <c r="P112" s="60"/>
      <c r="Q112" s="60"/>
      <c r="R112" s="275" t="str">
        <f>IF($T$110='Sprachen &amp; Rückgabewerte(5)'!$J$143,'Sprachen &amp; Rückgabewerte(5)'!$H$145,'Sprachen &amp; Rückgabewerte(5)'!$H$148)</f>
        <v>Abstände Ablaufstutzen (E):</v>
      </c>
      <c r="S112" s="60"/>
      <c r="T112" s="721"/>
      <c r="U112" s="722"/>
      <c r="V112" s="722"/>
      <c r="W112" s="722"/>
      <c r="X112" s="722"/>
      <c r="Y112" s="723"/>
      <c r="Z112" s="531"/>
      <c r="AB112" s="242"/>
      <c r="AC112" s="60"/>
      <c r="AD112" s="60"/>
      <c r="AE112" s="60"/>
      <c r="AF112" s="132"/>
      <c r="AG112" s="257"/>
      <c r="AH112" s="132"/>
      <c r="AI112" s="132"/>
      <c r="AJ112" s="132"/>
      <c r="AK112" s="132"/>
      <c r="AL112" s="132"/>
      <c r="AM112" s="132"/>
      <c r="AN112" s="260"/>
      <c r="AO112" s="132"/>
      <c r="AP112" s="132"/>
      <c r="AQ112" s="132"/>
      <c r="AR112" s="132"/>
      <c r="AS112" s="132"/>
      <c r="AT112" s="257"/>
      <c r="AU112" s="133"/>
    </row>
    <row r="113" spans="2:47" x14ac:dyDescent="0.2">
      <c r="B113" s="59"/>
      <c r="C113" s="59"/>
      <c r="D113" s="60"/>
      <c r="E113" s="276"/>
      <c r="F113" s="276"/>
      <c r="G113" s="276"/>
      <c r="H113" s="276"/>
      <c r="I113" s="276"/>
      <c r="J113" s="276"/>
      <c r="K113" s="276"/>
      <c r="L113" s="276"/>
      <c r="M113" s="276"/>
      <c r="N113" s="276"/>
      <c r="O113" s="276"/>
      <c r="P113" s="276"/>
      <c r="Q113" s="276"/>
      <c r="R113" s="276"/>
      <c r="S113" s="276"/>
      <c r="T113" s="60"/>
      <c r="U113" s="60"/>
      <c r="V113" s="60"/>
      <c r="W113" s="60"/>
      <c r="X113" s="60"/>
      <c r="Y113" s="60"/>
      <c r="Z113" s="114"/>
      <c r="AB113" s="242"/>
      <c r="AC113" s="60"/>
      <c r="AD113" s="60"/>
      <c r="AE113" s="60"/>
      <c r="AF113" s="132"/>
      <c r="AG113" s="257"/>
      <c r="AH113" s="132"/>
      <c r="AI113" s="132"/>
      <c r="AJ113" s="132"/>
      <c r="AK113" s="132"/>
      <c r="AL113" s="132"/>
      <c r="AM113" s="132"/>
      <c r="AN113" s="260"/>
      <c r="AO113" s="132"/>
      <c r="AP113" s="132"/>
      <c r="AQ113" s="132"/>
      <c r="AR113" s="132"/>
      <c r="AS113" s="132"/>
      <c r="AT113" s="257"/>
      <c r="AU113" s="114"/>
    </row>
    <row r="114" spans="2:47" ht="15" customHeight="1" x14ac:dyDescent="0.2">
      <c r="B114" s="59"/>
      <c r="C114" s="59"/>
      <c r="D114" s="60"/>
      <c r="E114" s="276"/>
      <c r="F114" s="276"/>
      <c r="G114" s="276"/>
      <c r="H114" s="276"/>
      <c r="I114" s="276"/>
      <c r="J114" s="276"/>
      <c r="K114" s="276"/>
      <c r="L114" s="276"/>
      <c r="M114" s="276"/>
      <c r="N114" s="276"/>
      <c r="O114" s="276"/>
      <c r="P114" s="276"/>
      <c r="Q114" s="276"/>
      <c r="R114" s="275" t="str">
        <f>'Sprachen &amp; Rückgabewerte(5)'!H149</f>
        <v>Rinnenanschluss:</v>
      </c>
      <c r="S114" s="276"/>
      <c r="T114" s="717"/>
      <c r="U114" s="718"/>
      <c r="V114" s="60"/>
      <c r="W114" s="60"/>
      <c r="X114" s="60"/>
      <c r="Y114" s="60"/>
      <c r="Z114" s="114"/>
      <c r="AB114" s="242"/>
      <c r="AC114" s="60"/>
      <c r="AD114" s="60"/>
      <c r="AE114" s="60"/>
      <c r="AF114" s="132"/>
      <c r="AG114" s="257"/>
      <c r="AH114" s="132"/>
      <c r="AI114" s="132"/>
      <c r="AJ114" s="132"/>
      <c r="AK114" s="132"/>
      <c r="AL114" s="132"/>
      <c r="AM114" s="132"/>
      <c r="AN114" s="260"/>
      <c r="AO114" s="132"/>
      <c r="AP114" s="132"/>
      <c r="AQ114" s="132"/>
      <c r="AR114" s="132"/>
      <c r="AS114" s="132"/>
      <c r="AT114" s="257"/>
      <c r="AU114" s="114"/>
    </row>
    <row r="115" spans="2:47" x14ac:dyDescent="0.2">
      <c r="B115" s="59"/>
      <c r="C115" s="59"/>
      <c r="D115" s="60"/>
      <c r="E115" s="60"/>
      <c r="F115" s="60"/>
      <c r="G115" s="60"/>
      <c r="H115" s="60"/>
      <c r="I115" s="60"/>
      <c r="J115" s="60"/>
      <c r="K115" s="60"/>
      <c r="L115" s="60"/>
      <c r="M115" s="60"/>
      <c r="N115" s="60"/>
      <c r="O115" s="60"/>
      <c r="P115" s="60"/>
      <c r="Q115" s="60"/>
      <c r="R115" s="60"/>
      <c r="S115" s="60"/>
      <c r="T115" s="60"/>
      <c r="U115" s="60"/>
      <c r="V115" s="60"/>
      <c r="W115" s="60"/>
      <c r="X115" s="60"/>
      <c r="Y115" s="60"/>
      <c r="Z115" s="114"/>
      <c r="AA115" s="60"/>
      <c r="AB115" s="242"/>
      <c r="AC115" s="60"/>
      <c r="AD115" s="60"/>
      <c r="AE115" s="60"/>
      <c r="AF115" s="60"/>
      <c r="AG115" s="257"/>
      <c r="AH115" s="132"/>
      <c r="AI115" s="132"/>
      <c r="AJ115" s="132"/>
      <c r="AK115" s="132"/>
      <c r="AL115" s="132"/>
      <c r="AM115" s="132"/>
      <c r="AN115" s="260"/>
      <c r="AO115" s="60"/>
      <c r="AP115" s="60"/>
      <c r="AQ115" s="60"/>
      <c r="AR115" s="60"/>
      <c r="AS115" s="60"/>
      <c r="AT115" s="244"/>
      <c r="AU115" s="114"/>
    </row>
    <row r="116" spans="2:47" x14ac:dyDescent="0.2">
      <c r="B116" s="59"/>
      <c r="C116" s="59"/>
      <c r="D116" s="60"/>
      <c r="E116" s="664" t="str">
        <f>IF('Sprachen &amp; Rückgabewerte(5)'!$I$50=TRUE,'Sprachen &amp; Rückgabewerte(5)'!$H$102,"")</f>
        <v/>
      </c>
      <c r="F116" s="664"/>
      <c r="G116" s="664"/>
      <c r="H116" s="664"/>
      <c r="I116" s="664"/>
      <c r="J116" s="664"/>
      <c r="K116" s="664"/>
      <c r="L116" s="664"/>
      <c r="M116" s="664"/>
      <c r="N116" s="664"/>
      <c r="O116" s="664"/>
      <c r="P116" s="664"/>
      <c r="Q116" s="664"/>
      <c r="R116" s="664"/>
      <c r="S116" s="60"/>
      <c r="T116" s="60"/>
      <c r="U116" s="60"/>
      <c r="V116" s="60"/>
      <c r="W116" s="60"/>
      <c r="X116" s="60"/>
      <c r="Y116" s="60"/>
      <c r="Z116" s="114"/>
      <c r="AA116" s="60"/>
      <c r="AB116" s="242"/>
      <c r="AC116" s="60"/>
      <c r="AD116" s="60"/>
      <c r="AE116" s="60"/>
      <c r="AF116" s="60"/>
      <c r="AG116" s="257"/>
      <c r="AH116" s="132"/>
      <c r="AI116" s="132"/>
      <c r="AJ116" s="132"/>
      <c r="AK116" s="132"/>
      <c r="AL116" s="132"/>
      <c r="AM116" s="132"/>
      <c r="AN116" s="260"/>
      <c r="AO116" s="60"/>
      <c r="AP116" s="60"/>
      <c r="AQ116" s="60"/>
      <c r="AR116" s="60"/>
      <c r="AS116" s="60"/>
      <c r="AT116" s="244"/>
      <c r="AU116" s="114"/>
    </row>
    <row r="117" spans="2:47" ht="12.75" customHeight="1" x14ac:dyDescent="0.2">
      <c r="B117" s="59"/>
      <c r="C117" s="59"/>
      <c r="D117" s="60"/>
      <c r="E117" s="664"/>
      <c r="F117" s="664"/>
      <c r="G117" s="664"/>
      <c r="H117" s="664"/>
      <c r="I117" s="664"/>
      <c r="J117" s="664"/>
      <c r="K117" s="664"/>
      <c r="L117" s="664"/>
      <c r="M117" s="664"/>
      <c r="N117" s="664"/>
      <c r="O117" s="664"/>
      <c r="P117" s="664"/>
      <c r="Q117" s="664"/>
      <c r="R117" s="664"/>
      <c r="S117" s="132"/>
      <c r="T117" s="132"/>
      <c r="U117" s="132"/>
      <c r="V117" s="132"/>
      <c r="W117" s="132"/>
      <c r="X117" s="132"/>
      <c r="Y117" s="132"/>
      <c r="Z117" s="133"/>
      <c r="AA117" s="132"/>
      <c r="AB117" s="260"/>
      <c r="AC117" s="132"/>
      <c r="AD117" s="132"/>
      <c r="AE117" s="132"/>
      <c r="AF117" s="132"/>
      <c r="AG117" s="257"/>
      <c r="AH117" s="132"/>
      <c r="AI117" s="132"/>
      <c r="AJ117" s="132"/>
      <c r="AK117" s="132"/>
      <c r="AL117" s="132"/>
      <c r="AM117" s="132"/>
      <c r="AN117" s="260"/>
      <c r="AO117" s="60"/>
      <c r="AP117" s="60"/>
      <c r="AQ117" s="60"/>
      <c r="AR117" s="60"/>
      <c r="AS117" s="60"/>
      <c r="AT117" s="244"/>
      <c r="AU117" s="114"/>
    </row>
    <row r="118" spans="2:47" x14ac:dyDescent="0.2">
      <c r="B118" s="59"/>
      <c r="C118" s="59"/>
      <c r="D118" s="60"/>
      <c r="E118" s="664"/>
      <c r="F118" s="664"/>
      <c r="G118" s="664"/>
      <c r="H118" s="664"/>
      <c r="I118" s="664"/>
      <c r="J118" s="664"/>
      <c r="K118" s="664"/>
      <c r="L118" s="664"/>
      <c r="M118" s="664"/>
      <c r="N118" s="664"/>
      <c r="O118" s="664"/>
      <c r="P118" s="664"/>
      <c r="Q118" s="664"/>
      <c r="R118" s="664"/>
      <c r="S118" s="60"/>
      <c r="T118" s="60"/>
      <c r="U118" s="60"/>
      <c r="V118" s="60"/>
      <c r="W118" s="60"/>
      <c r="X118" s="60"/>
      <c r="Y118" s="60"/>
      <c r="Z118" s="114"/>
      <c r="AB118" s="242"/>
      <c r="AC118" s="60"/>
      <c r="AD118" s="60"/>
      <c r="AE118" s="60"/>
      <c r="AF118" s="60"/>
      <c r="AG118" s="244"/>
      <c r="AH118" s="60"/>
      <c r="AI118" s="60"/>
      <c r="AJ118" s="60"/>
      <c r="AK118" s="60"/>
      <c r="AL118" s="60"/>
      <c r="AM118" s="60"/>
      <c r="AN118" s="242"/>
      <c r="AO118" s="60"/>
      <c r="AP118" s="60"/>
      <c r="AQ118" s="60"/>
      <c r="AR118" s="60"/>
      <c r="AS118" s="60"/>
      <c r="AT118" s="244"/>
      <c r="AU118" s="114"/>
    </row>
    <row r="119" spans="2:47" x14ac:dyDescent="0.2">
      <c r="B119" s="59"/>
      <c r="C119" s="59"/>
      <c r="D119" s="60"/>
      <c r="E119" s="60"/>
      <c r="F119" s="60"/>
      <c r="G119" s="60"/>
      <c r="H119" s="60"/>
      <c r="I119" s="60"/>
      <c r="J119" s="60"/>
      <c r="K119" s="60"/>
      <c r="L119" s="60"/>
      <c r="M119" s="60"/>
      <c r="N119" s="60"/>
      <c r="O119" s="60"/>
      <c r="P119" s="60"/>
      <c r="Q119" s="60"/>
      <c r="R119" s="60"/>
      <c r="S119" s="60"/>
      <c r="T119" s="60"/>
      <c r="U119" s="60"/>
      <c r="V119" s="60"/>
      <c r="W119" s="60"/>
      <c r="X119" s="60"/>
      <c r="Y119" s="60"/>
      <c r="Z119" s="114"/>
      <c r="AB119" s="242"/>
      <c r="AC119" s="60"/>
      <c r="AD119" s="60"/>
      <c r="AE119" s="60"/>
      <c r="AF119" s="60"/>
      <c r="AG119" s="244"/>
      <c r="AH119" s="60"/>
      <c r="AI119" s="60"/>
      <c r="AJ119" s="60"/>
      <c r="AK119" s="60"/>
      <c r="AL119" s="60"/>
      <c r="AM119" s="60"/>
      <c r="AN119" s="242"/>
      <c r="AO119" s="60"/>
      <c r="AP119" s="60"/>
      <c r="AQ119" s="60"/>
      <c r="AR119" s="60"/>
      <c r="AS119" s="60"/>
      <c r="AT119" s="244"/>
      <c r="AU119" s="114"/>
    </row>
    <row r="120" spans="2:47" ht="13.5" thickBot="1" x14ac:dyDescent="0.25">
      <c r="B120" s="59"/>
      <c r="C120" s="67"/>
      <c r="D120" s="83"/>
      <c r="E120" s="83"/>
      <c r="F120" s="83"/>
      <c r="G120" s="83"/>
      <c r="H120" s="83"/>
      <c r="I120" s="83"/>
      <c r="J120" s="83"/>
      <c r="K120" s="83"/>
      <c r="L120" s="83"/>
      <c r="M120" s="83"/>
      <c r="N120" s="83"/>
      <c r="O120" s="83"/>
      <c r="P120" s="83"/>
      <c r="Q120" s="83"/>
      <c r="R120" s="83"/>
      <c r="S120" s="83"/>
      <c r="T120" s="83"/>
      <c r="U120" s="83"/>
      <c r="V120" s="83"/>
      <c r="W120" s="83"/>
      <c r="X120" s="83"/>
      <c r="Y120" s="83"/>
      <c r="Z120" s="115"/>
      <c r="AB120" s="258"/>
      <c r="AC120" s="248"/>
      <c r="AD120" s="248"/>
      <c r="AE120" s="248"/>
      <c r="AF120" s="248"/>
      <c r="AG120" s="250"/>
      <c r="AH120" s="248"/>
      <c r="AI120" s="248"/>
      <c r="AJ120" s="248"/>
      <c r="AK120" s="248"/>
      <c r="AL120" s="248"/>
      <c r="AM120" s="248"/>
      <c r="AN120" s="258"/>
      <c r="AO120" s="248"/>
      <c r="AP120" s="248"/>
      <c r="AQ120" s="248"/>
      <c r="AR120" s="248"/>
      <c r="AS120" s="248"/>
      <c r="AT120" s="250"/>
      <c r="AU120" s="114"/>
    </row>
    <row r="121" spans="2:47" ht="13.5" thickTop="1" x14ac:dyDescent="0.2">
      <c r="B121" s="59"/>
      <c r="AU121" s="114"/>
    </row>
    <row r="122" spans="2:47" ht="12.95" customHeight="1" x14ac:dyDescent="0.2">
      <c r="B122" s="59"/>
      <c r="L122" s="60"/>
      <c r="M122" s="60"/>
      <c r="N122" s="60"/>
      <c r="O122" s="60"/>
      <c r="P122" s="60"/>
      <c r="Q122" s="60"/>
      <c r="R122" s="60"/>
      <c r="S122" s="60"/>
      <c r="T122" s="60"/>
      <c r="U122" s="60"/>
      <c r="V122" s="60"/>
      <c r="W122" s="60"/>
      <c r="X122" s="60"/>
      <c r="Y122" s="60"/>
      <c r="Z122" s="60"/>
      <c r="AA122" s="60"/>
      <c r="AB122" s="111"/>
      <c r="AC122" s="81"/>
      <c r="AD122" s="81"/>
      <c r="AE122" s="81"/>
      <c r="AF122" s="81"/>
      <c r="AG122" s="81"/>
      <c r="AH122" s="81"/>
      <c r="AI122" s="81"/>
      <c r="AJ122" s="81"/>
      <c r="AK122" s="81"/>
      <c r="AL122" s="81"/>
      <c r="AM122" s="81"/>
      <c r="AN122" s="81"/>
      <c r="AO122" s="81"/>
      <c r="AP122" s="81"/>
      <c r="AQ122" s="81"/>
      <c r="AR122" s="81"/>
      <c r="AS122" s="81"/>
      <c r="AT122" s="113"/>
      <c r="AU122" s="114"/>
    </row>
    <row r="123" spans="2:47" ht="12.95" customHeight="1" x14ac:dyDescent="0.2">
      <c r="B123" s="59"/>
      <c r="L123" s="60"/>
      <c r="M123" s="60"/>
      <c r="N123" s="60"/>
      <c r="O123" s="60"/>
      <c r="P123" s="60"/>
      <c r="Q123" s="60"/>
      <c r="R123" s="60"/>
      <c r="S123" s="60"/>
      <c r="T123" s="60"/>
      <c r="U123" s="60"/>
      <c r="V123" s="60"/>
      <c r="W123" s="60"/>
      <c r="X123" s="60"/>
      <c r="Y123" s="60"/>
      <c r="Z123" s="60"/>
      <c r="AA123" s="60"/>
      <c r="AB123" s="59"/>
      <c r="AC123" s="60"/>
      <c r="AD123" s="60"/>
      <c r="AE123" s="60"/>
      <c r="AF123" s="60"/>
      <c r="AG123" s="60"/>
      <c r="AH123" s="60"/>
      <c r="AI123" s="60"/>
      <c r="AJ123" s="60"/>
      <c r="AK123" s="60"/>
      <c r="AL123" s="60"/>
      <c r="AM123" s="60"/>
      <c r="AN123" s="60"/>
      <c r="AO123" s="60"/>
      <c r="AP123" s="60"/>
      <c r="AQ123" s="60"/>
      <c r="AR123" s="60"/>
      <c r="AS123" s="60"/>
      <c r="AT123" s="114"/>
      <c r="AU123" s="114"/>
    </row>
    <row r="124" spans="2:47" ht="12.95" customHeight="1" x14ac:dyDescent="0.2">
      <c r="B124" s="59"/>
      <c r="L124" s="60"/>
      <c r="M124" s="60"/>
      <c r="N124" s="60"/>
      <c r="O124" s="60"/>
      <c r="P124" s="60"/>
      <c r="Q124" s="60"/>
      <c r="R124" s="60"/>
      <c r="S124" s="60"/>
      <c r="T124" s="60"/>
      <c r="U124" s="60"/>
      <c r="V124" s="60"/>
      <c r="W124" s="60"/>
      <c r="X124" s="60"/>
      <c r="Y124" s="60"/>
      <c r="Z124" s="60"/>
      <c r="AA124" s="60"/>
      <c r="AB124" s="59"/>
      <c r="AC124" s="60"/>
      <c r="AD124" s="60"/>
      <c r="AE124" s="60"/>
      <c r="AF124" s="60"/>
      <c r="AG124" s="60"/>
      <c r="AH124" s="60"/>
      <c r="AI124" s="60"/>
      <c r="AJ124" s="60"/>
      <c r="AK124" s="60"/>
      <c r="AL124" s="60"/>
      <c r="AM124" s="60"/>
      <c r="AN124" s="60"/>
      <c r="AO124" s="60"/>
      <c r="AP124" s="60"/>
      <c r="AQ124" s="60"/>
      <c r="AR124" s="60"/>
      <c r="AS124" s="60"/>
      <c r="AT124" s="114"/>
      <c r="AU124" s="114"/>
    </row>
    <row r="125" spans="2:47" ht="12.95" customHeight="1" x14ac:dyDescent="0.2">
      <c r="B125" s="59"/>
      <c r="L125" s="60"/>
      <c r="M125" s="60"/>
      <c r="N125" s="60"/>
      <c r="O125" s="60"/>
      <c r="P125" s="60"/>
      <c r="Q125" s="60"/>
      <c r="R125" s="60"/>
      <c r="S125" s="60"/>
      <c r="T125" s="60"/>
      <c r="U125" s="60"/>
      <c r="V125" s="60"/>
      <c r="W125" s="60"/>
      <c r="X125" s="60"/>
      <c r="Y125" s="60"/>
      <c r="Z125" s="60"/>
      <c r="AA125" s="60"/>
      <c r="AB125" s="59"/>
      <c r="AC125" s="60"/>
      <c r="AD125" s="60"/>
      <c r="AE125" s="60"/>
      <c r="AF125" s="60"/>
      <c r="AG125" s="60"/>
      <c r="AH125" s="60"/>
      <c r="AI125" s="60"/>
      <c r="AJ125" s="60"/>
      <c r="AK125" s="60"/>
      <c r="AL125" s="60"/>
      <c r="AM125" s="60"/>
      <c r="AN125" s="60"/>
      <c r="AO125" s="60"/>
      <c r="AP125" s="60"/>
      <c r="AQ125" s="60"/>
      <c r="AR125" s="60"/>
      <c r="AS125" s="60"/>
      <c r="AT125" s="114"/>
      <c r="AU125" s="114"/>
    </row>
    <row r="126" spans="2:47" ht="12.95" customHeight="1" x14ac:dyDescent="0.2">
      <c r="B126" s="59"/>
      <c r="L126" s="60"/>
      <c r="M126" s="60"/>
      <c r="N126" s="60"/>
      <c r="O126" s="60"/>
      <c r="P126" s="60"/>
      <c r="Q126" s="60"/>
      <c r="R126" s="60"/>
      <c r="S126" s="60"/>
      <c r="T126" s="60"/>
      <c r="U126" s="60"/>
      <c r="V126" s="60"/>
      <c r="W126" s="60"/>
      <c r="X126" s="60"/>
      <c r="Y126" s="60"/>
      <c r="Z126" s="60"/>
      <c r="AA126" s="60"/>
      <c r="AB126" s="59"/>
      <c r="AC126" s="60"/>
      <c r="AD126" s="60"/>
      <c r="AE126" s="60"/>
      <c r="AF126" s="60"/>
      <c r="AG126" s="60"/>
      <c r="AH126" s="60"/>
      <c r="AI126" s="60"/>
      <c r="AJ126" s="60"/>
      <c r="AK126" s="132"/>
      <c r="AL126" s="132"/>
      <c r="AM126" s="132"/>
      <c r="AN126" s="132"/>
      <c r="AO126" s="132"/>
      <c r="AP126" s="60"/>
      <c r="AQ126" s="60"/>
      <c r="AR126" s="60"/>
      <c r="AS126" s="60"/>
      <c r="AT126" s="114"/>
      <c r="AU126" s="114"/>
    </row>
    <row r="127" spans="2:47" ht="12.95" customHeight="1" x14ac:dyDescent="0.2">
      <c r="B127" s="59"/>
      <c r="L127" s="60"/>
      <c r="M127" s="60"/>
      <c r="N127" s="60"/>
      <c r="O127" s="60"/>
      <c r="P127" s="60"/>
      <c r="Q127" s="60"/>
      <c r="R127" s="60"/>
      <c r="S127" s="60"/>
      <c r="T127" s="60"/>
      <c r="U127" s="60"/>
      <c r="V127" s="60"/>
      <c r="W127" s="60"/>
      <c r="X127" s="60"/>
      <c r="Y127" s="60"/>
      <c r="Z127" s="60"/>
      <c r="AA127" s="60"/>
      <c r="AB127" s="59"/>
      <c r="AC127" s="60"/>
      <c r="AD127" s="60"/>
      <c r="AE127" s="60"/>
      <c r="AF127" s="60"/>
      <c r="AG127" s="60"/>
      <c r="AH127" s="60"/>
      <c r="AI127" s="60"/>
      <c r="AJ127" s="60"/>
      <c r="AK127" s="132"/>
      <c r="AL127" s="132"/>
      <c r="AM127" s="132"/>
      <c r="AN127" s="132"/>
      <c r="AO127" s="132"/>
      <c r="AP127" s="60"/>
      <c r="AQ127" s="60"/>
      <c r="AR127" s="60"/>
      <c r="AS127" s="60"/>
      <c r="AT127" s="114"/>
      <c r="AU127" s="114"/>
    </row>
    <row r="128" spans="2:47" ht="12.95" customHeight="1" x14ac:dyDescent="0.2">
      <c r="B128" s="59"/>
      <c r="L128" s="60"/>
      <c r="M128" s="60"/>
      <c r="N128" s="60"/>
      <c r="O128" s="60"/>
      <c r="P128" s="60"/>
      <c r="Q128" s="60"/>
      <c r="R128" s="60"/>
      <c r="S128" s="60"/>
      <c r="T128" s="60"/>
      <c r="U128" s="60"/>
      <c r="V128" s="60"/>
      <c r="W128" s="60"/>
      <c r="X128" s="60"/>
      <c r="Y128" s="60"/>
      <c r="Z128" s="60"/>
      <c r="AA128" s="60"/>
      <c r="AB128" s="59"/>
      <c r="AC128" s="60"/>
      <c r="AD128" s="60"/>
      <c r="AE128" s="60"/>
      <c r="AF128" s="60"/>
      <c r="AG128" s="60"/>
      <c r="AH128" s="60"/>
      <c r="AI128" s="60"/>
      <c r="AJ128" s="60"/>
      <c r="AK128" s="132"/>
      <c r="AL128" s="132"/>
      <c r="AM128" s="132"/>
      <c r="AN128" s="132"/>
      <c r="AO128" s="132"/>
      <c r="AP128" s="60"/>
      <c r="AQ128" s="60"/>
      <c r="AR128" s="60"/>
      <c r="AS128" s="60"/>
      <c r="AT128" s="114"/>
      <c r="AU128" s="114"/>
    </row>
    <row r="129" spans="2:47" ht="12.95" customHeight="1" x14ac:dyDescent="0.2">
      <c r="B129" s="59"/>
      <c r="L129" s="60"/>
      <c r="M129" s="60"/>
      <c r="N129" s="60"/>
      <c r="O129" s="60"/>
      <c r="P129" s="60"/>
      <c r="Q129" s="60"/>
      <c r="R129" s="60"/>
      <c r="S129" s="60"/>
      <c r="T129" s="60"/>
      <c r="U129" s="60"/>
      <c r="V129" s="60"/>
      <c r="W129" s="60"/>
      <c r="X129" s="60"/>
      <c r="Y129" s="60"/>
      <c r="Z129" s="60"/>
      <c r="AA129" s="60"/>
      <c r="AB129" s="59"/>
      <c r="AC129" s="60"/>
      <c r="AD129" s="60"/>
      <c r="AE129" s="60"/>
      <c r="AF129" s="155"/>
      <c r="AG129" s="60"/>
      <c r="AH129" s="60"/>
      <c r="AI129" s="60"/>
      <c r="AJ129" s="60"/>
      <c r="AK129" s="132"/>
      <c r="AL129" s="132"/>
      <c r="AM129" s="132"/>
      <c r="AN129" s="132"/>
      <c r="AO129" s="132"/>
      <c r="AP129" s="60"/>
      <c r="AQ129" s="60"/>
      <c r="AR129" s="60"/>
      <c r="AS129" s="60"/>
      <c r="AT129" s="114"/>
      <c r="AU129" s="114"/>
    </row>
    <row r="130" spans="2:47" ht="12.95" customHeight="1" x14ac:dyDescent="0.2">
      <c r="B130" s="59"/>
      <c r="L130" s="60"/>
      <c r="M130" s="60"/>
      <c r="N130" s="60"/>
      <c r="O130" s="60"/>
      <c r="P130" s="60"/>
      <c r="Q130" s="60"/>
      <c r="R130" s="60"/>
      <c r="S130" s="60"/>
      <c r="T130" s="60"/>
      <c r="U130" s="60"/>
      <c r="V130" s="60"/>
      <c r="W130" s="60"/>
      <c r="X130" s="60"/>
      <c r="Y130" s="60"/>
      <c r="Z130" s="60"/>
      <c r="AA130" s="60"/>
      <c r="AB130" s="59"/>
      <c r="AC130" s="60"/>
      <c r="AD130" s="60"/>
      <c r="AE130" s="60"/>
      <c r="AF130" s="60"/>
      <c r="AG130" s="60"/>
      <c r="AH130" s="60"/>
      <c r="AI130" s="60"/>
      <c r="AJ130" s="60"/>
      <c r="AK130" s="132"/>
      <c r="AL130" s="132"/>
      <c r="AM130" s="132"/>
      <c r="AN130" s="132"/>
      <c r="AO130" s="132"/>
      <c r="AP130" s="60"/>
      <c r="AQ130" s="60"/>
      <c r="AR130" s="60"/>
      <c r="AS130" s="60"/>
      <c r="AT130" s="114"/>
      <c r="AU130" s="114"/>
    </row>
    <row r="131" spans="2:47" ht="12.95" customHeight="1" x14ac:dyDescent="0.2">
      <c r="B131" s="59"/>
      <c r="L131" s="60"/>
      <c r="M131" s="60"/>
      <c r="N131" s="60"/>
      <c r="O131" s="60"/>
      <c r="P131" s="60"/>
      <c r="Q131" s="60"/>
      <c r="R131" s="60"/>
      <c r="S131" s="60"/>
      <c r="T131" s="60"/>
      <c r="U131" s="60"/>
      <c r="V131" s="60"/>
      <c r="W131" s="60"/>
      <c r="X131" s="60"/>
      <c r="Y131" s="60"/>
      <c r="Z131" s="60"/>
      <c r="AA131" s="60"/>
      <c r="AB131" s="59"/>
      <c r="AC131" s="60"/>
      <c r="AD131" s="60"/>
      <c r="AE131" s="215"/>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59"/>
      <c r="L132" s="60"/>
      <c r="M132" s="60"/>
      <c r="N132" s="60"/>
      <c r="O132" s="60"/>
      <c r="P132" s="60"/>
      <c r="Q132" s="60"/>
      <c r="R132" s="60"/>
      <c r="S132" s="60"/>
      <c r="T132" s="60"/>
      <c r="U132" s="60"/>
      <c r="V132" s="60"/>
      <c r="W132" s="60"/>
      <c r="X132" s="60"/>
      <c r="Y132" s="60"/>
      <c r="Z132" s="60"/>
      <c r="AA132" s="60"/>
      <c r="AB132" s="59"/>
      <c r="AC132" s="60"/>
      <c r="AD132" s="60"/>
      <c r="AE132" s="215"/>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59"/>
      <c r="L133" s="60"/>
      <c r="M133" s="60"/>
      <c r="N133" s="60"/>
      <c r="O133" s="60"/>
      <c r="P133" s="60"/>
      <c r="Q133" s="60"/>
      <c r="R133" s="60"/>
      <c r="S133" s="60"/>
      <c r="T133" s="60"/>
      <c r="U133" s="60"/>
      <c r="V133" s="60"/>
      <c r="W133" s="60"/>
      <c r="X133" s="60"/>
      <c r="Y133" s="60"/>
      <c r="Z133" s="60"/>
      <c r="AA133" s="60"/>
      <c r="AB133" s="59"/>
      <c r="AC133" s="60"/>
      <c r="AD133" s="60"/>
      <c r="AE133" s="215"/>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59"/>
      <c r="L134" s="60"/>
      <c r="M134" s="60"/>
      <c r="N134" s="60"/>
      <c r="O134" s="60"/>
      <c r="P134" s="60"/>
      <c r="Q134" s="60"/>
      <c r="R134" s="60"/>
      <c r="S134" s="60"/>
      <c r="T134" s="60"/>
      <c r="U134" s="60"/>
      <c r="V134" s="60"/>
      <c r="W134" s="60"/>
      <c r="X134" s="60"/>
      <c r="Y134" s="60"/>
      <c r="Z134" s="60"/>
      <c r="AA134" s="60"/>
      <c r="AB134" s="59"/>
      <c r="AC134" s="60"/>
      <c r="AD134" s="60"/>
      <c r="AE134" s="215"/>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59"/>
      <c r="L135" s="60"/>
      <c r="M135" s="60"/>
      <c r="N135" s="60"/>
      <c r="O135" s="60"/>
      <c r="P135" s="60"/>
      <c r="Q135" s="60"/>
      <c r="R135" s="60"/>
      <c r="S135" s="60"/>
      <c r="T135" s="60"/>
      <c r="U135" s="60"/>
      <c r="V135" s="60"/>
      <c r="W135" s="60"/>
      <c r="X135" s="60"/>
      <c r="Y135" s="60"/>
      <c r="Z135" s="60"/>
      <c r="AA135" s="60"/>
      <c r="AB135" s="67"/>
      <c r="AC135" s="83"/>
      <c r="AD135" s="83"/>
      <c r="AE135" s="271"/>
      <c r="AF135" s="136"/>
      <c r="AG135" s="136"/>
      <c r="AH135" s="136"/>
      <c r="AI135" s="136"/>
      <c r="AJ135" s="136"/>
      <c r="AK135" s="136"/>
      <c r="AL135" s="136"/>
      <c r="AM135" s="136"/>
      <c r="AN135" s="136"/>
      <c r="AO135" s="136"/>
      <c r="AP135" s="136"/>
      <c r="AQ135" s="136"/>
      <c r="AR135" s="136"/>
      <c r="AS135" s="136"/>
      <c r="AT135" s="137"/>
      <c r="AU135" s="114"/>
    </row>
    <row r="136" spans="2:47" x14ac:dyDescent="0.2">
      <c r="B136" s="67"/>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115"/>
    </row>
    <row r="137" spans="2:47" x14ac:dyDescent="0.2">
      <c r="AE137" s="211"/>
      <c r="AF137" s="132"/>
      <c r="AG137" s="132"/>
      <c r="AH137" s="132"/>
      <c r="AI137" s="132"/>
      <c r="AJ137" s="132"/>
      <c r="AK137" s="132"/>
      <c r="AL137" s="132"/>
      <c r="AM137" s="132"/>
      <c r="AN137" s="132"/>
      <c r="AO137" s="132"/>
      <c r="AP137" s="132"/>
      <c r="AQ137" s="132"/>
      <c r="AR137" s="132"/>
      <c r="AS137" s="132"/>
      <c r="AT137" s="132"/>
    </row>
    <row r="138" spans="2:47" x14ac:dyDescent="0.2">
      <c r="AE138" s="211"/>
      <c r="AF138" s="132"/>
      <c r="AG138" s="132"/>
      <c r="AH138" s="132"/>
      <c r="AI138" s="132"/>
      <c r="AJ138" s="132"/>
      <c r="AK138" s="132"/>
      <c r="AL138" s="132"/>
      <c r="AM138" s="132"/>
      <c r="AN138" s="132"/>
      <c r="AO138" s="132"/>
      <c r="AP138" s="132"/>
      <c r="AQ138" s="132"/>
      <c r="AR138" s="132"/>
      <c r="AS138" s="132"/>
      <c r="AT138" s="132"/>
    </row>
    <row r="139" spans="2:47" x14ac:dyDescent="0.2">
      <c r="AE139" s="211"/>
      <c r="AF139" s="132"/>
      <c r="AG139" s="132"/>
      <c r="AH139" s="132"/>
      <c r="AI139" s="132"/>
      <c r="AJ139" s="132"/>
      <c r="AK139" s="132"/>
      <c r="AL139" s="132"/>
      <c r="AM139" s="132"/>
      <c r="AN139" s="132"/>
      <c r="AO139" s="132"/>
      <c r="AP139" s="132"/>
      <c r="AQ139" s="132"/>
      <c r="AR139" s="132"/>
      <c r="AS139" s="132"/>
      <c r="AT139" s="132"/>
    </row>
    <row r="140" spans="2:47" x14ac:dyDescent="0.2">
      <c r="AE140" s="211"/>
      <c r="AF140" s="132"/>
      <c r="AG140" s="132"/>
      <c r="AH140" s="132"/>
      <c r="AI140" s="132"/>
      <c r="AJ140" s="132"/>
      <c r="AK140" s="132"/>
      <c r="AL140" s="132"/>
      <c r="AM140" s="132"/>
      <c r="AN140" s="132"/>
      <c r="AO140" s="132"/>
      <c r="AP140" s="132"/>
      <c r="AQ140" s="132"/>
      <c r="AR140" s="132"/>
      <c r="AS140" s="132"/>
      <c r="AT140" s="132"/>
    </row>
    <row r="141" spans="2:47" x14ac:dyDescent="0.2">
      <c r="AE141" s="211"/>
      <c r="AF141" s="132"/>
      <c r="AG141" s="132"/>
      <c r="AH141" s="132"/>
      <c r="AI141" s="132"/>
      <c r="AJ141" s="132"/>
      <c r="AK141" s="132"/>
      <c r="AL141" s="132"/>
      <c r="AM141" s="132"/>
      <c r="AN141" s="132"/>
      <c r="AO141" s="132"/>
      <c r="AP141" s="132"/>
      <c r="AQ141" s="132"/>
      <c r="AR141" s="132"/>
      <c r="AS141" s="132"/>
      <c r="AT141" s="132"/>
    </row>
    <row r="142" spans="2:47" x14ac:dyDescent="0.2">
      <c r="AE142" s="211"/>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1"/>
      <c r="AF143" s="132"/>
      <c r="AG143" s="132"/>
      <c r="AH143" s="132"/>
      <c r="AI143" s="132"/>
      <c r="AJ143" s="132"/>
      <c r="AK143" s="132"/>
      <c r="AL143" s="132"/>
      <c r="AM143" s="132"/>
      <c r="AN143" s="132"/>
      <c r="AO143" s="132"/>
      <c r="AP143" s="132"/>
      <c r="AQ143" s="132"/>
      <c r="AR143" s="132"/>
      <c r="AS143" s="132"/>
      <c r="AT143" s="132"/>
    </row>
    <row r="144" spans="2:47" x14ac:dyDescent="0.2">
      <c r="AE144" s="211"/>
      <c r="AG144" s="132"/>
      <c r="AH144" s="132"/>
      <c r="AI144" s="132"/>
      <c r="AJ144" s="132"/>
      <c r="AK144" s="132"/>
      <c r="AL144" s="132"/>
      <c r="AM144" s="132"/>
      <c r="AN144" s="132"/>
      <c r="AO144" s="132"/>
    </row>
    <row r="145" spans="24:47" x14ac:dyDescent="0.2">
      <c r="AE145" s="211"/>
      <c r="AF145" s="132"/>
      <c r="AG145" s="132"/>
      <c r="AH145" s="132"/>
      <c r="AI145" s="132"/>
      <c r="AJ145" s="132"/>
      <c r="AK145" s="132"/>
      <c r="AL145" s="132"/>
      <c r="AM145" s="132"/>
      <c r="AN145" s="132"/>
      <c r="AO145" s="132"/>
      <c r="AP145" s="132"/>
      <c r="AQ145" s="132"/>
      <c r="AR145" s="132"/>
      <c r="AS145" s="132"/>
      <c r="AT145" s="132"/>
    </row>
    <row r="146" spans="24:47" x14ac:dyDescent="0.2">
      <c r="AE146" s="211"/>
      <c r="AF146" s="132"/>
      <c r="AG146" s="132"/>
      <c r="AH146" s="132"/>
      <c r="AI146" s="132"/>
      <c r="AJ146" s="132"/>
      <c r="AK146" s="132"/>
      <c r="AL146" s="132"/>
      <c r="AM146" s="132"/>
      <c r="AN146" s="132"/>
      <c r="AO146" s="132"/>
      <c r="AP146" s="132"/>
      <c r="AQ146" s="132"/>
      <c r="AR146" s="132"/>
      <c r="AS146" s="132"/>
      <c r="AT146" s="132"/>
      <c r="AU146" s="212"/>
    </row>
    <row r="147" spans="24:47" x14ac:dyDescent="0.2">
      <c r="AE147" s="211"/>
      <c r="AF147" s="132"/>
      <c r="AG147" s="132"/>
      <c r="AH147" s="132"/>
      <c r="AI147" s="132"/>
      <c r="AJ147" s="132"/>
      <c r="AK147" s="132"/>
      <c r="AL147" s="132"/>
      <c r="AM147" s="132"/>
      <c r="AN147" s="132"/>
      <c r="AO147" s="132"/>
      <c r="AP147" s="132"/>
      <c r="AQ147" s="132"/>
      <c r="AR147" s="132"/>
      <c r="AS147" s="132"/>
      <c r="AT147" s="132"/>
      <c r="AU147" s="212"/>
    </row>
    <row r="148" spans="24:47" x14ac:dyDescent="0.2">
      <c r="AE148" s="211"/>
      <c r="AF148" s="132"/>
      <c r="AG148" s="132"/>
      <c r="AH148" s="132"/>
      <c r="AI148" s="132"/>
      <c r="AJ148" s="132"/>
      <c r="AK148" s="132"/>
      <c r="AL148" s="132"/>
      <c r="AM148" s="132"/>
      <c r="AN148" s="132"/>
      <c r="AO148" s="132"/>
      <c r="AP148" s="132"/>
      <c r="AQ148" s="132"/>
      <c r="AR148" s="132"/>
      <c r="AS148" s="132"/>
      <c r="AT148" s="132"/>
      <c r="AU148" s="212"/>
    </row>
    <row r="149" spans="24:47" x14ac:dyDescent="0.2">
      <c r="AE149" s="211"/>
      <c r="AF149" s="132"/>
      <c r="AG149" s="132"/>
      <c r="AH149" s="132"/>
      <c r="AI149" s="132"/>
      <c r="AJ149" s="132"/>
      <c r="AK149" s="132"/>
      <c r="AL149" s="132"/>
      <c r="AM149" s="132"/>
      <c r="AN149" s="132"/>
      <c r="AO149" s="132"/>
      <c r="AP149" s="132"/>
      <c r="AQ149" s="132"/>
      <c r="AR149" s="132"/>
      <c r="AS149" s="132"/>
      <c r="AT149" s="132"/>
      <c r="AU149" s="212"/>
    </row>
    <row r="150" spans="24:47" x14ac:dyDescent="0.2">
      <c r="AE150" s="211"/>
      <c r="AF150" s="132"/>
      <c r="AG150" s="132"/>
      <c r="AH150" s="132"/>
      <c r="AI150" s="132"/>
      <c r="AJ150" s="132"/>
      <c r="AK150" s="132"/>
      <c r="AL150" s="132"/>
      <c r="AM150" s="132"/>
      <c r="AN150" s="132"/>
      <c r="AO150" s="132"/>
      <c r="AP150" s="132"/>
      <c r="AQ150" s="132"/>
      <c r="AR150" s="132"/>
      <c r="AS150" s="132"/>
      <c r="AT150" s="132"/>
      <c r="AU150" s="212"/>
    </row>
    <row r="151" spans="24:47" x14ac:dyDescent="0.2">
      <c r="AE151" s="211"/>
      <c r="AF151" s="132"/>
      <c r="AG151" s="132"/>
      <c r="AH151" s="132"/>
      <c r="AI151" s="132"/>
      <c r="AJ151" s="132"/>
      <c r="AK151" s="132"/>
      <c r="AL151" s="132"/>
      <c r="AM151" s="132"/>
      <c r="AN151" s="132"/>
      <c r="AO151" s="132"/>
      <c r="AP151" s="132"/>
      <c r="AQ151" s="132"/>
      <c r="AR151" s="132"/>
      <c r="AS151" s="132"/>
      <c r="AT151" s="132"/>
      <c r="AU151" s="212"/>
    </row>
    <row r="152" spans="24:47" x14ac:dyDescent="0.2">
      <c r="AE152" s="211"/>
      <c r="AF152" s="132"/>
      <c r="AG152" s="132"/>
      <c r="AH152" s="132"/>
      <c r="AI152" s="132"/>
      <c r="AJ152" s="132"/>
      <c r="AK152" s="132"/>
      <c r="AL152" s="132"/>
      <c r="AM152" s="132"/>
      <c r="AN152" s="132"/>
      <c r="AO152" s="132"/>
      <c r="AP152" s="132"/>
      <c r="AQ152" s="132"/>
      <c r="AR152" s="132"/>
      <c r="AS152" s="132"/>
      <c r="AT152" s="132"/>
      <c r="AU152" s="212"/>
    </row>
    <row r="153" spans="24:47" x14ac:dyDescent="0.2">
      <c r="AE153" s="211"/>
      <c r="AF153" s="132"/>
      <c r="AG153" s="132"/>
      <c r="AH153" s="132"/>
      <c r="AI153" s="132"/>
      <c r="AJ153" s="132"/>
      <c r="AK153" s="132"/>
      <c r="AL153" s="132"/>
      <c r="AM153" s="132"/>
      <c r="AN153" s="132"/>
      <c r="AO153" s="132"/>
      <c r="AP153" s="132"/>
      <c r="AQ153" s="132"/>
      <c r="AR153" s="132"/>
      <c r="AS153" s="132"/>
      <c r="AT153" s="132"/>
      <c r="AU153" s="212"/>
    </row>
    <row r="154" spans="24:47" x14ac:dyDescent="0.2">
      <c r="AE154" s="211"/>
      <c r="AF154" s="132"/>
      <c r="AG154" s="132"/>
      <c r="AH154" s="132"/>
      <c r="AI154" s="132"/>
      <c r="AJ154" s="132"/>
      <c r="AK154" s="132"/>
      <c r="AL154" s="132"/>
      <c r="AM154" s="132"/>
      <c r="AN154" s="132"/>
      <c r="AO154" s="132"/>
      <c r="AP154" s="132"/>
      <c r="AQ154" s="132"/>
      <c r="AR154" s="132"/>
      <c r="AS154" s="132"/>
      <c r="AT154" s="132"/>
      <c r="AU154" s="212"/>
    </row>
    <row r="155" spans="24:47" x14ac:dyDescent="0.2">
      <c r="AE155" s="211"/>
      <c r="AF155" s="132"/>
      <c r="AG155" s="132"/>
      <c r="AH155" s="132"/>
      <c r="AI155" s="132"/>
      <c r="AJ155" s="132"/>
      <c r="AK155" s="132"/>
      <c r="AL155" s="132"/>
      <c r="AM155" s="132"/>
      <c r="AN155" s="132"/>
      <c r="AO155" s="132"/>
      <c r="AP155" s="132"/>
      <c r="AQ155" s="132"/>
      <c r="AR155" s="132"/>
      <c r="AS155" s="132"/>
      <c r="AT155" s="132"/>
      <c r="AU155" s="212"/>
    </row>
    <row r="156" spans="24:47" x14ac:dyDescent="0.2">
      <c r="AE156" s="211"/>
      <c r="AF156" s="132"/>
      <c r="AG156" s="132"/>
      <c r="AH156" s="132"/>
      <c r="AI156" s="132"/>
      <c r="AJ156" s="132"/>
      <c r="AK156" s="132"/>
      <c r="AL156" s="132"/>
      <c r="AM156" s="132"/>
      <c r="AN156" s="132"/>
      <c r="AO156" s="132"/>
      <c r="AP156" s="132"/>
      <c r="AQ156" s="132"/>
      <c r="AR156" s="132"/>
      <c r="AS156" s="132"/>
      <c r="AT156" s="132"/>
      <c r="AU156" s="212"/>
    </row>
    <row r="157" spans="24:47" x14ac:dyDescent="0.2">
      <c r="AE157" s="211"/>
      <c r="AF157" s="132"/>
      <c r="AG157" s="132"/>
      <c r="AH157" s="132"/>
      <c r="AI157" s="132"/>
      <c r="AJ157" s="132"/>
      <c r="AK157" s="132"/>
      <c r="AL157" s="132"/>
      <c r="AM157" s="132"/>
      <c r="AN157" s="132"/>
      <c r="AO157" s="132"/>
      <c r="AP157" s="132"/>
      <c r="AQ157" s="132"/>
      <c r="AR157" s="132"/>
      <c r="AS157" s="132"/>
      <c r="AT157" s="132"/>
      <c r="AU157" s="212"/>
    </row>
    <row r="158" spans="24:47" ht="15" customHeight="1" x14ac:dyDescent="0.2">
      <c r="X158" s="132"/>
      <c r="Y158" s="132"/>
      <c r="AE158" s="211"/>
      <c r="AF158" s="212"/>
      <c r="AG158" s="212"/>
      <c r="AH158" s="212"/>
      <c r="AI158" s="212"/>
      <c r="AJ158" s="212"/>
      <c r="AK158" s="212"/>
      <c r="AL158" s="212"/>
      <c r="AM158" s="212"/>
      <c r="AN158" s="212"/>
      <c r="AO158" s="212"/>
      <c r="AP158" s="212"/>
      <c r="AQ158" s="212"/>
      <c r="AR158" s="212"/>
      <c r="AS158" s="212"/>
      <c r="AT158" s="212"/>
      <c r="AU158" s="212"/>
    </row>
    <row r="159" spans="24:47" x14ac:dyDescent="0.2">
      <c r="AE159" s="211"/>
      <c r="AF159" s="132"/>
      <c r="AG159" s="132"/>
      <c r="AH159" s="132"/>
      <c r="AI159" s="132"/>
      <c r="AJ159" s="132"/>
      <c r="AK159" s="132"/>
      <c r="AL159" s="132"/>
      <c r="AM159" s="132"/>
      <c r="AN159" s="132"/>
      <c r="AO159" s="132"/>
      <c r="AP159" s="132"/>
      <c r="AQ159" s="132"/>
      <c r="AR159" s="132"/>
      <c r="AS159" s="132"/>
      <c r="AT159" s="132"/>
      <c r="AU159" s="212"/>
    </row>
    <row r="160" spans="24:47" x14ac:dyDescent="0.2">
      <c r="AE160" s="211"/>
      <c r="AF160" s="132"/>
      <c r="AG160" s="132"/>
      <c r="AH160" s="132"/>
      <c r="AI160" s="132"/>
      <c r="AJ160" s="132"/>
      <c r="AK160" s="132"/>
      <c r="AL160" s="132"/>
      <c r="AM160" s="132"/>
      <c r="AN160" s="132"/>
      <c r="AO160" s="132"/>
      <c r="AP160" s="132"/>
      <c r="AQ160" s="132"/>
      <c r="AR160" s="132"/>
      <c r="AS160" s="132"/>
      <c r="AT160" s="132"/>
      <c r="AU160" s="212"/>
    </row>
    <row r="161" spans="24:47" x14ac:dyDescent="0.2">
      <c r="AE161" s="211"/>
      <c r="AF161" s="132"/>
      <c r="AG161" s="132"/>
      <c r="AH161" s="132"/>
      <c r="AI161" s="132"/>
      <c r="AJ161" s="132"/>
      <c r="AK161" s="132"/>
      <c r="AL161" s="132"/>
      <c r="AM161" s="132"/>
      <c r="AN161" s="132"/>
      <c r="AO161" s="132"/>
      <c r="AP161" s="132"/>
      <c r="AQ161" s="132"/>
      <c r="AR161" s="132"/>
      <c r="AS161" s="132"/>
      <c r="AT161" s="132"/>
      <c r="AU161" s="212"/>
    </row>
    <row r="162" spans="24:47" x14ac:dyDescent="0.2">
      <c r="AE162" s="211"/>
      <c r="AF162" s="132"/>
      <c r="AG162" s="132"/>
      <c r="AH162" s="132"/>
      <c r="AI162" s="132"/>
      <c r="AJ162" s="132"/>
      <c r="AK162" s="132"/>
      <c r="AL162" s="132"/>
      <c r="AM162" s="132"/>
      <c r="AN162" s="132"/>
      <c r="AO162" s="132"/>
      <c r="AP162" s="132"/>
      <c r="AQ162" s="132"/>
      <c r="AR162" s="132"/>
      <c r="AS162" s="132"/>
      <c r="AT162" s="132"/>
      <c r="AU162" s="212"/>
    </row>
    <row r="163" spans="24:47" x14ac:dyDescent="0.2">
      <c r="AE163" s="211"/>
      <c r="AF163" s="132"/>
      <c r="AG163" s="132"/>
      <c r="AH163" s="132"/>
      <c r="AI163" s="132"/>
      <c r="AJ163" s="132"/>
      <c r="AK163" s="132"/>
      <c r="AL163" s="132"/>
      <c r="AM163" s="132"/>
      <c r="AN163" s="132"/>
      <c r="AO163" s="132"/>
      <c r="AP163" s="132"/>
      <c r="AQ163" s="132"/>
      <c r="AR163" s="132"/>
      <c r="AS163" s="132"/>
      <c r="AT163" s="132"/>
      <c r="AU163" s="212"/>
    </row>
    <row r="164" spans="24:47" x14ac:dyDescent="0.2">
      <c r="AE164" s="211"/>
      <c r="AF164" s="132"/>
      <c r="AG164" s="132"/>
      <c r="AH164" s="132"/>
      <c r="AI164" s="132"/>
      <c r="AJ164" s="132"/>
      <c r="AK164" s="132"/>
      <c r="AL164" s="132"/>
      <c r="AM164" s="132"/>
      <c r="AN164" s="132"/>
      <c r="AO164" s="132"/>
      <c r="AP164" s="132"/>
      <c r="AQ164" s="132"/>
      <c r="AR164" s="132"/>
      <c r="AS164" s="132"/>
      <c r="AT164" s="132"/>
      <c r="AU164" s="212"/>
    </row>
    <row r="165" spans="24:47" x14ac:dyDescent="0.2">
      <c r="AE165" s="211"/>
      <c r="AF165" s="132"/>
      <c r="AG165" s="132"/>
      <c r="AH165" s="132"/>
      <c r="AI165" s="132"/>
      <c r="AJ165" s="132"/>
      <c r="AK165" s="132"/>
      <c r="AL165" s="132"/>
      <c r="AM165" s="132"/>
      <c r="AN165" s="132"/>
      <c r="AO165" s="132"/>
      <c r="AP165" s="132"/>
      <c r="AQ165" s="132"/>
      <c r="AR165" s="132"/>
      <c r="AS165" s="132"/>
      <c r="AT165" s="132"/>
      <c r="AU165" s="212"/>
    </row>
    <row r="166" spans="24:47" x14ac:dyDescent="0.2">
      <c r="AE166" s="211"/>
      <c r="AF166" s="132"/>
      <c r="AG166" s="132"/>
      <c r="AH166" s="132"/>
      <c r="AI166" s="132"/>
      <c r="AJ166" s="132"/>
      <c r="AK166" s="132"/>
      <c r="AL166" s="132"/>
      <c r="AM166" s="132"/>
      <c r="AN166" s="132"/>
      <c r="AO166" s="132"/>
      <c r="AP166" s="132"/>
      <c r="AQ166" s="132"/>
      <c r="AR166" s="132"/>
      <c r="AS166" s="132"/>
      <c r="AT166" s="132"/>
    </row>
    <row r="167" spans="24:47" x14ac:dyDescent="0.2">
      <c r="AE167" s="211"/>
      <c r="AF167" s="132"/>
      <c r="AG167" s="132"/>
      <c r="AH167" s="132"/>
      <c r="AI167" s="132"/>
      <c r="AJ167" s="132"/>
      <c r="AK167" s="132"/>
      <c r="AL167" s="132"/>
      <c r="AM167" s="132"/>
      <c r="AN167" s="132"/>
      <c r="AO167" s="132"/>
      <c r="AP167" s="132"/>
      <c r="AQ167" s="132"/>
      <c r="AR167" s="132"/>
      <c r="AS167" s="132"/>
      <c r="AT167" s="132"/>
    </row>
    <row r="168" spans="24:47" x14ac:dyDescent="0.2">
      <c r="AE168" s="211"/>
      <c r="AF168" s="132"/>
      <c r="AG168" s="132"/>
      <c r="AH168" s="132"/>
      <c r="AI168" s="132"/>
      <c r="AJ168" s="132"/>
      <c r="AK168" s="132"/>
      <c r="AL168" s="132"/>
      <c r="AM168" s="132"/>
      <c r="AN168" s="132"/>
      <c r="AO168" s="132"/>
      <c r="AP168" s="132"/>
      <c r="AQ168" s="132"/>
      <c r="AR168" s="132"/>
      <c r="AS168" s="132"/>
      <c r="AT168" s="132"/>
    </row>
    <row r="169" spans="24:47" x14ac:dyDescent="0.2">
      <c r="AE169" s="211"/>
      <c r="AF169" s="132"/>
      <c r="AG169" s="132"/>
      <c r="AH169" s="132"/>
      <c r="AI169" s="132"/>
      <c r="AJ169" s="132"/>
      <c r="AK169" s="132"/>
      <c r="AL169" s="132"/>
      <c r="AM169" s="132"/>
      <c r="AN169" s="132"/>
      <c r="AO169" s="132"/>
      <c r="AP169" s="132"/>
      <c r="AQ169" s="132"/>
      <c r="AR169" s="132"/>
      <c r="AS169" s="132"/>
      <c r="AT169" s="132"/>
    </row>
    <row r="170" spans="24:47" x14ac:dyDescent="0.2">
      <c r="AE170" s="211"/>
      <c r="AF170" s="132"/>
      <c r="AG170" s="132"/>
      <c r="AH170" s="132"/>
      <c r="AI170" s="132"/>
      <c r="AJ170" s="132"/>
      <c r="AK170" s="132"/>
      <c r="AL170" s="132"/>
      <c r="AM170" s="132"/>
      <c r="AN170" s="132"/>
      <c r="AO170" s="132"/>
      <c r="AP170" s="132"/>
      <c r="AQ170" s="132"/>
      <c r="AR170" s="132"/>
      <c r="AS170" s="132"/>
      <c r="AT170" s="132"/>
    </row>
    <row r="171" spans="24:47" x14ac:dyDescent="0.2">
      <c r="AE171" s="211"/>
      <c r="AF171" s="132"/>
      <c r="AG171" s="132"/>
      <c r="AH171" s="132"/>
      <c r="AI171" s="132"/>
      <c r="AJ171" s="132"/>
      <c r="AK171" s="132"/>
      <c r="AL171" s="132"/>
      <c r="AM171" s="132"/>
      <c r="AN171" s="132"/>
      <c r="AO171" s="132"/>
      <c r="AP171" s="132"/>
      <c r="AQ171" s="132"/>
      <c r="AR171" s="132"/>
      <c r="AS171" s="132"/>
      <c r="AT171" s="132"/>
    </row>
    <row r="172" spans="24:47" x14ac:dyDescent="0.2">
      <c r="AE172" s="211"/>
      <c r="AG172" s="132"/>
      <c r="AH172" s="132"/>
      <c r="AI172" s="132"/>
      <c r="AJ172" s="132"/>
      <c r="AK172" s="132"/>
      <c r="AL172" s="132"/>
      <c r="AM172" s="132"/>
      <c r="AN172" s="132"/>
    </row>
    <row r="173" spans="24:47" ht="15" customHeight="1" x14ac:dyDescent="0.2">
      <c r="X173" s="132"/>
      <c r="Y173" s="132"/>
      <c r="AE173" s="211"/>
      <c r="AF173" s="132"/>
      <c r="AG173" s="132"/>
      <c r="AH173" s="132"/>
      <c r="AI173" s="132"/>
      <c r="AJ173" s="132"/>
      <c r="AK173" s="132"/>
      <c r="AL173" s="132"/>
      <c r="AM173" s="132"/>
      <c r="AN173" s="132"/>
      <c r="AO173" s="132"/>
      <c r="AP173" s="132"/>
      <c r="AQ173" s="132"/>
      <c r="AR173" s="132"/>
      <c r="AS173" s="132"/>
      <c r="AT173" s="132"/>
    </row>
    <row r="174" spans="24:47" x14ac:dyDescent="0.2">
      <c r="AE174" s="211"/>
      <c r="AF174" s="132"/>
      <c r="AG174" s="132"/>
      <c r="AH174" s="132"/>
      <c r="AI174" s="132"/>
      <c r="AJ174" s="132"/>
      <c r="AK174" s="132"/>
      <c r="AL174" s="132"/>
      <c r="AM174" s="132"/>
      <c r="AN174" s="132"/>
      <c r="AO174" s="132"/>
      <c r="AP174" s="132"/>
      <c r="AQ174" s="132"/>
      <c r="AR174" s="132"/>
      <c r="AS174" s="132"/>
      <c r="AT174" s="132"/>
    </row>
    <row r="175" spans="24:47" x14ac:dyDescent="0.2">
      <c r="AE175" s="211"/>
      <c r="AF175" s="132"/>
      <c r="AG175" s="132"/>
      <c r="AH175" s="132"/>
      <c r="AI175" s="132"/>
      <c r="AJ175" s="132"/>
      <c r="AK175" s="132"/>
      <c r="AL175" s="132"/>
      <c r="AM175" s="132"/>
      <c r="AN175" s="132"/>
      <c r="AO175" s="132"/>
      <c r="AP175" s="132"/>
      <c r="AQ175" s="132"/>
      <c r="AR175" s="132"/>
      <c r="AS175" s="132"/>
      <c r="AT175" s="132"/>
    </row>
    <row r="176" spans="24:47" x14ac:dyDescent="0.2">
      <c r="AE176" s="211"/>
      <c r="AF176" s="132"/>
      <c r="AG176" s="132"/>
      <c r="AH176" s="132"/>
      <c r="AI176" s="132"/>
      <c r="AJ176" s="132"/>
      <c r="AK176" s="132"/>
      <c r="AL176" s="132"/>
      <c r="AM176" s="132"/>
      <c r="AN176" s="132"/>
      <c r="AO176" s="132"/>
      <c r="AP176" s="132"/>
      <c r="AQ176" s="132"/>
      <c r="AR176" s="132"/>
      <c r="AS176" s="132"/>
      <c r="AT176" s="132"/>
    </row>
    <row r="177" spans="31:46" x14ac:dyDescent="0.2">
      <c r="AE177" s="211"/>
      <c r="AF177" s="132"/>
      <c r="AG177" s="132"/>
      <c r="AH177" s="132"/>
      <c r="AI177" s="132"/>
      <c r="AJ177" s="132"/>
      <c r="AK177" s="132"/>
      <c r="AL177" s="132"/>
      <c r="AM177" s="132"/>
      <c r="AN177" s="132"/>
      <c r="AO177" s="132"/>
      <c r="AP177" s="132"/>
      <c r="AQ177" s="132"/>
      <c r="AR177" s="132"/>
      <c r="AS177" s="132"/>
      <c r="AT177" s="132"/>
    </row>
    <row r="178" spans="31:46" x14ac:dyDescent="0.2">
      <c r="AE178" s="211"/>
      <c r="AF178" s="132"/>
      <c r="AG178" s="132"/>
      <c r="AH178" s="132"/>
      <c r="AI178" s="132"/>
      <c r="AJ178" s="132"/>
      <c r="AK178" s="132"/>
      <c r="AL178" s="132"/>
      <c r="AM178" s="132"/>
      <c r="AN178" s="132"/>
      <c r="AO178" s="132"/>
      <c r="AP178" s="132"/>
      <c r="AQ178" s="132"/>
      <c r="AR178" s="132"/>
      <c r="AS178" s="132"/>
      <c r="AT178" s="132"/>
    </row>
    <row r="179" spans="31:46" x14ac:dyDescent="0.2">
      <c r="AE179" s="211"/>
      <c r="AF179" s="132"/>
      <c r="AG179" s="132"/>
      <c r="AH179" s="132"/>
      <c r="AI179" s="132"/>
      <c r="AJ179" s="132"/>
      <c r="AK179" s="132"/>
      <c r="AL179" s="132"/>
      <c r="AM179" s="132"/>
      <c r="AN179" s="132"/>
      <c r="AO179" s="132"/>
      <c r="AP179" s="132"/>
      <c r="AQ179" s="132"/>
      <c r="AR179" s="132"/>
      <c r="AS179" s="132"/>
      <c r="AT179" s="132"/>
    </row>
    <row r="180" spans="31:46" x14ac:dyDescent="0.2">
      <c r="AE180" s="211"/>
      <c r="AF180" s="132"/>
      <c r="AG180" s="132"/>
      <c r="AH180" s="132"/>
      <c r="AI180" s="132"/>
      <c r="AJ180" s="132"/>
      <c r="AK180" s="132"/>
      <c r="AL180" s="132"/>
      <c r="AM180" s="132"/>
      <c r="AN180" s="132"/>
      <c r="AO180" s="132"/>
      <c r="AP180" s="132"/>
      <c r="AQ180" s="132"/>
      <c r="AR180" s="132"/>
      <c r="AS180" s="132"/>
      <c r="AT180" s="132"/>
    </row>
    <row r="181" spans="31:46" x14ac:dyDescent="0.2">
      <c r="AE181" s="211"/>
      <c r="AF181" s="132"/>
      <c r="AG181" s="132"/>
      <c r="AH181" s="132"/>
      <c r="AI181" s="132"/>
      <c r="AJ181" s="132"/>
      <c r="AK181" s="132"/>
      <c r="AL181" s="132"/>
      <c r="AM181" s="132"/>
      <c r="AN181" s="132"/>
      <c r="AO181" s="132"/>
      <c r="AP181" s="132"/>
      <c r="AQ181" s="132"/>
      <c r="AR181" s="132"/>
      <c r="AS181" s="132"/>
      <c r="AT181" s="132"/>
    </row>
    <row r="182" spans="31:46" x14ac:dyDescent="0.2">
      <c r="AE182" s="211"/>
      <c r="AF182" s="132"/>
      <c r="AG182" s="132"/>
      <c r="AH182" s="132"/>
      <c r="AI182" s="132"/>
      <c r="AJ182" s="132"/>
      <c r="AK182" s="132"/>
      <c r="AL182" s="132"/>
      <c r="AM182" s="132"/>
      <c r="AN182" s="132"/>
      <c r="AO182" s="132"/>
      <c r="AP182" s="132"/>
      <c r="AQ182" s="132"/>
      <c r="AR182" s="132"/>
      <c r="AS182" s="132"/>
      <c r="AT182" s="132"/>
    </row>
    <row r="183" spans="31:46" x14ac:dyDescent="0.2">
      <c r="AE183" s="211"/>
      <c r="AF183" s="132"/>
      <c r="AG183" s="132"/>
      <c r="AH183" s="132"/>
      <c r="AI183" s="132"/>
      <c r="AJ183" s="132"/>
      <c r="AK183" s="132"/>
      <c r="AL183" s="132"/>
      <c r="AM183" s="132"/>
      <c r="AN183" s="132"/>
      <c r="AO183" s="132"/>
      <c r="AP183" s="132"/>
      <c r="AQ183" s="132"/>
      <c r="AR183" s="132"/>
      <c r="AS183" s="132"/>
      <c r="AT183" s="132"/>
    </row>
    <row r="184" spans="31:46" x14ac:dyDescent="0.2">
      <c r="AE184" s="211"/>
      <c r="AF184" s="132"/>
      <c r="AG184" s="132"/>
      <c r="AH184" s="132"/>
      <c r="AI184" s="132"/>
      <c r="AJ184" s="132"/>
      <c r="AK184" s="132"/>
      <c r="AL184" s="132"/>
      <c r="AM184" s="132"/>
      <c r="AN184" s="132"/>
      <c r="AO184" s="132"/>
      <c r="AP184" s="132"/>
      <c r="AQ184" s="132"/>
      <c r="AR184" s="132"/>
      <c r="AS184" s="132"/>
      <c r="AT184" s="132"/>
    </row>
    <row r="185" spans="31:46" x14ac:dyDescent="0.2">
      <c r="AE185" s="211"/>
      <c r="AF185" s="132"/>
      <c r="AG185" s="132"/>
      <c r="AH185" s="132"/>
      <c r="AI185" s="132"/>
      <c r="AJ185" s="132"/>
      <c r="AK185" s="132"/>
      <c r="AL185" s="132"/>
      <c r="AM185" s="132"/>
      <c r="AN185" s="132"/>
      <c r="AO185" s="132"/>
      <c r="AP185" s="132"/>
      <c r="AQ185" s="132"/>
      <c r="AR185" s="132"/>
      <c r="AS185" s="132"/>
      <c r="AT185" s="132"/>
    </row>
    <row r="186" spans="31:46" x14ac:dyDescent="0.2">
      <c r="AE186" s="211"/>
      <c r="AG186" s="132"/>
      <c r="AH186" s="132"/>
      <c r="AI186" s="132"/>
      <c r="AJ186" s="132"/>
      <c r="AK186" s="132"/>
      <c r="AL186" s="132"/>
      <c r="AM186" s="132"/>
      <c r="AN186" s="132"/>
    </row>
    <row r="187" spans="31:46" x14ac:dyDescent="0.2">
      <c r="AE187" s="211"/>
      <c r="AF187" s="132"/>
      <c r="AG187" s="132"/>
      <c r="AH187" s="132"/>
      <c r="AI187" s="132"/>
      <c r="AJ187" s="132"/>
      <c r="AK187" s="132"/>
      <c r="AL187" s="132"/>
      <c r="AM187" s="132"/>
      <c r="AN187" s="132"/>
      <c r="AO187" s="132"/>
      <c r="AP187" s="132"/>
      <c r="AQ187" s="132"/>
      <c r="AR187" s="132"/>
      <c r="AS187" s="132"/>
      <c r="AT187" s="132"/>
    </row>
    <row r="188" spans="31:46" x14ac:dyDescent="0.2">
      <c r="AE188" s="211"/>
      <c r="AF188" s="132"/>
      <c r="AG188" s="132"/>
      <c r="AH188" s="132"/>
      <c r="AI188" s="132"/>
      <c r="AJ188" s="132"/>
      <c r="AK188" s="132"/>
      <c r="AL188" s="132"/>
      <c r="AM188" s="132"/>
      <c r="AN188" s="132"/>
      <c r="AO188" s="132"/>
      <c r="AP188" s="132"/>
      <c r="AQ188" s="132"/>
      <c r="AR188" s="132"/>
      <c r="AS188" s="132"/>
      <c r="AT188" s="132"/>
    </row>
    <row r="189" spans="31:46" x14ac:dyDescent="0.2">
      <c r="AE189" s="211"/>
      <c r="AF189" s="132"/>
      <c r="AG189" s="132"/>
      <c r="AH189" s="132"/>
      <c r="AI189" s="132"/>
      <c r="AJ189" s="132"/>
      <c r="AK189" s="132"/>
      <c r="AL189" s="132"/>
      <c r="AM189" s="132"/>
      <c r="AN189" s="132"/>
      <c r="AO189" s="132"/>
      <c r="AP189" s="132"/>
      <c r="AQ189" s="132"/>
      <c r="AR189" s="132"/>
      <c r="AS189" s="132"/>
      <c r="AT189" s="132"/>
    </row>
    <row r="190" spans="31:46" x14ac:dyDescent="0.2">
      <c r="AE190" s="211"/>
      <c r="AF190" s="132"/>
      <c r="AG190" s="132"/>
      <c r="AH190" s="132"/>
      <c r="AI190" s="132"/>
      <c r="AJ190" s="132"/>
      <c r="AK190" s="132"/>
      <c r="AL190" s="132"/>
      <c r="AM190" s="132"/>
      <c r="AN190" s="132"/>
      <c r="AO190" s="132"/>
      <c r="AP190" s="132"/>
      <c r="AQ190" s="132"/>
      <c r="AR190" s="132"/>
      <c r="AS190" s="132"/>
      <c r="AT190" s="132"/>
    </row>
    <row r="191" spans="31:46" x14ac:dyDescent="0.2">
      <c r="AE191" s="211"/>
      <c r="AF191" s="132"/>
      <c r="AG191" s="132"/>
      <c r="AH191" s="132"/>
      <c r="AI191" s="132"/>
      <c r="AJ191" s="132"/>
      <c r="AK191" s="132"/>
      <c r="AL191" s="132"/>
      <c r="AM191" s="132"/>
      <c r="AN191" s="132"/>
      <c r="AO191" s="132"/>
      <c r="AP191" s="132"/>
      <c r="AQ191" s="132"/>
      <c r="AR191" s="132"/>
      <c r="AS191" s="132"/>
      <c r="AT191" s="132"/>
    </row>
    <row r="192" spans="31:46" x14ac:dyDescent="0.2">
      <c r="AE192" s="211"/>
      <c r="AF192" s="132"/>
      <c r="AG192" s="132"/>
      <c r="AH192" s="132"/>
      <c r="AI192" s="132"/>
      <c r="AJ192" s="132"/>
      <c r="AK192" s="132"/>
      <c r="AL192" s="132"/>
      <c r="AM192" s="132"/>
      <c r="AN192" s="132"/>
      <c r="AO192" s="132"/>
      <c r="AP192" s="132"/>
      <c r="AQ192" s="132"/>
      <c r="AR192" s="132"/>
      <c r="AS192" s="132"/>
      <c r="AT192" s="132"/>
    </row>
    <row r="193" spans="31:46" x14ac:dyDescent="0.2">
      <c r="AE193" s="211"/>
      <c r="AF193" s="132"/>
      <c r="AG193" s="132"/>
      <c r="AH193" s="132"/>
      <c r="AI193" s="132"/>
      <c r="AJ193" s="132"/>
      <c r="AK193" s="132"/>
      <c r="AL193" s="132"/>
      <c r="AM193" s="132"/>
      <c r="AN193" s="132"/>
      <c r="AO193" s="132"/>
      <c r="AP193" s="132"/>
      <c r="AQ193" s="132"/>
      <c r="AR193" s="132"/>
      <c r="AS193" s="132"/>
      <c r="AT193" s="132"/>
    </row>
    <row r="194" spans="31:46" x14ac:dyDescent="0.2">
      <c r="AE194" s="211"/>
      <c r="AF194" s="132"/>
      <c r="AG194" s="132"/>
      <c r="AH194" s="132"/>
      <c r="AI194" s="132"/>
      <c r="AJ194" s="132"/>
      <c r="AK194" s="132"/>
      <c r="AL194" s="132"/>
      <c r="AM194" s="132"/>
      <c r="AN194" s="132"/>
      <c r="AO194" s="132"/>
      <c r="AP194" s="132"/>
      <c r="AQ194" s="132"/>
      <c r="AR194" s="132"/>
      <c r="AS194" s="132"/>
      <c r="AT194" s="132"/>
    </row>
    <row r="195" spans="31:46" x14ac:dyDescent="0.2">
      <c r="AE195" s="211"/>
      <c r="AF195" s="132"/>
      <c r="AG195" s="132"/>
      <c r="AH195" s="132"/>
      <c r="AI195" s="132"/>
      <c r="AJ195" s="132"/>
      <c r="AK195" s="132"/>
      <c r="AL195" s="132"/>
      <c r="AM195" s="132"/>
      <c r="AN195" s="132"/>
      <c r="AO195" s="132"/>
      <c r="AP195" s="132"/>
      <c r="AQ195" s="132"/>
      <c r="AR195" s="132"/>
      <c r="AS195" s="132"/>
      <c r="AT195" s="132"/>
    </row>
    <row r="196" spans="31:46" x14ac:dyDescent="0.2">
      <c r="AE196" s="211"/>
      <c r="AF196" s="132"/>
      <c r="AG196" s="132"/>
      <c r="AH196" s="132"/>
      <c r="AI196" s="132"/>
      <c r="AJ196" s="132"/>
      <c r="AK196" s="132"/>
      <c r="AL196" s="132"/>
      <c r="AM196" s="132"/>
      <c r="AN196" s="132"/>
      <c r="AO196" s="132"/>
      <c r="AP196" s="132"/>
      <c r="AQ196" s="132"/>
      <c r="AR196" s="132"/>
      <c r="AS196" s="132"/>
      <c r="AT196" s="132"/>
    </row>
    <row r="197" spans="31:46" x14ac:dyDescent="0.2">
      <c r="AE197" s="211"/>
      <c r="AF197" s="132"/>
      <c r="AG197" s="132"/>
      <c r="AH197" s="132"/>
      <c r="AI197" s="132"/>
      <c r="AJ197" s="132"/>
      <c r="AK197" s="132"/>
      <c r="AL197" s="132"/>
      <c r="AM197" s="132"/>
      <c r="AN197" s="132"/>
      <c r="AO197" s="132"/>
      <c r="AP197" s="132"/>
      <c r="AQ197" s="132"/>
      <c r="AR197" s="132"/>
      <c r="AS197" s="132"/>
      <c r="AT197" s="132"/>
    </row>
    <row r="198" spans="31:46" x14ac:dyDescent="0.2">
      <c r="AE198" s="211"/>
      <c r="AF198" s="132"/>
      <c r="AG198" s="132"/>
      <c r="AH198" s="132"/>
      <c r="AI198" s="132"/>
      <c r="AJ198" s="132"/>
      <c r="AK198" s="132"/>
      <c r="AL198" s="132"/>
      <c r="AM198" s="132"/>
      <c r="AN198" s="132"/>
      <c r="AO198" s="132"/>
      <c r="AP198" s="132"/>
      <c r="AQ198" s="132"/>
      <c r="AR198" s="132"/>
      <c r="AS198" s="132"/>
      <c r="AT198" s="132"/>
    </row>
    <row r="199" spans="31:46" x14ac:dyDescent="0.2">
      <c r="AE199" s="211"/>
      <c r="AF199" s="132"/>
      <c r="AG199" s="132"/>
      <c r="AH199" s="132"/>
      <c r="AI199" s="132"/>
      <c r="AJ199" s="132"/>
      <c r="AK199" s="132"/>
      <c r="AL199" s="132"/>
      <c r="AM199" s="132"/>
      <c r="AN199" s="132"/>
      <c r="AO199" s="132"/>
      <c r="AP199" s="132"/>
      <c r="AQ199" s="132"/>
      <c r="AR199" s="132"/>
      <c r="AS199" s="132"/>
      <c r="AT199" s="132"/>
    </row>
    <row r="200" spans="31:46" x14ac:dyDescent="0.2">
      <c r="AE200" s="211"/>
    </row>
    <row r="201" spans="31:46" x14ac:dyDescent="0.2">
      <c r="AE201" s="211"/>
      <c r="AF201" s="132"/>
      <c r="AG201" s="132"/>
      <c r="AH201" s="132"/>
      <c r="AI201" s="132"/>
      <c r="AJ201" s="132"/>
      <c r="AK201" s="132"/>
      <c r="AL201" s="132"/>
      <c r="AM201" s="132"/>
      <c r="AN201" s="132"/>
      <c r="AO201" s="132"/>
      <c r="AP201" s="132"/>
      <c r="AQ201" s="132"/>
      <c r="AR201" s="132"/>
      <c r="AS201" s="132"/>
      <c r="AT201" s="132"/>
    </row>
    <row r="202" spans="31:46" x14ac:dyDescent="0.2">
      <c r="AE202" s="211"/>
      <c r="AF202" s="132"/>
      <c r="AG202" s="132"/>
      <c r="AH202" s="132"/>
      <c r="AI202" s="132"/>
      <c r="AJ202" s="132"/>
      <c r="AK202" s="132"/>
      <c r="AL202" s="132"/>
      <c r="AM202" s="132"/>
      <c r="AN202" s="132"/>
      <c r="AO202" s="132"/>
      <c r="AP202" s="132"/>
      <c r="AQ202" s="132"/>
      <c r="AR202" s="132"/>
      <c r="AS202" s="132"/>
      <c r="AT202" s="132"/>
    </row>
    <row r="203" spans="31:46" x14ac:dyDescent="0.2">
      <c r="AE203" s="211"/>
      <c r="AF203" s="132"/>
      <c r="AG203" s="132"/>
      <c r="AH203" s="132"/>
      <c r="AI203" s="132"/>
      <c r="AJ203" s="132"/>
      <c r="AK203" s="132"/>
      <c r="AL203" s="132"/>
      <c r="AM203" s="132"/>
      <c r="AN203" s="132"/>
      <c r="AO203" s="132"/>
      <c r="AP203" s="132"/>
      <c r="AQ203" s="132"/>
      <c r="AR203" s="132"/>
      <c r="AS203" s="132"/>
      <c r="AT203" s="132"/>
    </row>
    <row r="204" spans="31:46" x14ac:dyDescent="0.2">
      <c r="AE204" s="211"/>
      <c r="AF204" s="132"/>
      <c r="AG204" s="132"/>
      <c r="AH204" s="132"/>
      <c r="AI204" s="132"/>
      <c r="AJ204" s="132"/>
      <c r="AK204" s="132"/>
      <c r="AL204" s="132"/>
      <c r="AM204" s="132"/>
      <c r="AN204" s="132"/>
      <c r="AO204" s="132"/>
      <c r="AP204" s="132"/>
      <c r="AQ204" s="132"/>
      <c r="AR204" s="132"/>
      <c r="AS204" s="132"/>
      <c r="AT204" s="132"/>
    </row>
    <row r="205" spans="31:46" x14ac:dyDescent="0.2">
      <c r="AE205" s="211"/>
      <c r="AF205" s="132"/>
      <c r="AG205" s="132"/>
      <c r="AH205" s="132"/>
      <c r="AI205" s="132"/>
      <c r="AJ205" s="132"/>
      <c r="AK205" s="132"/>
      <c r="AL205" s="132"/>
      <c r="AM205" s="132"/>
      <c r="AN205" s="132"/>
      <c r="AO205" s="132"/>
      <c r="AP205" s="132"/>
      <c r="AQ205" s="132"/>
      <c r="AR205" s="132"/>
      <c r="AS205" s="132"/>
      <c r="AT205" s="132"/>
    </row>
    <row r="206" spans="31:46" x14ac:dyDescent="0.2">
      <c r="AE206" s="211"/>
      <c r="AF206" s="132"/>
      <c r="AG206" s="132"/>
      <c r="AH206" s="132"/>
      <c r="AI206" s="132"/>
      <c r="AJ206" s="132"/>
      <c r="AK206" s="132"/>
      <c r="AL206" s="132"/>
      <c r="AM206" s="132"/>
      <c r="AN206" s="132"/>
      <c r="AO206" s="132"/>
      <c r="AP206" s="132"/>
      <c r="AQ206" s="132"/>
      <c r="AR206" s="132"/>
      <c r="AS206" s="132"/>
      <c r="AT206" s="132"/>
    </row>
    <row r="207" spans="31:46" x14ac:dyDescent="0.2">
      <c r="AE207" s="211"/>
      <c r="AF207" s="132"/>
      <c r="AG207" s="132"/>
      <c r="AH207" s="132"/>
      <c r="AI207" s="132"/>
      <c r="AJ207" s="132"/>
      <c r="AK207" s="132"/>
      <c r="AL207" s="132"/>
      <c r="AM207" s="132"/>
      <c r="AN207" s="132"/>
      <c r="AO207" s="132"/>
      <c r="AP207" s="132"/>
      <c r="AQ207" s="132"/>
      <c r="AR207" s="132"/>
      <c r="AS207" s="132"/>
      <c r="AT207" s="132"/>
    </row>
    <row r="208" spans="31:46" x14ac:dyDescent="0.2">
      <c r="AE208" s="211"/>
      <c r="AF208" s="132"/>
      <c r="AG208" s="132"/>
      <c r="AH208" s="132"/>
      <c r="AI208" s="132"/>
      <c r="AJ208" s="132"/>
      <c r="AK208" s="132"/>
      <c r="AL208" s="132"/>
      <c r="AM208" s="132"/>
      <c r="AN208" s="132"/>
      <c r="AO208" s="132"/>
      <c r="AP208" s="132"/>
      <c r="AQ208" s="132"/>
      <c r="AR208" s="132"/>
      <c r="AS208" s="132"/>
      <c r="AT208" s="132"/>
    </row>
    <row r="209" spans="31:46" x14ac:dyDescent="0.2">
      <c r="AE209" s="211"/>
      <c r="AF209" s="132"/>
      <c r="AG209" s="132"/>
      <c r="AH209" s="132"/>
      <c r="AI209" s="132"/>
      <c r="AJ209" s="132"/>
      <c r="AK209" s="132"/>
      <c r="AL209" s="132"/>
      <c r="AM209" s="132"/>
      <c r="AN209" s="132"/>
      <c r="AO209" s="132"/>
      <c r="AP209" s="132"/>
      <c r="AQ209" s="132"/>
      <c r="AR209" s="132"/>
      <c r="AS209" s="132"/>
      <c r="AT209" s="132"/>
    </row>
    <row r="210" spans="31:46" x14ac:dyDescent="0.2">
      <c r="AE210" s="211"/>
      <c r="AF210" s="132"/>
      <c r="AG210" s="132"/>
      <c r="AH210" s="132"/>
      <c r="AI210" s="132"/>
      <c r="AJ210" s="132"/>
      <c r="AK210" s="132"/>
      <c r="AL210" s="132"/>
      <c r="AM210" s="132"/>
      <c r="AN210" s="132"/>
      <c r="AO210" s="132"/>
      <c r="AP210" s="132"/>
      <c r="AQ210" s="132"/>
      <c r="AR210" s="132"/>
      <c r="AS210" s="132"/>
      <c r="AT210" s="132"/>
    </row>
    <row r="211" spans="31:46" x14ac:dyDescent="0.2">
      <c r="AE211" s="211"/>
      <c r="AF211" s="132"/>
      <c r="AG211" s="132"/>
      <c r="AH211" s="132"/>
      <c r="AI211" s="132"/>
      <c r="AJ211" s="132"/>
      <c r="AK211" s="132"/>
      <c r="AL211" s="132"/>
      <c r="AM211" s="132"/>
      <c r="AN211" s="132"/>
      <c r="AO211" s="132"/>
      <c r="AP211" s="132"/>
      <c r="AQ211" s="132"/>
      <c r="AR211" s="132"/>
      <c r="AS211" s="132"/>
      <c r="AT211" s="132"/>
    </row>
    <row r="212" spans="31:46" x14ac:dyDescent="0.2">
      <c r="AE212" s="211"/>
      <c r="AF212" s="132"/>
      <c r="AG212" s="132"/>
      <c r="AH212" s="132"/>
      <c r="AI212" s="132"/>
      <c r="AJ212" s="132"/>
      <c r="AK212" s="132"/>
      <c r="AL212" s="132"/>
      <c r="AM212" s="132"/>
      <c r="AN212" s="132"/>
      <c r="AO212" s="132"/>
      <c r="AP212" s="132"/>
      <c r="AQ212" s="132"/>
      <c r="AR212" s="132"/>
      <c r="AS212" s="132"/>
      <c r="AT212" s="132"/>
    </row>
    <row r="213" spans="31:46" x14ac:dyDescent="0.2">
      <c r="AE213" s="211"/>
      <c r="AF213" s="132"/>
      <c r="AG213" s="132"/>
      <c r="AH213" s="132"/>
      <c r="AI213" s="132"/>
      <c r="AJ213" s="132"/>
      <c r="AK213" s="132"/>
      <c r="AL213" s="132"/>
      <c r="AM213" s="132"/>
      <c r="AN213" s="132"/>
      <c r="AO213" s="132"/>
      <c r="AP213" s="132"/>
      <c r="AQ213" s="132"/>
      <c r="AR213" s="132"/>
      <c r="AS213" s="132"/>
      <c r="AT213" s="132"/>
    </row>
    <row r="215" spans="31:46" x14ac:dyDescent="0.2">
      <c r="AE215" s="211"/>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3"/>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4"/>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4"/>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8pzKqJ1O1Z0LZ1h0WMMHo+XPT+RiShoHb14RUBDDaxcDIKv5pKOnk2KuhPtEBT3BmoUX9dxbmreVKfa9nLEBjg==" saltValue="eCoNfUoyHwm+H8WZrYIkCQ==" spinCount="100000" sheet="1" objects="1" scenarios="1"/>
  <mergeCells count="219">
    <mergeCell ref="T114:U114"/>
    <mergeCell ref="E116:R118"/>
    <mergeCell ref="C98:AO98"/>
    <mergeCell ref="T104:U104"/>
    <mergeCell ref="T106:U106"/>
    <mergeCell ref="T108:U108"/>
    <mergeCell ref="T110:Y110"/>
    <mergeCell ref="T112:Y112"/>
    <mergeCell ref="AE90:AS92"/>
    <mergeCell ref="Z91:AB93"/>
    <mergeCell ref="H96:K96"/>
    <mergeCell ref="O96:R96"/>
    <mergeCell ref="AQ96:AR96"/>
    <mergeCell ref="AW96:AX96"/>
    <mergeCell ref="H85:K85"/>
    <mergeCell ref="O85:R85"/>
    <mergeCell ref="V85:Y85"/>
    <mergeCell ref="AE85:AL85"/>
    <mergeCell ref="AP86:AR86"/>
    <mergeCell ref="Z87:AB89"/>
    <mergeCell ref="AM87:AO87"/>
    <mergeCell ref="AM88:AR88"/>
    <mergeCell ref="AW76:AW80"/>
    <mergeCell ref="AX76:AX80"/>
    <mergeCell ref="AN78:AP78"/>
    <mergeCell ref="AN79:AP79"/>
    <mergeCell ref="AN80:AS80"/>
    <mergeCell ref="AE84:AL84"/>
    <mergeCell ref="AI57:AS57"/>
    <mergeCell ref="AE70:AL70"/>
    <mergeCell ref="AN70:AS70"/>
    <mergeCell ref="F72:I72"/>
    <mergeCell ref="L72:O72"/>
    <mergeCell ref="R72:U72"/>
    <mergeCell ref="X72:AA72"/>
    <mergeCell ref="AW48:AX48"/>
    <mergeCell ref="I49:K49"/>
    <mergeCell ref="AM49:AP49"/>
    <mergeCell ref="AE53:AG53"/>
    <mergeCell ref="AI53:AJ53"/>
    <mergeCell ref="AK53:AL53"/>
    <mergeCell ref="AM53:AN53"/>
    <mergeCell ref="AP53:AQ53"/>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E28:H28"/>
    <mergeCell ref="I28:L28"/>
    <mergeCell ref="M28:P28"/>
    <mergeCell ref="Q28:T28"/>
    <mergeCell ref="U28:X28"/>
    <mergeCell ref="Y28:AB28"/>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N14:O15"/>
    <mergeCell ref="R14:S15"/>
    <mergeCell ref="V14:W15"/>
    <mergeCell ref="Z14:AA15"/>
    <mergeCell ref="AD14:AE15"/>
    <mergeCell ref="AD16:AE17"/>
    <mergeCell ref="AH16:AI17"/>
    <mergeCell ref="AL16:AM17"/>
    <mergeCell ref="AP16:AQ17"/>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s>
  <conditionalFormatting sqref="AG45:AL45">
    <cfRule type="expression" dxfId="316" priority="281">
      <formula>$AC$43="x"</formula>
    </cfRule>
  </conditionalFormatting>
  <conditionalFormatting sqref="AO44:AS44">
    <cfRule type="expression" dxfId="315" priority="280">
      <formula>$AK$42="x"</formula>
    </cfRule>
  </conditionalFormatting>
  <conditionalFormatting sqref="AP7:AS7">
    <cfRule type="expression" dxfId="314" priority="279">
      <formula>$AM$5&gt;0</formula>
    </cfRule>
  </conditionalFormatting>
  <conditionalFormatting sqref="E28:AR28">
    <cfRule type="expression" dxfId="313" priority="264">
      <formula>AND($A$28&lt;&gt;"",F$10&lt;&gt;"")</formula>
    </cfRule>
  </conditionalFormatting>
  <conditionalFormatting sqref="F72:I72">
    <cfRule type="expression" dxfId="312" priority="303">
      <formula>$F$72=""</formula>
    </cfRule>
  </conditionalFormatting>
  <conditionalFormatting sqref="H85:K85">
    <cfRule type="expression" dxfId="311" priority="270">
      <formula>$H$85=""</formula>
    </cfRule>
  </conditionalFormatting>
  <conditionalFormatting sqref="O85:R85">
    <cfRule type="expression" dxfId="310" priority="301">
      <formula>$O$85=""</formula>
    </cfRule>
  </conditionalFormatting>
  <conditionalFormatting sqref="V85:Y85">
    <cfRule type="expression" dxfId="309" priority="269">
      <formula>$V$85=""</formula>
    </cfRule>
  </conditionalFormatting>
  <conditionalFormatting sqref="O96:R96">
    <cfRule type="expression" dxfId="308" priority="267">
      <formula>$O$96=""</formula>
    </cfRule>
  </conditionalFormatting>
  <conditionalFormatting sqref="AM49:AP49">
    <cfRule type="expression" dxfId="307" priority="163">
      <formula>$AM$49=""</formula>
    </cfRule>
  </conditionalFormatting>
  <conditionalFormatting sqref="AH54">
    <cfRule type="expression" dxfId="306" priority="282">
      <formula>$AE$53=0</formula>
    </cfRule>
  </conditionalFormatting>
  <conditionalFormatting sqref="L72:O72">
    <cfRule type="expression" dxfId="305" priority="273">
      <formula>$L$72=""</formula>
    </cfRule>
  </conditionalFormatting>
  <conditionalFormatting sqref="R72:U72">
    <cfRule type="expression" dxfId="304" priority="272">
      <formula>$R$72=""</formula>
    </cfRule>
  </conditionalFormatting>
  <conditionalFormatting sqref="X72:AA72">
    <cfRule type="expression" dxfId="303" priority="271">
      <formula>$X$72=""</formula>
    </cfRule>
  </conditionalFormatting>
  <conditionalFormatting sqref="AT5">
    <cfRule type="expression" dxfId="302" priority="137">
      <formula>$AT$5=1</formula>
    </cfRule>
  </conditionalFormatting>
  <conditionalFormatting sqref="AM43:AQ43">
    <cfRule type="expression" dxfId="301" priority="166">
      <formula>$AM$43=""</formula>
    </cfRule>
  </conditionalFormatting>
  <conditionalFormatting sqref="AR43:AS43">
    <cfRule type="expression" dxfId="300" priority="136">
      <formula>$AR$43=""</formula>
    </cfRule>
  </conditionalFormatting>
  <conditionalFormatting sqref="AM45:AS45">
    <cfRule type="expression" dxfId="299" priority="165">
      <formula>$AM$45=""</formula>
    </cfRule>
  </conditionalFormatting>
  <conditionalFormatting sqref="AE70:AL70">
    <cfRule type="expression" dxfId="298" priority="147">
      <formula>$AE$70=""</formula>
    </cfRule>
  </conditionalFormatting>
  <conditionalFormatting sqref="AN70:AS70">
    <cfRule type="expression" dxfId="297" priority="132">
      <formula>$AN$70=""</formula>
    </cfRule>
  </conditionalFormatting>
  <conditionalFormatting sqref="AN80:AS80">
    <cfRule type="expression" dxfId="296" priority="128">
      <formula>$AN$80=""</formula>
    </cfRule>
  </conditionalFormatting>
  <conditionalFormatting sqref="H96:K96">
    <cfRule type="expression" dxfId="295" priority="287">
      <formula>$H$96=""</formula>
    </cfRule>
  </conditionalFormatting>
  <conditionalFormatting sqref="AM88:AR88">
    <cfRule type="expression" dxfId="294" priority="121">
      <formula>$AM$88=""</formula>
    </cfRule>
  </conditionalFormatting>
  <conditionalFormatting sqref="Y5:AF5">
    <cfRule type="expression" dxfId="293" priority="258">
      <formula>$Y$5=""</formula>
    </cfRule>
  </conditionalFormatting>
  <conditionalFormatting sqref="Y6:AF6">
    <cfRule type="expression" dxfId="292" priority="118">
      <formula>$Y$6=""</formula>
    </cfRule>
  </conditionalFormatting>
  <conditionalFormatting sqref="Y7:AF7">
    <cfRule type="expression" dxfId="291" priority="117">
      <formula>$Y$7=""</formula>
    </cfRule>
  </conditionalFormatting>
  <conditionalFormatting sqref="AJ5:AL5">
    <cfRule type="expression" dxfId="290" priority="254">
      <formula>$AJ$5=""</formula>
    </cfRule>
  </conditionalFormatting>
  <conditionalFormatting sqref="AJ6:AL6">
    <cfRule type="expression" dxfId="289" priority="115">
      <formula>$AJ$6=""</formula>
    </cfRule>
  </conditionalFormatting>
  <conditionalFormatting sqref="AJ7:AL7">
    <cfRule type="expression" dxfId="288" priority="114">
      <formula>$AJ$7=""</formula>
    </cfRule>
  </conditionalFormatting>
  <conditionalFormatting sqref="I49:K49">
    <cfRule type="expression" dxfId="287" priority="113">
      <formula>$I$49=""</formula>
    </cfRule>
  </conditionalFormatting>
  <conditionalFormatting sqref="T45:U45">
    <cfRule type="expression" dxfId="286" priority="112">
      <formula>$T$45=""</formula>
    </cfRule>
  </conditionalFormatting>
  <conditionalFormatting sqref="Z42:Z45">
    <cfRule type="expression" dxfId="285" priority="111">
      <formula>$Z$42=""</formula>
    </cfRule>
  </conditionalFormatting>
  <conditionalFormatting sqref="AX33:AY42">
    <cfRule type="expression" dxfId="284" priority="109">
      <formula>AW33=""</formula>
    </cfRule>
  </conditionalFormatting>
  <conditionalFormatting sqref="A9:A11">
    <cfRule type="expression" dxfId="283" priority="50">
      <formula>$C$11&lt;36</formula>
    </cfRule>
  </conditionalFormatting>
  <conditionalFormatting sqref="A28">
    <cfRule type="expression" dxfId="282" priority="107">
      <formula>$E$28&gt;0</formula>
    </cfRule>
  </conditionalFormatting>
  <conditionalFormatting sqref="AX33:AY42">
    <cfRule type="expression" dxfId="281" priority="110">
      <formula>AX33=""</formula>
    </cfRule>
  </conditionalFormatting>
  <conditionalFormatting sqref="R112:Y114">
    <cfRule type="expression" dxfId="280" priority="57">
      <formula>$T$110=""</formula>
    </cfRule>
  </conditionalFormatting>
  <conditionalFormatting sqref="AE53:AG53">
    <cfRule type="expression" dxfId="279" priority="47">
      <formula>$AT$52=1</formula>
    </cfRule>
    <cfRule type="expression" dxfId="278" priority="84">
      <formula>$AE$53=0</formula>
    </cfRule>
  </conditionalFormatting>
  <conditionalFormatting sqref="AW48:AX48">
    <cfRule type="expression" dxfId="277" priority="83">
      <formula>$AW$48=""</formula>
    </cfRule>
  </conditionalFormatting>
  <conditionalFormatting sqref="AE84:AL84">
    <cfRule type="expression" dxfId="276" priority="75">
      <formula>$AE$84=""</formula>
    </cfRule>
  </conditionalFormatting>
  <conditionalFormatting sqref="AB102:AB120">
    <cfRule type="expression" dxfId="275" priority="73">
      <formula>$T$104&lt;&gt;105</formula>
    </cfRule>
  </conditionalFormatting>
  <conditionalFormatting sqref="AB120:AG120">
    <cfRule type="expression" dxfId="274" priority="72">
      <formula>$T$104&lt;&gt;105</formula>
    </cfRule>
  </conditionalFormatting>
  <conditionalFormatting sqref="AG102:AG120">
    <cfRule type="expression" dxfId="273" priority="71">
      <formula>AND($T$104&lt;&gt;105,$T$104&lt;&gt;85)</formula>
    </cfRule>
  </conditionalFormatting>
  <conditionalFormatting sqref="AB102:AG102">
    <cfRule type="expression" dxfId="272" priority="70">
      <formula>$T$104&lt;&gt;105</formula>
    </cfRule>
  </conditionalFormatting>
  <conditionalFormatting sqref="AH120:AM120">
    <cfRule type="expression" dxfId="271" priority="69">
      <formula>$T$104&lt;&gt;85</formula>
    </cfRule>
  </conditionalFormatting>
  <conditionalFormatting sqref="AH102:AM102">
    <cfRule type="expression" dxfId="270" priority="68">
      <formula>$T$104&lt;&gt;85</formula>
    </cfRule>
  </conditionalFormatting>
  <conditionalFormatting sqref="AN102:AN120">
    <cfRule type="expression" dxfId="269" priority="67">
      <formula>AND($T$104&lt;&gt;85,$T$104&lt;&gt;110)</formula>
    </cfRule>
  </conditionalFormatting>
  <conditionalFormatting sqref="AN120:AT120">
    <cfRule type="expression" dxfId="268" priority="66">
      <formula>$T$104&lt;&gt;110</formula>
    </cfRule>
  </conditionalFormatting>
  <conditionalFormatting sqref="AT102:AT120">
    <cfRule type="expression" dxfId="267" priority="65">
      <formula>$T$104&lt;&gt;110</formula>
    </cfRule>
  </conditionalFormatting>
  <conditionalFormatting sqref="AN102:AT102">
    <cfRule type="expression" dxfId="266" priority="64">
      <formula>$T$104&lt;&gt;110</formula>
    </cfRule>
  </conditionalFormatting>
  <conditionalFormatting sqref="T104:U104">
    <cfRule type="expression" dxfId="265" priority="63">
      <formula>$T$104=""</formula>
    </cfRule>
  </conditionalFormatting>
  <conditionalFormatting sqref="T106:U106">
    <cfRule type="expression" dxfId="264" priority="62">
      <formula>$T$106=""</formula>
    </cfRule>
  </conditionalFormatting>
  <conditionalFormatting sqref="T108:U108">
    <cfRule type="expression" dxfId="263" priority="61">
      <formula>$T$108=""</formula>
    </cfRule>
  </conditionalFormatting>
  <conditionalFormatting sqref="T114:U114">
    <cfRule type="expression" dxfId="262" priority="60">
      <formula>$T$114=""</formula>
    </cfRule>
  </conditionalFormatting>
  <conditionalFormatting sqref="T110:Y110">
    <cfRule type="expression" dxfId="261" priority="58">
      <formula>$T$110=""</formula>
    </cfRule>
  </conditionalFormatting>
  <conditionalFormatting sqref="T112:Y112">
    <cfRule type="expression" dxfId="260" priority="59">
      <formula>$T$112=""</formula>
    </cfRule>
  </conditionalFormatting>
  <conditionalFormatting sqref="AI57:AS57">
    <cfRule type="expression" dxfId="259" priority="162">
      <formula>$AI$57=""</formula>
    </cfRule>
  </conditionalFormatting>
  <conditionalFormatting sqref="AX25:AZ26">
    <cfRule type="expression" dxfId="258" priority="52">
      <formula>$AX$25=""</formula>
    </cfRule>
  </conditionalFormatting>
  <conditionalFormatting sqref="AM87:AO87">
    <cfRule type="expression" dxfId="257" priority="48">
      <formula>$AM$87=""</formula>
    </cfRule>
  </conditionalFormatting>
  <conditionalFormatting sqref="AT52">
    <cfRule type="expression" dxfId="256" priority="46">
      <formula>$AT$52=1</formula>
    </cfRule>
  </conditionalFormatting>
  <conditionalFormatting sqref="AX76:AX80">
    <cfRule type="expression" dxfId="255" priority="43">
      <formula>$AN$80=""</formula>
    </cfRule>
  </conditionalFormatting>
  <conditionalFormatting sqref="AB62">
    <cfRule type="expression" dxfId="254" priority="42">
      <formula>$AB$62&gt;0</formula>
    </cfRule>
  </conditionalFormatting>
  <conditionalFormatting sqref="AB73">
    <cfRule type="expression" dxfId="253" priority="41">
      <formula>$AB$73&gt;0</formula>
    </cfRule>
  </conditionalFormatting>
  <conditionalFormatting sqref="M6:Q6">
    <cfRule type="expression" dxfId="252" priority="40">
      <formula>$M$6=""</formula>
    </cfRule>
  </conditionalFormatting>
  <conditionalFormatting sqref="AN78:AP78">
    <cfRule type="expression" dxfId="251" priority="130">
      <formula>$AN$78=""</formula>
    </cfRule>
  </conditionalFormatting>
  <conditionalFormatting sqref="AN79:AP79">
    <cfRule type="expression" dxfId="250" priority="129">
      <formula>$AN$79=""</formula>
    </cfRule>
  </conditionalFormatting>
  <conditionalFormatting sqref="AM46:AS46">
    <cfRule type="expression" dxfId="249" priority="133">
      <formula>$AM$46=""</formula>
    </cfRule>
  </conditionalFormatting>
  <conditionalFormatting sqref="AM47:AS47">
    <cfRule type="expression" dxfId="248" priority="31">
      <formula>$AM$47=""</formula>
    </cfRule>
  </conditionalFormatting>
  <conditionalFormatting sqref="AQ96:AR96">
    <cfRule type="expression" dxfId="247" priority="17">
      <formula>$AQ$96=""</formula>
    </cfRule>
  </conditionalFormatting>
  <conditionalFormatting sqref="BD2:BI10">
    <cfRule type="expression" dxfId="246" priority="7">
      <formula>$AW$2=""</formula>
    </cfRule>
  </conditionalFormatting>
  <conditionalFormatting sqref="AZ9:BA9">
    <cfRule type="expression" dxfId="245" priority="6">
      <formula>$AZ$9=""</formula>
    </cfRule>
  </conditionalFormatting>
  <conditionalFormatting sqref="AZ10:BA10">
    <cfRule type="expression" dxfId="244" priority="5">
      <formula>$AZ$10=""</formula>
    </cfRule>
  </conditionalFormatting>
  <dataValidations count="8">
    <dataValidation type="whole" allowBlank="1" showInputMessage="1" showErrorMessage="1" sqref="J58:M59 I46:K49" xr:uid="{BC00873C-85AB-4890-9E62-21BB7C86BAE1}">
      <formula1>0</formula1>
      <formula2>100000</formula2>
    </dataValidation>
    <dataValidation type="custom" operator="equal" allowBlank="1" showInputMessage="1" showErrorMessage="1" sqref="AA60 E33:E34 E40:E41 Q40:Q41 E6:E7 AN33 AN44 AA47:AA49" xr:uid="{8105B404-F22B-4D4A-B703-7D9D2E7D8741}">
      <formula1>E6="X"</formula1>
    </dataValidation>
    <dataValidation type="whole" allowBlank="1" showInputMessage="1" showErrorMessage="1" sqref="H21:I21 AJ21:AK21 L21:M21 P21:Q21 T21:U21 X21:Y21 AB21:AC21 AF21:AG21 AN21:AO21" xr:uid="{ED499B83-EB1D-40A9-B15C-AD481ECCF6B1}">
      <formula1>0</formula1>
      <formula2>360</formula2>
    </dataValidation>
    <dataValidation type="whole" allowBlank="1" showInputMessage="1" showErrorMessage="1" sqref="E28:AR28 Z42:Z45" xr:uid="{F0C39E36-4495-4DEE-8123-D58052466DF4}">
      <formula1>0</formula1>
      <formula2>10000</formula2>
    </dataValidation>
    <dataValidation type="whole" allowBlank="1" showInputMessage="1" showErrorMessage="1" sqref="T45:U45" xr:uid="{3D6CE41A-8D4B-4441-ABB9-5818D2623734}">
      <formula1>0</formula1>
      <formula2>3000</formula2>
    </dataValidation>
    <dataValidation type="date" operator="greaterThanOrEqual" allowBlank="1" showInputMessage="1" showErrorMessage="1" sqref="Y7:AF7" xr:uid="{80FFC056-06E5-44D2-91BD-9F715446D670}">
      <formula1>TODAY()-3</formula1>
    </dataValidation>
    <dataValidation type="whole" operator="equal" allowBlank="1" showInputMessage="1" showErrorMessage="1" sqref="AB73 AB62" xr:uid="{EF8E8A4A-07B2-4E15-84E9-3DDE1961491B}">
      <formula1>1</formula1>
    </dataValidation>
    <dataValidation type="whole" allowBlank="1" showInputMessage="1" showErrorMessage="1" sqref="AJ6:AL6" xr:uid="{7C0B208A-863B-407D-842F-D688DEC271CA}">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5362"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5363"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5364" r:id="rId7" name="Check Box 4">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5365" r:id="rId8" name="Check Box 5">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5366" r:id="rId9" name="Check Box 6">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5367" r:id="rId10" name="Check Box 7">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5369" r:id="rId12" name="Check Box 9">
              <controlPr locked="0" defaultSize="0" autoFill="0" autoLine="0" autoPict="0">
                <anchor moveWithCells="1">
                  <from>
                    <xdr:col>30</xdr:col>
                    <xdr:colOff>0</xdr:colOff>
                    <xdr:row>36</xdr:row>
                    <xdr:rowOff>0</xdr:rowOff>
                  </from>
                  <to>
                    <xdr:col>31</xdr:col>
                    <xdr:colOff>0</xdr:colOff>
                    <xdr:row>37</xdr:row>
                    <xdr:rowOff>0</xdr:rowOff>
                  </to>
                </anchor>
              </controlPr>
            </control>
          </mc:Choice>
        </mc:AlternateContent>
        <mc:AlternateContent xmlns:mc="http://schemas.openxmlformats.org/markup-compatibility/2006">
          <mc:Choice Requires="x14">
            <control shapeId="15370" r:id="rId13" name="Check Box 10">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5371" r:id="rId14" name="Check Box 11">
              <controlPr locked="0" defaultSize="0" autoFill="0" autoLine="0" autoPict="0">
                <anchor moveWithCells="1">
                  <from>
                    <xdr:col>42</xdr:col>
                    <xdr:colOff>0</xdr:colOff>
                    <xdr:row>5</xdr:row>
                    <xdr:rowOff>0</xdr:rowOff>
                  </from>
                  <to>
                    <xdr:col>43</xdr:col>
                    <xdr:colOff>0</xdr:colOff>
                    <xdr:row>6</xdr:row>
                    <xdr:rowOff>9525</xdr:rowOff>
                  </to>
                </anchor>
              </controlPr>
            </control>
          </mc:Choice>
        </mc:AlternateContent>
        <mc:AlternateContent xmlns:mc="http://schemas.openxmlformats.org/markup-compatibility/2006">
          <mc:Choice Requires="x14">
            <control shapeId="15372" r:id="rId15" name="Check Box 12">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5373" r:id="rId16" name="Check Box 13">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5374" r:id="rId17" name="Check Box 14">
              <controlPr locked="0" defaultSize="0" autoFill="0" autoLine="0" autoPict="0">
                <anchor moveWithCells="1">
                  <from>
                    <xdr:col>4</xdr:col>
                    <xdr:colOff>0</xdr:colOff>
                    <xdr:row>5</xdr:row>
                    <xdr:rowOff>0</xdr:rowOff>
                  </from>
                  <to>
                    <xdr:col>5</xdr:col>
                    <xdr:colOff>0</xdr:colOff>
                    <xdr:row>6</xdr:row>
                    <xdr:rowOff>9525</xdr:rowOff>
                  </to>
                </anchor>
              </controlPr>
            </control>
          </mc:Choice>
        </mc:AlternateContent>
        <mc:AlternateContent xmlns:mc="http://schemas.openxmlformats.org/markup-compatibility/2006">
          <mc:Choice Requires="x14">
            <control shapeId="15375" r:id="rId18" name="Check Box 15">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5376" r:id="rId19" name="Check Box 16">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5377" r:id="rId20" name="Check Box 17">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5378" r:id="rId21" name="Check Box 18">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5379" r:id="rId22" name="Check Box 19">
              <controlPr locked="0" defaultSize="0" autoFill="0" autoLine="0" autoPict="0">
                <anchor moveWithCells="1">
                  <from>
                    <xdr:col>9</xdr:col>
                    <xdr:colOff>114300</xdr:colOff>
                    <xdr:row>52</xdr:row>
                    <xdr:rowOff>114300</xdr:rowOff>
                  </from>
                  <to>
                    <xdr:col>10</xdr:col>
                    <xdr:colOff>114300</xdr:colOff>
                    <xdr:row>53</xdr:row>
                    <xdr:rowOff>114300</xdr:rowOff>
                  </to>
                </anchor>
              </controlPr>
            </control>
          </mc:Choice>
        </mc:AlternateContent>
        <mc:AlternateContent xmlns:mc="http://schemas.openxmlformats.org/markup-compatibility/2006">
          <mc:Choice Requires="x14">
            <control shapeId="15380" r:id="rId23" name="Check Box 20">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5381" r:id="rId24" name="Check Box 21">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5382" r:id="rId25" name="Check Box 22">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5383" r:id="rId26" name="Check Box 23">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5384" r:id="rId27" name="Check Box 24">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5385" r:id="rId28" name="Check Box 25">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5386" r:id="rId29" name="Check Box 26">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5387" r:id="rId30" name="Check Box 27">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5388" r:id="rId31" name="Check Box 28">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5389" r:id="rId32" name="Check Box 29">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5390" r:id="rId33" name="Check Box 30">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5391" r:id="rId34" name="Check Box 3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5392" r:id="rId35" name="Check Box 3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5393" r:id="rId36" name="Check Box 3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5394" r:id="rId37" name="Check Box 3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5395" r:id="rId38" name="Check Box 35">
              <controlPr locked="0" defaultSize="0" autoFill="0" autoLine="0" autoPict="0">
                <anchor moveWithCells="1">
                  <from>
                    <xdr:col>13</xdr:col>
                    <xdr:colOff>57150</xdr:colOff>
                    <xdr:row>81</xdr:row>
                    <xdr:rowOff>9525</xdr:rowOff>
                  </from>
                  <to>
                    <xdr:col>14</xdr:col>
                    <xdr:colOff>57150</xdr:colOff>
                    <xdr:row>82</xdr:row>
                    <xdr:rowOff>9525</xdr:rowOff>
                  </to>
                </anchor>
              </controlPr>
            </control>
          </mc:Choice>
        </mc:AlternateContent>
        <mc:AlternateContent xmlns:mc="http://schemas.openxmlformats.org/markup-compatibility/2006">
          <mc:Choice Requires="x14">
            <control shapeId="15396" r:id="rId39" name="Check Box 36">
              <controlPr locked="0" defaultSize="0" autoFill="0" autoLine="0" autoPict="0">
                <anchor moveWithCells="1">
                  <from>
                    <xdr:col>13</xdr:col>
                    <xdr:colOff>19050</xdr:colOff>
                    <xdr:row>62</xdr:row>
                    <xdr:rowOff>9525</xdr:rowOff>
                  </from>
                  <to>
                    <xdr:col>14</xdr:col>
                    <xdr:colOff>19050</xdr:colOff>
                    <xdr:row>63</xdr:row>
                    <xdr:rowOff>9525</xdr:rowOff>
                  </to>
                </anchor>
              </controlPr>
            </control>
          </mc:Choice>
        </mc:AlternateContent>
        <mc:AlternateContent xmlns:mc="http://schemas.openxmlformats.org/markup-compatibility/2006">
          <mc:Choice Requires="x14">
            <control shapeId="15397" r:id="rId40" name="Check Box 37">
              <controlPr locked="0" defaultSize="0" autoFill="0" autoLine="0" autoPict="0">
                <anchor moveWithCells="1">
                  <from>
                    <xdr:col>11</xdr:col>
                    <xdr:colOff>66675</xdr:colOff>
                    <xdr:row>68</xdr:row>
                    <xdr:rowOff>0</xdr:rowOff>
                  </from>
                  <to>
                    <xdr:col>12</xdr:col>
                    <xdr:colOff>66675</xdr:colOff>
                    <xdr:row>69</xdr:row>
                    <xdr:rowOff>0</xdr:rowOff>
                  </to>
                </anchor>
              </controlPr>
            </control>
          </mc:Choice>
        </mc:AlternateContent>
        <mc:AlternateContent xmlns:mc="http://schemas.openxmlformats.org/markup-compatibility/2006">
          <mc:Choice Requires="x14">
            <control shapeId="15398" r:id="rId41" name="Check Box 3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5399" r:id="rId42" name="Check Box 3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5400" r:id="rId43" name="Check Box 40">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5401" r:id="rId44" name="Check Box 41">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5402" r:id="rId45" name="Check Box 42">
              <controlPr locked="0" defaultSize="0" autoFill="0" autoLine="0" autoPict="0">
                <anchor moveWithCells="1">
                  <from>
                    <xdr:col>29</xdr:col>
                    <xdr:colOff>219075</xdr:colOff>
                    <xdr:row>55</xdr:row>
                    <xdr:rowOff>142875</xdr:rowOff>
                  </from>
                  <to>
                    <xdr:col>31</xdr:col>
                    <xdr:colOff>0</xdr:colOff>
                    <xdr:row>57</xdr:row>
                    <xdr:rowOff>0</xdr:rowOff>
                  </to>
                </anchor>
              </controlPr>
            </control>
          </mc:Choice>
        </mc:AlternateContent>
        <mc:AlternateContent xmlns:mc="http://schemas.openxmlformats.org/markup-compatibility/2006">
          <mc:Choice Requires="x14">
            <control shapeId="15403" r:id="rId46" name="Check Box 43">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5404" r:id="rId47" name="Check Box 4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5405" r:id="rId48" name="Check Box 45">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5406" r:id="rId49" name="Check Box 46">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5407" r:id="rId50" name="Check Box 47">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9" id="{3A960C37-F8E4-4040-A5B6-1149AB564878}">
            <xm:f>$A$9&lt;&gt;'Sprachen &amp; Rückgabewerte(5)'!$H$132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278" id="{716D3766-3639-492E-98B2-952B838B3064}">
            <xm:f>'Sprachen &amp; Rückgabewerte(5)'!$I$12=FALSE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36" id="{122C622E-480E-43E2-8E84-3422DA3DEB0D}">
            <xm:f>'Sprachen &amp; Rückgabewerte(5)'!$U$49=FALSE</xm:f>
            <x14:dxf>
              <border>
                <bottom style="thin">
                  <color rgb="FFFF0000"/>
                </bottom>
                <vertical/>
                <horizontal/>
              </border>
            </x14:dxf>
          </x14:cfRule>
          <x14:cfRule type="expression" priority="277" id="{4BF59BD9-53C5-4297-B44E-D09327E47F09}">
            <xm:f>AND('Sprachen &amp; Rückgabewerte(5)'!$I$11=FALSE,'Sprachen &amp; Rückgabewerte(5)'!$I$12=FALSE)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6" id="{8B7D70A6-4E02-44A2-8C9C-239C5AFF5D21}">
            <xm:f>AND('Sprachen &amp; Rückgabewerte(5)'!$I$10=FALSE,'Sprachen &amp; Rückgabewerte(5)'!$I$11=FALSE,'Sprachen &amp; Rückgabewerte(5)'!$I$12=FALSE)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5AE3DBAF-66F6-45F5-B1DF-E1CB3B8F427E}">
            <xm:f>AND($AP$86="",'Sprachen &amp; Rückgabewerte(5)'!$I$51=TRUE)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5" id="{247A73E3-13ED-46DE-903A-758F0FA3EF53}">
            <xm:f>'Sprachen &amp; Rückgabewerte(5)'!$I$51=TRUE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4" id="{87B85904-6D59-47E9-AC90-67B7DFA506F2}">
            <xm:f>'Sprachen &amp; Rückgabewerte(5)'!$C$41=FALSE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8" id="{1A89785D-CCCF-4B3F-B082-9D133B88DA28}">
            <xm:f>'Sprachen &amp; Rückgabewerte(5)'!$C$42=FALSE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3" id="{4946D780-CE51-414F-B5FA-63A46B3687E9}">
            <xm:f>'Sprachen &amp; Rückgabewerte(5)'!$C$43=FALSE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2" id="{D99ACAB4-ECC6-4300-82A2-8C43AD7152F6}">
            <xm:f>'Sprachen &amp; Rückgabewerte(5)'!$C$44=FALSE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0" id="{9085BA71-DFA1-4726-BF43-FC7A1FDF6B3A}">
            <xm:f>'Sprachen &amp; Rückgabewerte(5)'!$C$45=FALSE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5" id="{F212DF7C-1879-4345-8E6E-26768F4C5E46}">
            <xm:f>'Sprachen &amp; Rückgabewerte(5)'!$C$46=FALSE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8" id="{A923B4AD-FD2F-4FFD-91B1-64CF178F6DDB}">
            <xm:f>'Sprachen &amp; Rückgabewerte(5)'!$C$47=FALSE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39" id="{3FA9ED71-2EF8-4B75-998D-03EF61E0E707}">
            <xm:f>'Sprachen &amp; Rückgabewerte(5)'!$C$49=FALSE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5" id="{6F39BA5C-91F2-46BC-8B13-CBAB653ED757}">
            <xm:f>G$20='Sprachen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6" id="{A1327842-76AF-4A4E-9FE8-9C9F304D959B}">
            <xm:f>G$20='Sprachen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3" id="{89813778-2F21-4E02-B3E9-BF1C3368036F}">
            <xm:f>'Sprachen &amp; Rückgabewerte(5)'!$L$41=0</xm:f>
            <x14:dxf>
              <border>
                <left style="thin">
                  <color rgb="FFFF0000"/>
                </left>
                <vertical/>
                <horizontal/>
              </border>
            </x14:dxf>
          </x14:cfRule>
          <xm:sqref>C5:C8</xm:sqref>
        </x14:conditionalFormatting>
        <x14:conditionalFormatting xmlns:xm="http://schemas.microsoft.com/office/excel/2006/main">
          <x14:cfRule type="expression" priority="262" id="{AB610A13-0172-4C09-8D45-DDB4BF91905F}">
            <xm:f>'Sprachen &amp; Rückgabewerte(5)'!$L$41=0</xm:f>
            <x14:dxf>
              <border>
                <top style="thin">
                  <color rgb="FFFF0000"/>
                </top>
                <vertical/>
                <horizontal/>
              </border>
            </x14:dxf>
          </x14:cfRule>
          <xm:sqref>C5:R5</xm:sqref>
        </x14:conditionalFormatting>
        <x14:conditionalFormatting xmlns:xm="http://schemas.microsoft.com/office/excel/2006/main">
          <x14:cfRule type="expression" priority="261" id="{F1130152-C612-4959-B4B2-C1536C685E53}">
            <xm:f>'Sprachen &amp; Rückgabewerte(5)'!$L$41=0</xm:f>
            <x14:dxf>
              <border>
                <right style="thin">
                  <color rgb="FFFF0000"/>
                </right>
                <vertical/>
                <horizontal/>
              </border>
            </x14:dxf>
          </x14:cfRule>
          <xm:sqref>R5:R8</xm:sqref>
        </x14:conditionalFormatting>
        <x14:conditionalFormatting xmlns:xm="http://schemas.microsoft.com/office/excel/2006/main">
          <x14:cfRule type="expression" priority="260" id="{D49FFD98-3076-46C9-BE05-E2D09927054B}">
            <xm:f>'Sprachen &amp; Rückgabewerte(5)'!$L$41=0</xm:f>
            <x14:dxf>
              <border>
                <bottom style="thin">
                  <color rgb="FFFF0000"/>
                </bottom>
                <vertical/>
                <horizontal/>
              </border>
            </x14:dxf>
          </x14:cfRule>
          <xm:sqref>C8:R8</xm:sqref>
        </x14:conditionalFormatting>
        <x14:conditionalFormatting xmlns:xm="http://schemas.microsoft.com/office/excel/2006/main">
          <x14:cfRule type="expression" priority="259" id="{A32C0951-1235-4F92-9A4E-FEEB3D94AB96}">
            <xm:f>'Sprachen &amp; Rückgabewerte(5)'!$L$42=0</xm:f>
            <x14:dxf>
              <border>
                <left style="thin">
                  <color rgb="FFFF0000"/>
                </left>
                <vertical/>
                <horizontal/>
              </border>
            </x14:dxf>
          </x14:cfRule>
          <xm:sqref>S5:S8</xm:sqref>
        </x14:conditionalFormatting>
        <x14:conditionalFormatting xmlns:xm="http://schemas.microsoft.com/office/excel/2006/main">
          <x14:cfRule type="expression" priority="119" id="{973B9F65-750D-4E49-99A9-2A921C10C702}">
            <xm:f>'Sprachen &amp; Rückgabewerte(5)'!$L$42=0</xm:f>
            <x14:dxf>
              <border>
                <top style="thin">
                  <color rgb="FFFF0000"/>
                </top>
                <vertical/>
                <horizontal/>
              </border>
            </x14:dxf>
          </x14:cfRule>
          <xm:sqref>S5:AG5</xm:sqref>
        </x14:conditionalFormatting>
        <x14:conditionalFormatting xmlns:xm="http://schemas.microsoft.com/office/excel/2006/main">
          <x14:cfRule type="expression" priority="257" id="{FD715877-081C-452E-A9A4-3999252DEC4E}">
            <xm:f>'Sprachen &amp; Rückgabewerte(5)'!$L$42=0</xm:f>
            <x14:dxf>
              <border>
                <right style="thin">
                  <color rgb="FFFF0000"/>
                </right>
                <vertical/>
                <horizontal/>
              </border>
            </x14:dxf>
          </x14:cfRule>
          <xm:sqref>AG5:AG8</xm:sqref>
        </x14:conditionalFormatting>
        <x14:conditionalFormatting xmlns:xm="http://schemas.microsoft.com/office/excel/2006/main">
          <x14:cfRule type="expression" priority="256" id="{C6484382-72C3-4FF5-895F-3CF8ABD899E3}">
            <xm:f>'Sprachen &amp; Rückgabewerte(5)'!$L$42=0</xm:f>
            <x14:dxf>
              <border>
                <bottom style="thin">
                  <color rgb="FFFF0000"/>
                </bottom>
                <vertical/>
                <horizontal/>
              </border>
            </x14:dxf>
          </x14:cfRule>
          <xm:sqref>S8:AG8</xm:sqref>
        </x14:conditionalFormatting>
        <x14:conditionalFormatting xmlns:xm="http://schemas.microsoft.com/office/excel/2006/main">
          <x14:cfRule type="expression" priority="255" id="{7AD76282-484A-4833-A928-9A00707C1CAD}">
            <xm:f>'Sprachen &amp; Rückgabewerte(5)'!$L$43=0</xm:f>
            <x14:dxf>
              <border>
                <left style="thin">
                  <color rgb="FFFF0000"/>
                </left>
                <vertical/>
                <horizontal/>
              </border>
            </x14:dxf>
          </x14:cfRule>
          <xm:sqref>AH5:AH8</xm:sqref>
        </x14:conditionalFormatting>
        <x14:conditionalFormatting xmlns:xm="http://schemas.microsoft.com/office/excel/2006/main">
          <x14:cfRule type="expression" priority="116" id="{A9DA88B3-FE7B-4F44-AFA5-8084B064D8FE}">
            <xm:f>'Sprachen &amp; Rückgabewerte(5)'!$L$43=0</xm:f>
            <x14:dxf>
              <border>
                <top style="thin">
                  <color rgb="FFFF0000"/>
                </top>
                <vertical/>
                <horizontal/>
              </border>
            </x14:dxf>
          </x14:cfRule>
          <xm:sqref>AH5:AM5</xm:sqref>
        </x14:conditionalFormatting>
        <x14:conditionalFormatting xmlns:xm="http://schemas.microsoft.com/office/excel/2006/main">
          <x14:cfRule type="expression" priority="253" id="{793B1001-EC0F-488D-9A5B-820711C487E1}">
            <xm:f>'Sprachen &amp; Rückgabewerte(5)'!$L$43=0</xm:f>
            <x14:dxf>
              <border>
                <right style="thin">
                  <color rgb="FFFF0000"/>
                </right>
                <vertical/>
                <horizontal/>
              </border>
            </x14:dxf>
          </x14:cfRule>
          <xm:sqref>AM5:AM8</xm:sqref>
        </x14:conditionalFormatting>
        <x14:conditionalFormatting xmlns:xm="http://schemas.microsoft.com/office/excel/2006/main">
          <x14:cfRule type="expression" priority="252" id="{E7BF04F8-0B3A-40CF-AE52-BF9A0E072DA4}">
            <xm:f>'Sprachen &amp; Rückgabewerte(5)'!$L$43=0</xm:f>
            <x14:dxf>
              <border>
                <bottom style="thin">
                  <color rgb="FFFF0000"/>
                </bottom>
                <vertical/>
                <horizontal/>
              </border>
            </x14:dxf>
          </x14:cfRule>
          <xm:sqref>AH8:AM8</xm:sqref>
        </x14:conditionalFormatting>
        <x14:conditionalFormatting xmlns:xm="http://schemas.microsoft.com/office/excel/2006/main">
          <x14:cfRule type="expression" priority="251" id="{C81898E8-DB4D-4C5A-A678-057F3F3FA893}">
            <xm:f>'Sprachen &amp; Rückgabewerte(5)'!$L$44=0</xm:f>
            <x14:dxf>
              <border>
                <left style="thin">
                  <color rgb="FFFF0000"/>
                </left>
                <vertical/>
                <horizontal/>
              </border>
            </x14:dxf>
          </x14:cfRule>
          <xm:sqref>AN5:AN8</xm:sqref>
        </x14:conditionalFormatting>
        <x14:conditionalFormatting xmlns:xm="http://schemas.microsoft.com/office/excel/2006/main">
          <x14:cfRule type="expression" priority="250" id="{D02AD337-DDD5-415D-B1E3-4C754733DB65}">
            <xm:f>'Sprachen &amp; Rückgabewerte(5)'!$L$44=0</xm:f>
            <x14:dxf>
              <border>
                <top style="thin">
                  <color rgb="FFFF0000"/>
                </top>
                <vertical/>
                <horizontal/>
              </border>
            </x14:dxf>
          </x14:cfRule>
          <xm:sqref>AN5:AT5</xm:sqref>
        </x14:conditionalFormatting>
        <x14:conditionalFormatting xmlns:xm="http://schemas.microsoft.com/office/excel/2006/main">
          <x14:cfRule type="expression" priority="249" id="{3C9AD529-8A56-40DD-9A33-7EB2166DC569}">
            <xm:f>'Sprachen &amp; Rückgabewerte(5)'!$L$44=0</xm:f>
            <x14:dxf>
              <border>
                <right style="thin">
                  <color rgb="FFFF0000"/>
                </right>
                <vertical/>
                <horizontal/>
              </border>
            </x14:dxf>
          </x14:cfRule>
          <xm:sqref>AT5:AT8</xm:sqref>
        </x14:conditionalFormatting>
        <x14:conditionalFormatting xmlns:xm="http://schemas.microsoft.com/office/excel/2006/main">
          <x14:cfRule type="expression" priority="248" id="{433D4BD7-3CED-43D7-86F4-FAB6430AF058}">
            <xm:f>'Sprachen &amp; Rückgabewerte(5)'!$L$44=0</xm:f>
            <x14:dxf>
              <border>
                <bottom style="thin">
                  <color rgb="FFFF0000"/>
                </bottom>
                <vertical/>
                <horizontal/>
              </border>
            </x14:dxf>
          </x14:cfRule>
          <xm:sqref>AN8:AT8</xm:sqref>
        </x14:conditionalFormatting>
        <x14:conditionalFormatting xmlns:xm="http://schemas.microsoft.com/office/excel/2006/main">
          <x14:cfRule type="expression" priority="247" id="{982F1C9A-D613-4E76-9881-36DF847C75DE}">
            <xm:f>'Sprachen &amp; Rückgabewerte(5)'!$L$45=0</xm:f>
            <x14:dxf>
              <border>
                <left style="thin">
                  <color rgb="FFFF0000"/>
                </left>
                <vertical/>
                <horizontal/>
              </border>
            </x14:dxf>
          </x14:cfRule>
          <xm:sqref>C9:C30</xm:sqref>
        </x14:conditionalFormatting>
        <x14:conditionalFormatting xmlns:xm="http://schemas.microsoft.com/office/excel/2006/main">
          <x14:cfRule type="expression" priority="240" id="{DA2BCEAC-475F-443A-BEF9-CC48750A9135}">
            <xm:f>'Sprachen &amp; Rückgabewerte(5)'!$L$46=0</xm:f>
            <x14:dxf>
              <border>
                <bottom style="thin">
                  <color rgb="FFFF0000"/>
                </bottom>
                <vertical/>
                <horizontal/>
              </border>
            </x14:dxf>
          </x14:cfRule>
          <x14:cfRule type="expression" priority="246" id="{EB4E3920-A4CC-4621-9FDE-698487101154}">
            <xm:f>'Sprachen &amp; Rückgabewerte(5)'!$L$45=0</xm:f>
            <x14:dxf>
              <border>
                <bottom style="thin">
                  <color rgb="FFFF0000"/>
                </bottom>
                <vertical/>
                <horizontal/>
              </border>
            </x14:dxf>
          </x14:cfRule>
          <xm:sqref>C30:AT30</xm:sqref>
        </x14:conditionalFormatting>
        <x14:conditionalFormatting xmlns:xm="http://schemas.microsoft.com/office/excel/2006/main">
          <x14:cfRule type="expression" priority="245" id="{2E1992C0-50C6-44DB-BC0F-4D78213879C5}">
            <xm:f>'Sprachen &amp; Rückgabewerte(5)'!$L$45=0</xm:f>
            <x14:dxf>
              <border>
                <top style="thin">
                  <color rgb="FFFF0000"/>
                </top>
                <vertical/>
                <horizontal/>
              </border>
            </x14:dxf>
          </x14:cfRule>
          <xm:sqref>C9:AT9</xm:sqref>
        </x14:conditionalFormatting>
        <x14:conditionalFormatting xmlns:xm="http://schemas.microsoft.com/office/excel/2006/main">
          <x14:cfRule type="expression" priority="244" id="{1F806D50-F8CF-41D6-87DA-F876D2580AE0}">
            <xm:f>'Sprachen &amp; Rückgabewerte(5)'!$L$45=0</xm:f>
            <x14:dxf>
              <border>
                <right style="thin">
                  <color rgb="FFFF0000"/>
                </right>
                <vertical/>
                <horizontal/>
              </border>
            </x14:dxf>
          </x14:cfRule>
          <xm:sqref>AT9:AT30</xm:sqref>
        </x14:conditionalFormatting>
        <x14:conditionalFormatting xmlns:xm="http://schemas.microsoft.com/office/excel/2006/main">
          <x14:cfRule type="expression" priority="243" id="{4E3AD117-D03C-4E77-82A6-E9DFD08DFF16}">
            <xm:f>'Sprachen &amp; Rückgabewerte(5)'!$L$46=0</xm:f>
            <x14:dxf>
              <border>
                <left style="thin">
                  <color rgb="FFFF0000"/>
                </left>
                <vertical/>
                <horizontal/>
              </border>
            </x14:dxf>
          </x14:cfRule>
          <xm:sqref>C27:C30</xm:sqref>
        </x14:conditionalFormatting>
        <x14:conditionalFormatting xmlns:xm="http://schemas.microsoft.com/office/excel/2006/main">
          <x14:cfRule type="expression" priority="242" id="{96BF048C-460F-4C94-BCC3-2FCE642A8217}">
            <xm:f>'Sprachen &amp; Rückgabewerte(5)'!$L$46=0</xm:f>
            <x14:dxf>
              <border>
                <top style="thin">
                  <color rgb="FFFF0000"/>
                </top>
                <vertical/>
                <horizontal/>
              </border>
            </x14:dxf>
          </x14:cfRule>
          <xm:sqref>C27:AT27</xm:sqref>
        </x14:conditionalFormatting>
        <x14:conditionalFormatting xmlns:xm="http://schemas.microsoft.com/office/excel/2006/main">
          <x14:cfRule type="expression" priority="241" id="{506EBF1A-EE33-4E84-8EAE-13776B5587E4}">
            <xm:f>'Sprachen &amp; Rückgabewerte(5)'!$L$46=0</xm:f>
            <x14:dxf>
              <border>
                <right style="thin">
                  <color rgb="FFFF0000"/>
                </right>
                <vertical/>
                <horizontal/>
              </border>
            </x14:dxf>
          </x14:cfRule>
          <xm:sqref>AT27:AT30</xm:sqref>
        </x14:conditionalFormatting>
        <x14:conditionalFormatting xmlns:xm="http://schemas.microsoft.com/office/excel/2006/main">
          <x14:cfRule type="expression" priority="239" id="{B4AB9462-1BBA-4817-BB17-1A40A36D25E7}">
            <xm:f>'Sprachen &amp; Rückgabewerte(5)'!$L$47=0</xm:f>
            <x14:dxf>
              <border>
                <left style="thin">
                  <color rgb="FFFF0000"/>
                </left>
                <vertical/>
                <horizontal/>
              </border>
            </x14:dxf>
          </x14:cfRule>
          <xm:sqref>C32:C35</xm:sqref>
        </x14:conditionalFormatting>
        <x14:conditionalFormatting xmlns:xm="http://schemas.microsoft.com/office/excel/2006/main">
          <x14:cfRule type="expression" priority="238" id="{47FAFE6B-DD0C-4B85-8375-541868D356C6}">
            <xm:f>'Sprachen &amp; Rückgabewerte(5)'!$L$47=0</xm:f>
            <x14:dxf>
              <border>
                <top style="thin">
                  <color rgb="FFFF0000"/>
                </top>
                <vertical/>
                <horizontal/>
              </border>
            </x14:dxf>
          </x14:cfRule>
          <xm:sqref>C32:AB32</xm:sqref>
        </x14:conditionalFormatting>
        <x14:conditionalFormatting xmlns:xm="http://schemas.microsoft.com/office/excel/2006/main">
          <x14:cfRule type="expression" priority="237" id="{A8CA5E3A-6E21-4183-BC73-29AFBA8D32B8}">
            <xm:f>'Sprachen &amp; Rückgabewerte(5)'!$L$47=0</xm:f>
            <x14:dxf>
              <border>
                <right style="thin">
                  <color rgb="FFFF0000"/>
                </right>
                <vertical/>
                <horizontal/>
              </border>
            </x14:dxf>
          </x14:cfRule>
          <xm:sqref>AB32:AB35</xm:sqref>
        </x14:conditionalFormatting>
        <x14:conditionalFormatting xmlns:xm="http://schemas.microsoft.com/office/excel/2006/main">
          <x14:cfRule type="expression" priority="236" id="{BF019550-9B59-4A28-8D46-8CD16CE4C708}">
            <xm:f>'Sprachen &amp; Rückgabewerte(5)'!$L$47=0</xm:f>
            <x14:dxf>
              <border>
                <bottom style="thin">
                  <color rgb="FFFF0000"/>
                </bottom>
                <vertical/>
                <horizontal/>
              </border>
            </x14:dxf>
          </x14:cfRule>
          <xm:sqref>C35:AB35</xm:sqref>
        </x14:conditionalFormatting>
        <x14:conditionalFormatting xmlns:xm="http://schemas.microsoft.com/office/excel/2006/main">
          <x14:cfRule type="expression" priority="235" id="{1666BE4B-726D-4E29-9A1D-194F248853B3}">
            <xm:f>'Sprachen &amp; Rückgabewerte(5)'!$M$49=0</xm:f>
            <x14:dxf>
              <border>
                <left style="thin">
                  <color rgb="FFFF0000"/>
                </left>
                <vertical/>
                <horizontal/>
              </border>
            </x14:dxf>
          </x14:cfRule>
          <xm:sqref>C36:C60</xm:sqref>
        </x14:conditionalFormatting>
        <x14:conditionalFormatting xmlns:xm="http://schemas.microsoft.com/office/excel/2006/main">
          <x14:cfRule type="expression" priority="234" id="{294AFBCF-962A-4725-AC6D-9B84DD4F1843}">
            <xm:f>'Sprachen &amp; Rückgabewerte(5)'!$M$49=0</xm:f>
            <x14:dxf>
              <border>
                <top style="thin">
                  <color rgb="FFFF0000"/>
                </top>
                <vertical/>
                <horizontal/>
              </border>
            </x14:dxf>
          </x14:cfRule>
          <xm:sqref>C36:O36</xm:sqref>
        </x14:conditionalFormatting>
        <x14:conditionalFormatting xmlns:xm="http://schemas.microsoft.com/office/excel/2006/main">
          <x14:cfRule type="expression" priority="233" id="{CEB5D9D7-87CF-42D7-B46E-56D2D8976160}">
            <xm:f>'Sprachen &amp; Rückgabewerte(5)'!$M$49=0</xm:f>
            <x14:dxf>
              <border>
                <right style="thin">
                  <color rgb="FFFF0000"/>
                </right>
                <vertical/>
                <horizontal/>
              </border>
            </x14:dxf>
          </x14:cfRule>
          <xm:sqref>O36:O60</xm:sqref>
        </x14:conditionalFormatting>
        <x14:conditionalFormatting xmlns:xm="http://schemas.microsoft.com/office/excel/2006/main">
          <x14:cfRule type="expression" priority="232" id="{F326F935-114E-40DB-BE52-C0937CFEFC54}">
            <xm:f>'Sprachen &amp; Rückgabewerte(5)'!$M$49=0</xm:f>
            <x14:dxf>
              <border>
                <bottom style="thin">
                  <color rgb="FFFF0000"/>
                </bottom>
                <vertical/>
                <horizontal/>
              </border>
            </x14:dxf>
          </x14:cfRule>
          <xm:sqref>C60:O60</xm:sqref>
        </x14:conditionalFormatting>
        <x14:conditionalFormatting xmlns:xm="http://schemas.microsoft.com/office/excel/2006/main">
          <x14:cfRule type="expression" priority="231" id="{263A924C-35BD-4A49-BFB9-85A330CF1E94}">
            <xm:f>'Sprachen &amp; Rückgabewerte(5)'!$L$50=0</xm:f>
            <x14:dxf>
              <border>
                <top style="thin">
                  <color rgb="FFFF0000"/>
                </top>
                <vertical/>
                <horizontal/>
              </border>
            </x14:dxf>
          </x14:cfRule>
          <xm:sqref>P36:AB36</xm:sqref>
        </x14:conditionalFormatting>
        <x14:conditionalFormatting xmlns:xm="http://schemas.microsoft.com/office/excel/2006/main">
          <x14:cfRule type="expression" priority="230" id="{BCAB2904-FC41-4A3E-82F3-9A4B05F934CC}">
            <xm:f>'Sprachen &amp; Rückgabewerte(5)'!$L$50=0</xm:f>
            <x14:dxf>
              <border>
                <right style="thin">
                  <color rgb="FFFF0000"/>
                </right>
              </border>
            </x14:dxf>
          </x14:cfRule>
          <xm:sqref>AB36:AB60</xm:sqref>
        </x14:conditionalFormatting>
        <x14:conditionalFormatting xmlns:xm="http://schemas.microsoft.com/office/excel/2006/main">
          <x14:cfRule type="expression" priority="229" id="{F4E03EEE-9A65-4A7C-BEFC-65E82EBDAD83}">
            <xm:f>'Sprachen &amp; Rückgabewerte(5)'!$L$50=0</xm:f>
            <x14:dxf>
              <border>
                <bottom style="thin">
                  <color rgb="FFFF0000"/>
                </bottom>
                <vertical/>
                <horizontal/>
              </border>
            </x14:dxf>
          </x14:cfRule>
          <xm:sqref>P60:AB60</xm:sqref>
        </x14:conditionalFormatting>
        <x14:conditionalFormatting xmlns:xm="http://schemas.microsoft.com/office/excel/2006/main">
          <x14:cfRule type="expression" priority="228" id="{80D70DE8-8332-45CC-A61C-3E9104B48973}">
            <xm:f>'Sprachen &amp; Rückgabewerte(5)'!$L$50=0</xm:f>
            <x14:dxf>
              <border>
                <left style="thin">
                  <color rgb="FFFF0000"/>
                </left>
                <vertical/>
                <horizontal/>
              </border>
            </x14:dxf>
          </x14:cfRule>
          <xm:sqref>P36:P43</xm:sqref>
        </x14:conditionalFormatting>
        <x14:conditionalFormatting xmlns:xm="http://schemas.microsoft.com/office/excel/2006/main">
          <x14:cfRule type="expression" priority="227" id="{98EAEA92-D41A-436F-8FD9-3B93063200B5}">
            <xm:f>'Sprachen &amp; Rückgabewerte(5)'!$L$50=0</xm:f>
            <x14:dxf>
              <border>
                <left style="thin">
                  <color rgb="FFFF0000"/>
                </left>
                <vertical/>
                <horizontal/>
              </border>
            </x14:dxf>
          </x14:cfRule>
          <xm:sqref>P44:S45</xm:sqref>
        </x14:conditionalFormatting>
        <x14:conditionalFormatting xmlns:xm="http://schemas.microsoft.com/office/excel/2006/main">
          <x14:cfRule type="expression" priority="226" id="{75ADC672-937C-44EB-BE88-27920EB68B7E}">
            <xm:f>'Sprachen &amp; Rückgabewerte(5)'!$L$50=0</xm:f>
            <x14:dxf>
              <border>
                <left style="thin">
                  <color rgb="FFFF0000"/>
                </left>
                <vertical/>
                <horizontal/>
              </border>
            </x14:dxf>
          </x14:cfRule>
          <xm:sqref>P46:P60</xm:sqref>
        </x14:conditionalFormatting>
        <x14:conditionalFormatting xmlns:xm="http://schemas.microsoft.com/office/excel/2006/main">
          <x14:cfRule type="expression" priority="225" id="{990A4B07-4FB0-40EC-AF5E-904C44D03178}">
            <xm:f>'Sprachen &amp; Rückgabewerte(5)'!$L$51=0</xm:f>
            <x14:dxf>
              <border>
                <top style="thin">
                  <color rgb="FFFF0000"/>
                </top>
                <vertical/>
                <horizontal/>
              </border>
            </x14:dxf>
          </x14:cfRule>
          <xm:sqref>AE32:AT32</xm:sqref>
        </x14:conditionalFormatting>
        <x14:conditionalFormatting xmlns:xm="http://schemas.microsoft.com/office/excel/2006/main">
          <x14:cfRule type="expression" priority="98" id="{AA8D6537-4A6F-4ED1-AB9D-859923FE474F}">
            <xm:f>AND($AY$43&lt;&gt;0,'Sprachen &amp; Rückgabewerte(5)'!$I$19=TRUE)</xm:f>
            <x14:dxf>
              <border>
                <right style="thin">
                  <color rgb="FFFF0000"/>
                </right>
                <vertical/>
                <horizontal/>
              </border>
            </x14:dxf>
          </x14:cfRule>
          <x14:cfRule type="expression" priority="224" id="{6C13AE1D-C377-442B-B23E-AF829251F6BE}">
            <xm:f>'Sprachen &amp; Rückgabewerte(5)'!$L$51=0</xm:f>
            <x14:dxf>
              <border>
                <right style="thin">
                  <color rgb="FFFF0000"/>
                </right>
                <vertical/>
                <horizontal/>
              </border>
            </x14:dxf>
          </x14:cfRule>
          <xm:sqref>AT32:AT40</xm:sqref>
        </x14:conditionalFormatting>
        <x14:conditionalFormatting xmlns:xm="http://schemas.microsoft.com/office/excel/2006/main">
          <x14:cfRule type="expression" priority="223" id="{353450C0-0699-4000-9B93-93292427F7ED}">
            <xm:f>'Sprachen &amp; Rückgabewerte(5)'!$L$51=0</xm:f>
            <x14:dxf>
              <border>
                <bottom style="thin">
                  <color rgb="FFFF0000"/>
                </bottom>
                <vertical/>
                <horizontal/>
              </border>
            </x14:dxf>
          </x14:cfRule>
          <xm:sqref>AE40:AT40</xm:sqref>
        </x14:conditionalFormatting>
        <x14:conditionalFormatting xmlns:xm="http://schemas.microsoft.com/office/excel/2006/main">
          <x14:cfRule type="expression" priority="222" id="{CEE3F612-1632-43C3-B6CC-FED938FAF79A}">
            <xm:f>'Sprachen &amp; Rückgabewerte(5)'!$L$52=0</xm:f>
            <x14:dxf>
              <border>
                <top style="thin">
                  <color rgb="FFFF0000"/>
                </top>
                <vertical/>
                <horizontal/>
              </border>
            </x14:dxf>
          </x14:cfRule>
          <xm:sqref>AE42:AT42</xm:sqref>
        </x14:conditionalFormatting>
        <x14:conditionalFormatting xmlns:xm="http://schemas.microsoft.com/office/excel/2006/main">
          <x14:cfRule type="expression" priority="221" id="{CF702D6D-F554-432D-9716-000E89010B27}">
            <xm:f>'Sprachen &amp; Rückgabewerte(5)'!$L$52=0</xm:f>
            <x14:dxf>
              <border>
                <right style="thin">
                  <color rgb="FFFF0000"/>
                </right>
                <vertical/>
                <horizontal/>
              </border>
            </x14:dxf>
          </x14:cfRule>
          <xm:sqref>AT42:AT50</xm:sqref>
        </x14:conditionalFormatting>
        <x14:conditionalFormatting xmlns:xm="http://schemas.microsoft.com/office/excel/2006/main">
          <x14:cfRule type="expression" priority="220" id="{B438F761-C54F-423F-9D1C-46B26D5C63D1}">
            <xm:f>'Sprachen &amp; Rückgabewerte(5)'!$L$52=0</xm:f>
            <x14:dxf>
              <border>
                <bottom style="thin">
                  <color rgb="FFFF0000"/>
                </bottom>
                <vertical/>
                <horizontal/>
              </border>
            </x14:dxf>
          </x14:cfRule>
          <xm:sqref>AM50:AT50</xm:sqref>
        </x14:conditionalFormatting>
        <x14:conditionalFormatting xmlns:xm="http://schemas.microsoft.com/office/excel/2006/main">
          <x14:cfRule type="expression" priority="164" id="{95DEC1AD-CBD4-499B-BF1A-08FBE6FCD324}">
            <xm:f>OR('Sprachen &amp; Rückgabewerte(5)'!$I$36=TRUE,'Sprachen &amp; Rückgabewerte(5)'!$I$39=TRUE)</xm:f>
            <x14:dxf>
              <font>
                <color theme="1"/>
              </font>
            </x14:dxf>
          </x14:cfRule>
          <x14:cfRule type="expression" priority="219" id="{DA87F6DC-5A43-4BB6-AE63-A9F11378B465}">
            <xm:f>'Sprachen &amp; Rückgabewerte(5)'!$L$52=0</xm:f>
            <x14:dxf>
              <border>
                <bottom style="thin">
                  <color rgb="FFFF0000"/>
                </bottom>
                <vertical/>
                <horizontal/>
              </border>
            </x14:dxf>
          </x14:cfRule>
          <xm:sqref>AF48:AL50</xm:sqref>
        </x14:conditionalFormatting>
        <x14:conditionalFormatting xmlns:xm="http://schemas.microsoft.com/office/excel/2006/main">
          <x14:cfRule type="expression" priority="218" id="{18D6FE73-75D4-4522-9016-CB7225C8E557}">
            <xm:f>'Sprachen &amp; Rückgabewerte(5)'!$L$52=0</xm:f>
            <x14:dxf>
              <border>
                <bottom style="thin">
                  <color rgb="FFFF0000"/>
                </bottom>
                <vertical/>
                <horizontal/>
              </border>
            </x14:dxf>
          </x14:cfRule>
          <xm:sqref>AE50</xm:sqref>
        </x14:conditionalFormatting>
        <x14:conditionalFormatting xmlns:xm="http://schemas.microsoft.com/office/excel/2006/main">
          <x14:cfRule type="expression" priority="217" id="{34A16EF1-F7FE-4DAB-9133-2BB6BAAC8AE4}">
            <xm:f>'Sprachen &amp; Rückgabewerte(5)'!$L$53=0</xm:f>
            <x14:dxf>
              <border>
                <top style="thin">
                  <color rgb="FFFF0000"/>
                </top>
                <vertical/>
                <horizontal/>
              </border>
            </x14:dxf>
          </x14:cfRule>
          <xm:sqref>AE52:AT52</xm:sqref>
        </x14:conditionalFormatting>
        <x14:conditionalFormatting xmlns:xm="http://schemas.microsoft.com/office/excel/2006/main">
          <x14:cfRule type="expression" priority="216" id="{74380569-028B-4712-9A4D-F9971E1F832D}">
            <xm:f>'Sprachen &amp; Rückgabewerte(5)'!$L$53=0</xm:f>
            <x14:dxf>
              <border>
                <right style="thin">
                  <color rgb="FFFF0000"/>
                </right>
                <vertical/>
                <horizontal/>
              </border>
            </x14:dxf>
          </x14:cfRule>
          <xm:sqref>AT52:AT58</xm:sqref>
        </x14:conditionalFormatting>
        <x14:conditionalFormatting xmlns:xm="http://schemas.microsoft.com/office/excel/2006/main">
          <x14:cfRule type="expression" priority="215" id="{2205DC47-845C-4DA1-BF56-729636BBC0AF}">
            <xm:f>'Sprachen &amp; Rückgabewerte(5)'!$L$53=0</xm:f>
            <x14:dxf>
              <border>
                <bottom style="thin">
                  <color rgb="FFFF0000"/>
                </bottom>
                <vertical/>
                <horizontal/>
              </border>
            </x14:dxf>
          </x14:cfRule>
          <xm:sqref>AE58:AT58</xm:sqref>
        </x14:conditionalFormatting>
        <x14:conditionalFormatting xmlns:xm="http://schemas.microsoft.com/office/excel/2006/main">
          <x14:cfRule type="expression" priority="214" id="{9CA127FC-70AF-4C02-B6B9-7971CA5F41D5}">
            <xm:f>'Sprachen &amp; Rückgabewerte(5)'!$L$54=0</xm:f>
            <x14:dxf>
              <border>
                <top style="thin">
                  <color rgb="FFFF0000"/>
                </top>
                <vertical/>
                <horizontal/>
              </border>
            </x14:dxf>
          </x14:cfRule>
          <xm:sqref>AE60:AT60</xm:sqref>
        </x14:conditionalFormatting>
        <x14:conditionalFormatting xmlns:xm="http://schemas.microsoft.com/office/excel/2006/main">
          <x14:cfRule type="expression" priority="213" id="{888B83F8-0CFC-4AAD-966B-3FC807C7A373}">
            <xm:f>'Sprachen &amp; Rückgabewerte(5)'!$L$54=0</xm:f>
            <x14:dxf>
              <border>
                <right style="thin">
                  <color rgb="FFFF0000"/>
                </right>
                <vertical/>
                <horizontal/>
              </border>
            </x14:dxf>
          </x14:cfRule>
          <xm:sqref>AT60:AT71</xm:sqref>
        </x14:conditionalFormatting>
        <x14:conditionalFormatting xmlns:xm="http://schemas.microsoft.com/office/excel/2006/main">
          <x14:cfRule type="expression" priority="212" id="{B74F63B8-CCC6-4377-A45B-AC4C81890E4D}">
            <xm:f>'Sprachen &amp; Rückgabewerte(5)'!$L$54=0</xm:f>
            <x14:dxf>
              <border>
                <bottom style="thin">
                  <color rgb="FFFF0000"/>
                </bottom>
                <vertical/>
                <horizontal/>
              </border>
            </x14:dxf>
          </x14:cfRule>
          <xm:sqref>AE71:AT71</xm:sqref>
        </x14:conditionalFormatting>
        <x14:conditionalFormatting xmlns:xm="http://schemas.microsoft.com/office/excel/2006/main">
          <x14:cfRule type="expression" priority="211" id="{BD152E90-FB7B-45DB-A1FD-0450A3EEB897}">
            <xm:f>'Sprachen &amp; Rückgabewerte(5)'!$L$55=0</xm:f>
            <x14:dxf>
              <border>
                <top style="thin">
                  <color rgb="FFFF0000"/>
                </top>
                <vertical/>
                <horizontal/>
              </border>
            </x14:dxf>
          </x14:cfRule>
          <xm:sqref>AE83:AT83</xm:sqref>
        </x14:conditionalFormatting>
        <x14:conditionalFormatting xmlns:xm="http://schemas.microsoft.com/office/excel/2006/main">
          <x14:cfRule type="expression" priority="210" id="{45FF3CC7-DCA5-4E44-8273-2D86ACC4184D}">
            <xm:f>'Sprachen &amp; Rückgabewerte(5)'!$L$55=0</xm:f>
            <x14:dxf>
              <border>
                <right style="thin">
                  <color rgb="FFFF0000"/>
                </right>
                <vertical/>
                <horizontal/>
              </border>
            </x14:dxf>
          </x14:cfRule>
          <xm:sqref>AT83:AT93</xm:sqref>
        </x14:conditionalFormatting>
        <x14:conditionalFormatting xmlns:xm="http://schemas.microsoft.com/office/excel/2006/main">
          <x14:cfRule type="expression" priority="209" id="{BE7B4A9F-900D-42E1-8195-EEE627420C20}">
            <xm:f>'Sprachen &amp; Rückgabewerte(5)'!$L$55=0</xm:f>
            <x14:dxf>
              <border>
                <bottom style="thin">
                  <color rgb="FFFF0000"/>
                </bottom>
                <vertical/>
                <horizontal/>
              </border>
            </x14:dxf>
          </x14:cfRule>
          <xm:sqref>AE93:AT93</xm:sqref>
        </x14:conditionalFormatting>
        <x14:conditionalFormatting xmlns:xm="http://schemas.microsoft.com/office/excel/2006/main">
          <x14:cfRule type="expression" priority="207" id="{265465CD-E533-476D-BF83-0025AC2033D1}">
            <xm:f>'Sprachen &amp; Rückgabewerte(5)'!$M$59=0</xm:f>
            <x14:dxf>
              <border>
                <right style="thin">
                  <color rgb="FFFF0000"/>
                </right>
                <vertical/>
                <horizontal/>
              </border>
            </x14:dxf>
          </x14:cfRule>
          <xm:sqref>AB86</xm:sqref>
        </x14:conditionalFormatting>
        <x14:conditionalFormatting xmlns:xm="http://schemas.microsoft.com/office/excel/2006/main">
          <x14:cfRule type="expression" priority="206" id="{34A196BF-7D86-447D-A492-3EB13658174C}">
            <xm:f>'Sprachen &amp; Rückgabewerte(5)'!$M$59=0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3" id="{1EDBD2A1-1EA7-4153-9FE4-B95B9CCFB943}">
            <xm:f>K$20='Sprachen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4" id="{7F472F3E-6BF7-41F9-82FC-EDD5DC2A6233}">
            <xm:f>K$20='Sprachen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1" id="{C1A68128-E5F5-4A60-84F5-EB27AFAF8648}">
            <xm:f>O$20='Sprachen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2" id="{BFF78E81-7A66-4391-BE89-E1C29813EE7F}">
            <xm:f>O$20='Sprachen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199" id="{4457E273-5A20-4E89-9D96-CF76505C35D8}">
            <xm:f>S$20='Sprachen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0" id="{D25C754B-2250-4018-9846-CA79B859EF29}">
            <xm:f>S$20='Sprachen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7" id="{FBE6AD24-0B8E-47AD-A296-820B9F3DCA2D}">
            <xm:f>W$20='Sprachen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8" id="{92595F28-BD36-4ABE-AF16-90FAD44BC061}">
            <xm:f>W$20='Sprachen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5" id="{2285109B-64A4-4D51-AA58-2E4C299E1D67}">
            <xm:f>AA$20='Sprachen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6" id="{AFE46599-4305-4788-B2C5-6EE24B4A00D6}">
            <xm:f>AA$20='Sprachen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3" id="{442F3377-3068-4435-8575-CB6B8236FF7B}">
            <xm:f>AE$20='Sprachen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4" id="{D6A83282-1256-4E3B-9942-E74A7BD71511}">
            <xm:f>AE$20='Sprachen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1" id="{9F9207AB-C52E-4904-9BE7-81690D22EE80}">
            <xm:f>AI$20='Sprachen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2" id="{D826DA59-A2C0-4515-81B9-162A8B011D45}">
            <xm:f>AI$20='Sprachen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89" id="{B08B3FF8-7E67-4F5E-A8A8-BBC8082CE6ED}">
            <xm:f>AM$20='Sprachen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0" id="{0F9FCC78-78E6-4338-BA30-6A88130F5FA7}">
            <xm:f>AM$20='Sprachen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8" id="{F32C4B25-82F9-4649-87BF-0DF080C3B9F3}">
            <xm:f>'Sprachen &amp; Rückgabewerte(5)'!$M$59=0</xm:f>
            <x14:dxf>
              <border>
                <top style="thin">
                  <color rgb="FFFF0000"/>
                </top>
                <vertical/>
                <horizontal/>
              </border>
            </x14:dxf>
          </x14:cfRule>
          <xm:sqref>L86:AB86</xm:sqref>
        </x14:conditionalFormatting>
        <x14:conditionalFormatting xmlns:xm="http://schemas.microsoft.com/office/excel/2006/main">
          <x14:cfRule type="expression" priority="187" id="{839824F8-607B-4A6E-A534-935D819A5D6C}">
            <xm:f>'Sprachen &amp; Rückgabewerte(5)'!$M$59=0</xm:f>
            <x14:dxf>
              <border>
                <bottom style="thin">
                  <color rgb="FFFF0000"/>
                </bottom>
                <vertical/>
                <horizontal/>
              </border>
            </x14:dxf>
          </x14:cfRule>
          <xm:sqref>L97:AB97</xm:sqref>
        </x14:conditionalFormatting>
        <x14:conditionalFormatting xmlns:xm="http://schemas.microsoft.com/office/excel/2006/main">
          <x14:cfRule type="expression" priority="186" id="{B221D9F2-AA81-496B-90D4-12AD598F9A69}">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5" id="{4F2FFC06-FB5E-42B5-A03C-A2013A046CF7}">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4" id="{B280437B-031D-470B-BA0D-C41F0D658C1C}">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3" id="{2308AC2E-E4C4-425B-9137-4654F01AAAF8}">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2" id="{32C37F33-FB9D-4CA1-ACEA-000B742AE33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1" id="{BCA9F081-42B5-46BB-B4CC-64AAE9BD5C36}">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0" id="{DF8B39E3-1700-45F1-9672-64111403A40A}">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79" id="{70351DD2-6011-4C21-B0A5-3AEF9F07282E}">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8" id="{7C870622-B108-4758-925D-12FBD7C7E414}">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7" id="{F018D500-0ED1-4F21-83AC-91A13E92D134}">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6" id="{E8833749-70AA-4D06-AFFA-D803CE36130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5" id="{AD8B604E-AF16-46D1-824D-71D424100157}">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4" id="{8E87B141-0A7E-4211-89D9-42D61F5C07F4}">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3" id="{E8291327-7A83-4A72-AAB3-512BFFAD5567}">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2" id="{861C673B-E50A-4937-9FE2-0A2FD8D1D85F}">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1" id="{2C31E035-1901-4A97-851E-F531D2BE227F}">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0" id="{9DF5F3D4-5791-415B-BFCD-31020867F4C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68" id="{8F08D300-08B8-4CF7-8F52-13E9D615311D}">
            <xm:f>'Sprachen &amp; Rückgabewerte(5)'!$I$133=TRUE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033CF08E-0B42-47FB-9EF7-DE3446E68CDB}">
            <xm:f>AND($AL$39="",'Sprachen &amp; Rückgabewerte(5)'!$I$22=TRUE)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7" id="{D6F230E5-385C-452E-8BA8-0B93D48E8806}">
            <xm:f>'Sprachen &amp; Rückgabewerte(5)'!$I$22=FALSE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5" id="{9C6700A3-D693-43E7-BE48-E2B73EF84875}">
            <xm:f>'Sprachen &amp; Rückgabewerte(5)'!$I$36=FALSE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2" id="{3FA93B07-3A68-4D92-9BDF-A949E39369D5}">
            <xm:f>'Sprachen &amp; Rückgabewerte(5)'!$I$39=FALSE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4" id="{835925AB-3E74-4E8A-88AD-F0F4E3BC2E06}">
            <xm:f>AND('Sprachen &amp; Rückgabewerte(5)'!$I$36=FALSE,'Sprachen &amp; Rückgabewerte(5)'!$I$39=FALSE)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3" id="{5EE22FDA-E538-4127-ADE6-EE939A4BBDED}">
            <xm:f>'Sprachen &amp; Rückgabewerte(5)'!$I$45=FALSE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1" id="{73E9D644-837A-4102-8CA2-396B216C3F59}">
            <xm:f>'Sprachen &amp; Rückgabewerte(5)'!$L$67=TRUE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0" id="{5A3A81EC-D0D7-4A5F-B522-1FD8D212780A}">
            <xm:f>'Sprachen &amp; Rückgabewerte(5)'!$L$68=TRUE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6" id="{957E1164-84BD-4385-9AEE-D6D04922D0CA}">
            <xm:f>AND($AY$43&lt;&gt;0,'Sprachen &amp; Rückgabewerte(5)'!$I$19=TRUE)</xm:f>
            <x14:dxf>
              <border>
                <left style="thin">
                  <color rgb="FFFF0000"/>
                </left>
                <bottom/>
                <vertical/>
                <horizontal/>
              </border>
            </x14:dxf>
          </x14:cfRule>
          <x14:cfRule type="expression" priority="159" id="{0B4EE819-D44E-4A6A-99CC-6D4994C0022F}">
            <xm:f>'Sprachen &amp; Rückgabewerte(5)'!$L$51=0</xm:f>
            <x14:dxf>
              <border>
                <left style="thin">
                  <color rgb="FFFF0000"/>
                </left>
                <vertical/>
                <horizontal/>
              </border>
            </x14:dxf>
          </x14:cfRule>
          <xm:sqref>AD32:AD40</xm:sqref>
        </x14:conditionalFormatting>
        <x14:conditionalFormatting xmlns:xm="http://schemas.microsoft.com/office/excel/2006/main">
          <x14:cfRule type="expression" priority="95" id="{01F10299-1685-4576-B078-817C6FA36608}">
            <xm:f>AND($AY$43&lt;&gt;0,'Sprachen &amp; Rückgabewerte(5)'!$I$19=TRUE)</xm:f>
            <x14:dxf>
              <border>
                <bottom style="thin">
                  <color rgb="FFFF0000"/>
                </bottom>
                <vertical/>
                <horizontal/>
              </border>
            </x14:dxf>
          </x14:cfRule>
          <x14:cfRule type="expression" priority="158" id="{EA1E073A-03A9-4A08-A4EF-0718903D493B}">
            <xm:f>'Sprachen &amp; Rückgabewerte(5)'!$L$51=0</xm:f>
            <x14:dxf>
              <border>
                <bottom style="thin">
                  <color rgb="FFFF0000"/>
                </bottom>
                <vertical/>
                <horizontal/>
              </border>
            </x14:dxf>
          </x14:cfRule>
          <xm:sqref>AD40</xm:sqref>
        </x14:conditionalFormatting>
        <x14:conditionalFormatting xmlns:xm="http://schemas.microsoft.com/office/excel/2006/main">
          <x14:cfRule type="expression" priority="157" id="{4415F32C-B49F-4A80-9A67-5E02011D671D}">
            <xm:f>'Sprachen &amp; Rückgabewerte(5)'!$L$51=0</xm:f>
            <x14:dxf>
              <border>
                <top style="thin">
                  <color rgb="FFFF0000"/>
                </top>
                <vertical/>
                <horizontal/>
              </border>
            </x14:dxf>
          </x14:cfRule>
          <xm:sqref>AD32</xm:sqref>
        </x14:conditionalFormatting>
        <x14:conditionalFormatting xmlns:xm="http://schemas.microsoft.com/office/excel/2006/main">
          <x14:cfRule type="expression" priority="156" id="{C9CE7B3B-366E-4B42-8AE6-7C26626BECAA}">
            <xm:f>'Sprachen &amp; Rückgabewerte(5)'!$L$52=0</xm:f>
            <x14:dxf>
              <border>
                <left style="thin">
                  <color rgb="FFFF0000"/>
                </left>
                <vertical/>
                <horizontal/>
              </border>
            </x14:dxf>
          </x14:cfRule>
          <xm:sqref>AD42:AD50</xm:sqref>
        </x14:conditionalFormatting>
        <x14:conditionalFormatting xmlns:xm="http://schemas.microsoft.com/office/excel/2006/main">
          <x14:cfRule type="expression" priority="155" id="{D7185065-B8A9-4CCF-AAF4-95CCEDF806A1}">
            <xm:f>'Sprachen &amp; Rückgabewerte(5)'!$L$52=0</xm:f>
            <x14:dxf>
              <border>
                <top style="thin">
                  <color rgb="FFFF0000"/>
                </top>
                <vertical/>
                <horizontal/>
              </border>
            </x14:dxf>
          </x14:cfRule>
          <xm:sqref>AD42</xm:sqref>
        </x14:conditionalFormatting>
        <x14:conditionalFormatting xmlns:xm="http://schemas.microsoft.com/office/excel/2006/main">
          <x14:cfRule type="expression" priority="154" id="{1022DB0B-C431-4244-AB20-7299967E928F}">
            <xm:f>'Sprachen &amp; Rückgabewerte(5)'!$L$52=0</xm:f>
            <x14:dxf>
              <border>
                <bottom style="thin">
                  <color rgb="FFFF0000"/>
                </bottom>
                <vertical/>
                <horizontal/>
              </border>
            </x14:dxf>
          </x14:cfRule>
          <xm:sqref>AD50</xm:sqref>
        </x14:conditionalFormatting>
        <x14:conditionalFormatting xmlns:xm="http://schemas.microsoft.com/office/excel/2006/main">
          <x14:cfRule type="expression" priority="153" id="{DC3C34EC-987E-477A-958E-48CAC75F6081}">
            <xm:f>'Sprachen &amp; Rückgabewerte(5)'!$L$53=0</xm:f>
            <x14:dxf>
              <border>
                <left style="thin">
                  <color rgb="FFFF0000"/>
                </left>
                <vertical/>
                <horizontal/>
              </border>
            </x14:dxf>
          </x14:cfRule>
          <xm:sqref>AD52:AD58</xm:sqref>
        </x14:conditionalFormatting>
        <x14:conditionalFormatting xmlns:xm="http://schemas.microsoft.com/office/excel/2006/main">
          <x14:cfRule type="expression" priority="152" id="{FB884E26-8C58-4DBD-B188-570E24B51E2F}">
            <xm:f>'Sprachen &amp; Rückgabewerte(5)'!$L$53=0</xm:f>
            <x14:dxf>
              <border>
                <top style="thin">
                  <color rgb="FFFF0000"/>
                </top>
                <vertical/>
                <horizontal/>
              </border>
            </x14:dxf>
          </x14:cfRule>
          <xm:sqref>AD52</xm:sqref>
        </x14:conditionalFormatting>
        <x14:conditionalFormatting xmlns:xm="http://schemas.microsoft.com/office/excel/2006/main">
          <x14:cfRule type="expression" priority="151" id="{7A771180-C28C-4179-82B7-9AB3A429804F}">
            <xm:f>'Sprachen &amp; Rückgabewerte(5)'!$L$53=0</xm:f>
            <x14:dxf>
              <border>
                <bottom style="thin">
                  <color rgb="FFFF0000"/>
                </bottom>
                <vertical/>
                <horizontal/>
              </border>
            </x14:dxf>
          </x14:cfRule>
          <xm:sqref>AD58</xm:sqref>
        </x14:conditionalFormatting>
        <x14:conditionalFormatting xmlns:xm="http://schemas.microsoft.com/office/excel/2006/main">
          <x14:cfRule type="expression" priority="150" id="{6BE1EA64-6342-4FDD-9147-FE62DCB9D503}">
            <xm:f>'Sprachen &amp; Rückgabewerte(5)'!$L$54=0</xm:f>
            <x14:dxf>
              <border>
                <left style="thin">
                  <color rgb="FFFF0000"/>
                </left>
                <vertical/>
                <horizontal/>
              </border>
            </x14:dxf>
          </x14:cfRule>
          <xm:sqref>AD60:AD71</xm:sqref>
        </x14:conditionalFormatting>
        <x14:conditionalFormatting xmlns:xm="http://schemas.microsoft.com/office/excel/2006/main">
          <x14:cfRule type="expression" priority="149" id="{A461E745-0066-4478-8B3D-AF0051AB7A21}">
            <xm:f>'Sprachen &amp; Rückgabewerte(5)'!$L$54=0</xm:f>
            <x14:dxf>
              <border>
                <top style="thin">
                  <color rgb="FFFF0000"/>
                </top>
                <vertical/>
                <horizontal/>
              </border>
            </x14:dxf>
          </x14:cfRule>
          <xm:sqref>AD60</xm:sqref>
        </x14:conditionalFormatting>
        <x14:conditionalFormatting xmlns:xm="http://schemas.microsoft.com/office/excel/2006/main">
          <x14:cfRule type="expression" priority="148" id="{CE7F1D2B-EDFA-400C-8E1F-8C360D69B76E}">
            <xm:f>'Sprachen &amp; Rückgabewerte(5)'!$L$54=0</xm:f>
            <x14:dxf>
              <border>
                <bottom style="thin">
                  <color rgb="FFFF0000"/>
                </bottom>
                <vertical/>
                <horizontal/>
              </border>
            </x14:dxf>
          </x14:cfRule>
          <xm:sqref>AD71</xm:sqref>
        </x14:conditionalFormatting>
        <x14:conditionalFormatting xmlns:xm="http://schemas.microsoft.com/office/excel/2006/main">
          <x14:cfRule type="expression" priority="131" id="{0B094F2E-1CB0-4175-8756-6C2CD15EC100}">
            <xm:f>'Sprachen &amp; Rückgabewerte(5)'!$C$64=0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6" id="{B087E6F3-2809-48EC-BBBF-0E4EBAE81ED7}">
            <xm:f>'Sprachen &amp; Rückgabewerte(5)'!$L$55=0</xm:f>
            <x14:dxf>
              <border>
                <left style="thin">
                  <color rgb="FFFF0000"/>
                </left>
                <vertical/>
                <horizontal/>
              </border>
            </x14:dxf>
          </x14:cfRule>
          <xm:sqref>AD83:AD93</xm:sqref>
        </x14:conditionalFormatting>
        <x14:conditionalFormatting xmlns:xm="http://schemas.microsoft.com/office/excel/2006/main">
          <x14:cfRule type="expression" priority="145" id="{1D01FA20-FB67-44AA-A098-417A7ED4D6A2}">
            <xm:f>'Sprachen &amp; Rückgabewerte(5)'!$L$55=0</xm:f>
            <x14:dxf>
              <border>
                <top style="thin">
                  <color rgb="FFFF0000"/>
                </top>
                <vertical/>
                <horizontal/>
              </border>
            </x14:dxf>
          </x14:cfRule>
          <xm:sqref>AD83</xm:sqref>
        </x14:conditionalFormatting>
        <x14:conditionalFormatting xmlns:xm="http://schemas.microsoft.com/office/excel/2006/main">
          <x14:cfRule type="expression" priority="144" id="{B37706D5-5C4C-41B5-A9B5-2D53DEBF46E1}">
            <xm:f>'Sprachen &amp; Rückgabewerte(5)'!$L$55=0</xm:f>
            <x14:dxf>
              <border>
                <bottom style="thin">
                  <color rgb="FFFF0000"/>
                </bottom>
                <vertical/>
                <horizontal/>
              </border>
            </x14:dxf>
          </x14:cfRule>
          <xm:sqref>AD93</xm:sqref>
        </x14:conditionalFormatting>
        <x14:conditionalFormatting xmlns:xm="http://schemas.microsoft.com/office/excel/2006/main">
          <x14:cfRule type="expression" priority="122" id="{DA7F88A2-D1F7-4AD7-A7C7-2EADED806A5D}">
            <xm:f>AND($AE$85="",$AE$84='Sprachen &amp; Rückgabewerte(5)'!$H$89)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8" id="{7B4495CE-FEF8-4B2D-A2DE-A17722FB452E}">
            <xm:f>$AE$84='Sprachen &amp; Rückgabewerte(5)'!$H$89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3" id="{D4CE9C90-E3D4-40DA-B76E-BAFEA52EABE2}">
            <xm:f>'Sprachen &amp; Rückgabewerte(5)'!$M$62=2</xm:f>
            <x14:dxf>
              <border>
                <left style="thin">
                  <color rgb="FFFF0000"/>
                </left>
                <vertical/>
                <horizontal/>
              </border>
            </x14:dxf>
          </x14:cfRule>
          <x14:cfRule type="expression" priority="284" id="{E8F389BD-8451-406D-9083-C5D23628EF87}">
            <xm:f>'Sprachen &amp; Rückgabewerte(5)'!$M$62=3</xm:f>
            <x14:dxf>
              <border>
                <left style="thin">
                  <color rgb="FFFF0000"/>
                </left>
                <vertical/>
                <horizontal/>
              </border>
            </x14:dxf>
          </x14:cfRule>
          <x14:cfRule type="expression" priority="285" id="{1D2EB748-B49F-4356-8F57-8BD7F58C5C7A}">
            <xm:f>'Sprachen &amp; Rückgabewerte(5)'!$M$59=0</xm:f>
            <x14:dxf>
              <border>
                <left style="thin">
                  <color rgb="FFFF0000"/>
                </left>
                <vertical/>
                <horizontal/>
              </border>
            </x14:dxf>
          </x14:cfRule>
          <xm:sqref>L86:L97</xm:sqref>
        </x14:conditionalFormatting>
        <x14:conditionalFormatting xmlns:xm="http://schemas.microsoft.com/office/excel/2006/main">
          <x14:cfRule type="expression" priority="286" id="{F75DAE14-C6E9-49A9-BBD0-EE1917F13E3E}">
            <xm:f>'Sprachen &amp; Rückgabewerte(5)'!$C$48=FALSE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8" id="{9FBFAA0D-1394-4DF9-8B4A-D9813B5C73B1}">
            <xm:f>'Sprachen &amp; Rückgabewerte(5)'!$M$62=3</xm:f>
            <x14:dxf>
              <border>
                <left style="thin">
                  <color rgb="FFFF0000"/>
                </left>
                <vertical/>
                <horizontal/>
              </border>
            </x14:dxf>
          </x14:cfRule>
          <x14:cfRule type="expression" priority="289" id="{F10C3EDE-9AA3-4C06-8305-BDD4420E7504}">
            <xm:f>'Sprachen &amp; Rückgabewerte(5)'!$M$62=2</xm:f>
            <x14:dxf>
              <border>
                <left style="thin">
                  <color rgb="FFFF0000"/>
                </left>
                <vertical/>
                <horizontal/>
              </border>
            </x14:dxf>
          </x14:cfRule>
          <xm:sqref>C73:C97</xm:sqref>
        </x14:conditionalFormatting>
        <x14:conditionalFormatting xmlns:xm="http://schemas.microsoft.com/office/excel/2006/main">
          <x14:cfRule type="expression" priority="290" id="{4C129B9F-0206-47E0-81AC-6A76C916D210}">
            <xm:f>'Sprachen &amp; Rückgabewerte(5)'!$M$62=2</xm:f>
            <x14:dxf>
              <border>
                <top style="thin">
                  <color rgb="FFFF0000"/>
                </top>
                <vertical/>
                <horizontal/>
              </border>
            </x14:dxf>
          </x14:cfRule>
          <x14:cfRule type="expression" priority="291" id="{F45C9ECF-0F2E-4D33-832B-DA00990554F2}">
            <xm:f>'Sprachen &amp; Rückgabewerte(5)'!$M$62=3</xm:f>
            <x14:dxf>
              <border>
                <top style="thin">
                  <color rgb="FFFF0000"/>
                </top>
                <vertical/>
                <horizontal/>
              </border>
            </x14:dxf>
          </x14:cfRule>
          <xm:sqref>C73:AB73</xm:sqref>
        </x14:conditionalFormatting>
        <x14:conditionalFormatting xmlns:xm="http://schemas.microsoft.com/office/excel/2006/main">
          <x14:cfRule type="expression" priority="292" id="{B2564160-6592-4F7F-92DB-D762749B2900}">
            <xm:f>'Sprachen &amp; Rückgabewerte(5)'!$M$62=2</xm:f>
            <x14:dxf>
              <border>
                <right style="thin">
                  <color rgb="FFFF0000"/>
                </right>
                <vertical/>
                <horizontal/>
              </border>
            </x14:dxf>
          </x14:cfRule>
          <x14:cfRule type="expression" priority="293" id="{D58AD426-B6B0-4EFA-BC8A-0DC0689E202E}">
            <xm:f>'Sprachen &amp; Rückgabewerte(5)'!$M$62=3</xm:f>
            <x14:dxf>
              <border>
                <right style="thin">
                  <color rgb="FFFF0000"/>
                </right>
                <vertical/>
                <horizontal/>
              </border>
            </x14:dxf>
          </x14:cfRule>
          <xm:sqref>AB73:AB85</xm:sqref>
        </x14:conditionalFormatting>
        <x14:conditionalFormatting xmlns:xm="http://schemas.microsoft.com/office/excel/2006/main">
          <x14:cfRule type="expression" priority="169" id="{29704227-307F-4412-A0FA-05EF4DB5A033}">
            <xm:f>'Sprachen &amp; Rückgabewerte(5)'!$M$62=2</xm:f>
            <x14:dxf>
              <border>
                <bottom style="thin">
                  <color rgb="FFFF0000"/>
                </bottom>
                <vertical/>
                <horizontal/>
              </border>
            </x14:dxf>
          </x14:cfRule>
          <x14:cfRule type="expression" priority="205" id="{D1374EF1-D723-445E-AE7C-6E24CC4AF49C}">
            <xm:f>'Sprachen &amp; Rückgabewerte(5)'!$M$62=3</xm:f>
            <x14:dxf>
              <border>
                <bottom style="thin">
                  <color rgb="FFFF0000"/>
                </bottom>
                <vertical/>
                <horizontal/>
              </border>
            </x14:dxf>
          </x14:cfRule>
          <xm:sqref>L85:AB85</xm:sqref>
        </x14:conditionalFormatting>
        <x14:conditionalFormatting xmlns:xm="http://schemas.microsoft.com/office/excel/2006/main">
          <x14:cfRule type="expression" priority="296" id="{26E1AC99-429B-428A-AA22-0BC07F8DA34E}">
            <xm:f>'Sprachen &amp; Rückgabewerte(5)'!$M$62=3</xm:f>
            <x14:dxf>
              <border>
                <bottom style="thin">
                  <color rgb="FFFF0000"/>
                </bottom>
                <vertical/>
                <horizontal/>
              </border>
            </x14:dxf>
          </x14:cfRule>
          <x14:cfRule type="expression" priority="297" id="{3E21EC13-CAD7-4CF8-8108-4B1F1D9F3395}">
            <xm:f>'Sprachen &amp; Rückgabewerte(5)'!$M$62=2</xm:f>
            <x14:dxf>
              <border>
                <bottom style="thin">
                  <color rgb="FFFF0000"/>
                </bottom>
                <vertical/>
                <horizontal/>
              </border>
            </x14:dxf>
          </x14:cfRule>
          <xm:sqref>C97:K97</xm:sqref>
        </x14:conditionalFormatting>
        <x14:conditionalFormatting xmlns:xm="http://schemas.microsoft.com/office/excel/2006/main">
          <x14:cfRule type="expression" priority="298" id="{52214A01-3259-4FCE-B1F2-3C133019AFA8}">
            <xm:f>'Sprachen &amp; Rückgabewerte(5)'!$M$60=0</xm:f>
            <x14:dxf>
              <border>
                <left style="thin">
                  <color rgb="FFFF0000"/>
                </left>
                <vertical/>
                <horizontal/>
              </border>
            </x14:dxf>
          </x14:cfRule>
          <xm:sqref>M73:M85</xm:sqref>
        </x14:conditionalFormatting>
        <x14:conditionalFormatting xmlns:xm="http://schemas.microsoft.com/office/excel/2006/main">
          <x14:cfRule type="expression" priority="299" id="{D115ABA2-D3AE-4031-9A0E-BC25D1D765AA}">
            <xm:f>'Sprachen &amp; Rückgabewerte(5)'!$M$60=0</xm:f>
            <x14:dxf>
              <border>
                <top style="thin">
                  <color rgb="FFFF0000"/>
                </top>
                <vertical/>
                <horizontal/>
              </border>
            </x14:dxf>
          </x14:cfRule>
          <xm:sqref>M73:S73</xm:sqref>
        </x14:conditionalFormatting>
        <x14:conditionalFormatting xmlns:xm="http://schemas.microsoft.com/office/excel/2006/main">
          <x14:cfRule type="expression" priority="300" id="{AEC326F0-645B-4054-A030-1DD4D0618E42}">
            <xm:f>'Sprachen &amp; Rückgabewerte(5)'!$M$60=0</xm:f>
            <x14:dxf>
              <border>
                <right style="thin">
                  <color rgb="FFFF0000"/>
                </right>
                <vertical/>
                <horizontal/>
              </border>
            </x14:dxf>
          </x14:cfRule>
          <xm:sqref>S73:S85</xm:sqref>
        </x14:conditionalFormatting>
        <x14:conditionalFormatting xmlns:xm="http://schemas.microsoft.com/office/excel/2006/main">
          <x14:cfRule type="expression" priority="294" id="{21BD9B45-0816-4773-AAA7-B21EF65DF263}">
            <xm:f>'Sprachen &amp; Rückgabewerte(5)'!$M$60=0</xm:f>
            <x14:dxf>
              <border>
                <bottom style="thin">
                  <color rgb="FFFF0000"/>
                </bottom>
                <vertical/>
                <horizontal/>
              </border>
            </x14:dxf>
          </x14:cfRule>
          <xm:sqref>M85:S85</xm:sqref>
        </x14:conditionalFormatting>
        <x14:conditionalFormatting xmlns:xm="http://schemas.microsoft.com/office/excel/2006/main">
          <x14:cfRule type="expression" priority="302" id="{9763AF8F-EEC8-4CC2-BC82-E82D5B5E5E84}">
            <xm:f>'Sprachen &amp; Rückgabewerte(5)'!$M$56=0</xm:f>
            <x14:dxf>
              <border>
                <left style="thin">
                  <color rgb="FFFF0000"/>
                </left>
                <vertical/>
                <horizontal/>
              </border>
            </x14:dxf>
          </x14:cfRule>
          <xm:sqref>C62:C72</xm:sqref>
        </x14:conditionalFormatting>
        <x14:conditionalFormatting xmlns:xm="http://schemas.microsoft.com/office/excel/2006/main">
          <x14:cfRule type="expression" priority="141" id="{26D0F0DF-4979-4049-BF52-0D8AFC9DF81D}">
            <xm:f>'Sprachen &amp; Rückgabewerte(5)'!$M$56=0</xm:f>
            <x14:dxf>
              <border>
                <bottom style="thin">
                  <color rgb="FFFF0000"/>
                </bottom>
                <vertical/>
                <horizontal/>
              </border>
            </x14:dxf>
          </x14:cfRule>
          <xm:sqref>C72:AB72</xm:sqref>
        </x14:conditionalFormatting>
        <x14:conditionalFormatting xmlns:xm="http://schemas.microsoft.com/office/excel/2006/main">
          <x14:cfRule type="expression" priority="304" id="{26F8DA2C-F2FA-4F4C-A7F8-1677D6A93CBE}">
            <xm:f>'Sprachen &amp; Rückgabewerte(5)'!$M$56=0</xm:f>
            <x14:dxf>
              <border>
                <right style="thin">
                  <color rgb="FFFF0000"/>
                </right>
                <vertical/>
                <horizontal/>
              </border>
            </x14:dxf>
          </x14:cfRule>
          <xm:sqref>AB62:AB72</xm:sqref>
        </x14:conditionalFormatting>
        <x14:conditionalFormatting xmlns:xm="http://schemas.microsoft.com/office/excel/2006/main">
          <x14:cfRule type="expression" priority="305" id="{EE64C2EB-F16B-47AC-8227-28A67D56060D}">
            <xm:f>'Sprachen &amp; Rückgabewerte(5)'!$M$56=0</xm:f>
            <x14:dxf>
              <border>
                <top style="thin">
                  <color rgb="FFFF0000"/>
                </top>
                <vertical/>
                <horizontal/>
              </border>
            </x14:dxf>
          </x14:cfRule>
          <xm:sqref>C62:AB62</xm:sqref>
        </x14:conditionalFormatting>
        <x14:conditionalFormatting xmlns:xm="http://schemas.microsoft.com/office/excel/2006/main">
          <x14:cfRule type="expression" priority="127" id="{A459389A-F491-48F6-A914-882BE55DEFA8}">
            <xm:f>'Sprachen &amp; Rückgabewerte(5)'!$M$66=FALSE</xm:f>
            <x14:dxf>
              <border>
                <left style="thin">
                  <color rgb="FFFF0000"/>
                </left>
                <vertical/>
                <horizontal/>
              </border>
            </x14:dxf>
          </x14:cfRule>
          <xm:sqref>AD73:AD81</xm:sqref>
        </x14:conditionalFormatting>
        <x14:conditionalFormatting xmlns:xm="http://schemas.microsoft.com/office/excel/2006/main">
          <x14:cfRule type="expression" priority="126" id="{8ECED017-13E1-4861-BEAD-9B939C1E6B40}">
            <xm:f>'Sprachen &amp; Rückgabewerte(5)'!$M$66=FALSE</xm:f>
            <x14:dxf>
              <border>
                <top style="thin">
                  <color rgb="FFFF0000"/>
                </top>
                <vertical/>
                <horizontal/>
              </border>
            </x14:dxf>
          </x14:cfRule>
          <xm:sqref>AD73:AT73</xm:sqref>
        </x14:conditionalFormatting>
        <x14:conditionalFormatting xmlns:xm="http://schemas.microsoft.com/office/excel/2006/main">
          <x14:cfRule type="expression" priority="125" id="{AC0DA7B1-8F28-4C2D-AB88-B2336AA9BEE4}">
            <xm:f>'Sprachen &amp; Rückgabewerte(5)'!$M$66=FALSE</xm:f>
            <x14:dxf>
              <border>
                <right style="thin">
                  <color rgb="FFFF0000"/>
                </right>
                <vertical/>
                <horizontal/>
              </border>
            </x14:dxf>
          </x14:cfRule>
          <xm:sqref>AT73:AT81</xm:sqref>
        </x14:conditionalFormatting>
        <x14:conditionalFormatting xmlns:xm="http://schemas.microsoft.com/office/excel/2006/main">
          <x14:cfRule type="expression" priority="124" id="{7B538E39-67FB-4151-84A3-02B007CE0C00}">
            <xm:f>'Sprachen &amp; Rückgabewerte(5)'!$M$66=FALSE</xm:f>
            <x14:dxf>
              <border>
                <bottom style="thin">
                  <color rgb="FFFF0000"/>
                </bottom>
                <vertical/>
                <horizontal/>
              </border>
            </x14:dxf>
          </x14:cfRule>
          <xm:sqref>AD81:AT81</xm:sqref>
        </x14:conditionalFormatting>
        <x14:conditionalFormatting xmlns:xm="http://schemas.microsoft.com/office/excel/2006/main">
          <x14:cfRule type="expression" priority="101" id="{83D167E5-E8A9-4D8D-857A-DF715C15957E}">
            <xm:f>'Sprachen &amp; Rückgabewerte(5)'!$I$19=FALSE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8" id="{5981D4D3-C641-4845-B7B3-A3D21A9EF17B}">
            <xm:f>'Sprachen &amp; Rückgabewerte(5)'!$I$13=FALSE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00" id="{18A5790E-0691-4F89-94E2-9C7942017746}">
            <xm:f>AND($AY$43&lt;&gt;0,'Sprachen &amp; Rückgabewerte(5)'!$I$19=TRUE)</xm:f>
            <x14:dxf>
              <border>
                <top style="thin">
                  <color rgb="FFFF0000"/>
                </top>
                <vertical/>
                <horizontal/>
              </border>
            </x14:dxf>
          </x14:cfRule>
          <x14:cfRule type="expression" priority="105" id="{5D34A283-2CE3-45B9-86CC-9458A0C7629D}">
            <xm:f>'Sprachen &amp; Rückgabewerte(5)'!$I$19=FALSE</xm:f>
            <x14:dxf>
              <border>
                <top/>
                <vertical/>
                <horizontal/>
              </border>
            </x14:dxf>
          </x14:cfRule>
          <xm:sqref>AU32:AV32</xm:sqref>
        </x14:conditionalFormatting>
        <x14:conditionalFormatting xmlns:xm="http://schemas.microsoft.com/office/excel/2006/main">
          <x14:cfRule type="expression" priority="104" id="{EA635991-4F33-405B-8453-8DC378D2F998}">
            <xm:f>AND($AY$43&lt;&gt;0,'Sprachen &amp; Rückgabewerte(5)'!$I$19=TRUE)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3" id="{97E32883-4076-4D0E-8E6D-FA80F369BAD3}">
            <xm:f>AND($AY$43&lt;&gt;0,'Sprachen &amp; Rückgabewerte(5)'!$I$19=TRUE)</xm:f>
            <x14:dxf>
              <border>
                <right style="thin">
                  <color rgb="FFFF0000"/>
                </right>
                <vertical/>
                <horizontal/>
              </border>
            </x14:dxf>
          </x14:cfRule>
          <xm:sqref>BA33:BA43</xm:sqref>
        </x14:conditionalFormatting>
        <x14:conditionalFormatting xmlns:xm="http://schemas.microsoft.com/office/excel/2006/main">
          <x14:cfRule type="expression" priority="102" id="{FFF732F5-F816-42DE-AB3C-E73DF59E201A}">
            <xm:f>AND($AY$43&lt;&gt;0,'Sprachen &amp; Rückgabewerte(5)'!$I$19=TRUE)</xm:f>
            <x14:dxf>
              <border>
                <bottom style="thin">
                  <color rgb="FFFF0000"/>
                </bottom>
                <vertical/>
                <horizontal/>
              </border>
            </x14:dxf>
          </x14:cfRule>
          <xm:sqref>AW43:BA43</xm:sqref>
        </x14:conditionalFormatting>
        <x14:conditionalFormatting xmlns:xm="http://schemas.microsoft.com/office/excel/2006/main">
          <x14:cfRule type="expression" priority="106" id="{DA1C9C48-4FEA-4B45-A982-66736D9E1B65}">
            <xm:f>AND($AY$43&lt;&gt;0,'Sprachen &amp; Rückgabewerte(5)'!$I$19=TRUE)</xm:f>
            <x14:dxf>
              <border>
                <left style="thin">
                  <color rgb="FFFF0000"/>
                </left>
                <vertical/>
                <horizontal/>
              </border>
            </x14:dxf>
          </x14:cfRule>
          <xm:sqref>AW33:AW43</xm:sqref>
        </x14:conditionalFormatting>
        <x14:conditionalFormatting xmlns:xm="http://schemas.microsoft.com/office/excel/2006/main">
          <x14:cfRule type="expression" priority="99" id="{DA0DD35E-475E-4871-8BE2-CBFCAF9E5493}">
            <xm:f>AND($AY$43&lt;&gt;0,'Sprachen &amp; Rückgabewerte(5)'!$I$19=TRUE)</xm:f>
            <x14:dxf>
              <border>
                <top style="thin">
                  <color rgb="FFFF0000"/>
                </top>
                <vertical/>
                <horizontal/>
              </border>
            </x14:dxf>
          </x14:cfRule>
          <xm:sqref>AD32:AT32</xm:sqref>
        </x14:conditionalFormatting>
        <x14:conditionalFormatting xmlns:xm="http://schemas.microsoft.com/office/excel/2006/main">
          <x14:cfRule type="expression" priority="97" id="{603286DF-C210-4677-ABF9-AA342887B33C}">
            <xm:f>AND($AY$43&lt;&gt;0,'Sprachen &amp; Rückgabewerte(5)'!$I$19=TRUE)</xm:f>
            <x14:dxf>
              <border>
                <bottom style="thin">
                  <color rgb="FFFF0000"/>
                </bottom>
                <vertical/>
                <horizontal/>
              </border>
            </x14:dxf>
          </x14:cfRule>
          <xm:sqref>AD40:AT40</xm:sqref>
        </x14:conditionalFormatting>
        <x14:conditionalFormatting xmlns:xm="http://schemas.microsoft.com/office/excel/2006/main">
          <x14:cfRule type="expression" priority="94" id="{0C9A3ED9-126C-4292-B001-172CADE95397}">
            <xm:f>AND('Sprachen &amp; Rückgabewerte(5)'!$I$50=TRUE,'Sprachen &amp; Rückgabewerte(5)'!$C$95&lt;&gt;0)</xm:f>
            <x14:dxf>
              <border>
                <top style="thin">
                  <color rgb="FFFF0000"/>
                </top>
                <vertical/>
                <horizontal/>
              </border>
            </x14:dxf>
          </x14:cfRule>
          <xm:sqref>B101:AU101</xm:sqref>
        </x14:conditionalFormatting>
        <x14:conditionalFormatting xmlns:xm="http://schemas.microsoft.com/office/excel/2006/main">
          <x14:cfRule type="expression" priority="93" id="{1B16AC1A-7891-4550-AF50-7970D1DBD587}">
            <xm:f>AND('Sprachen &amp; Rückgabewerte(5)'!$I$50=TRUE,'Sprachen &amp; Rückgabewerte(5)'!$C$95&lt;&gt;0)</xm:f>
            <x14:dxf>
              <border>
                <right style="thin">
                  <color rgb="FFFF0000"/>
                </right>
                <vertical/>
                <horizontal/>
              </border>
            </x14:dxf>
          </x14:cfRule>
          <xm:sqref>AU101:AU136</xm:sqref>
        </x14:conditionalFormatting>
        <x14:conditionalFormatting xmlns:xm="http://schemas.microsoft.com/office/excel/2006/main">
          <x14:cfRule type="expression" priority="92" id="{B18C73F1-114D-4F3C-8D9B-54F7A5DE8592}">
            <xm:f>AND('Sprachen &amp; Rückgabewerte(5)'!$I$50=TRUE,'Sprachen &amp; Rückgabewerte(5)'!$C$95&lt;&gt;0)</xm:f>
            <x14:dxf>
              <border>
                <bottom style="thin">
                  <color rgb="FFFF0000"/>
                </bottom>
                <vertical/>
                <horizontal/>
              </border>
            </x14:dxf>
          </x14:cfRule>
          <xm:sqref>B136:AU136</xm:sqref>
        </x14:conditionalFormatting>
        <x14:conditionalFormatting xmlns:xm="http://schemas.microsoft.com/office/excel/2006/main">
          <x14:cfRule type="expression" priority="91" id="{A42CEB9F-35FA-490C-9BDD-C4BD05230C6F}">
            <xm:f>AND('Sprachen &amp; Rückgabewerte(5)'!$I$50=TRUE,'Sprachen &amp; Rückgabewerte(5)'!$C$95&lt;&gt;0)</xm:f>
            <x14:dxf>
              <border>
                <left style="thin">
                  <color rgb="FFFF0000"/>
                </left>
                <vertical/>
                <horizontal/>
              </border>
            </x14:dxf>
          </x14:cfRule>
          <xm:sqref>B101:B136</xm:sqref>
        </x14:conditionalFormatting>
        <x14:conditionalFormatting xmlns:xm="http://schemas.microsoft.com/office/excel/2006/main">
          <x14:cfRule type="expression" priority="90" id="{8E624C17-31CE-4B2B-99E4-A40B1E95C635}">
            <xm:f>AND('Sprachen &amp; Rückgabewerte(5)'!$I$50=TRUE,'Sprachen &amp; Rückgabewerte(5)'!$C$95&lt;&gt;0)</xm:f>
            <x14:dxf>
              <border>
                <top style="thin">
                  <color rgb="FFFF0000"/>
                </top>
                <bottom/>
                <vertical/>
                <horizontal/>
              </border>
            </x14:dxf>
          </x14:cfRule>
          <xm:sqref>AV101</xm:sqref>
        </x14:conditionalFormatting>
        <x14:conditionalFormatting xmlns:xm="http://schemas.microsoft.com/office/excel/2006/main">
          <x14:cfRule type="expression" priority="86" id="{D937D1FF-73EF-451C-8ACE-408494CFAF4F}">
            <xm:f>'Sprachen &amp; Rückgabewerte(5)'!$I$50=FALSE</xm:f>
            <x14:dxf>
              <border>
                <right/>
                <vertical/>
                <horizontal/>
              </border>
            </x14:dxf>
          </x14:cfRule>
          <x14:cfRule type="expression" priority="89" id="{D3A68D02-0201-46CD-9850-A571D27BE392}">
            <xm:f>AND('Sprachen &amp; Rückgabewerte(5)'!$I$50=TRUE,'Sprachen &amp; Rückgabewerte(5)'!$C$95&lt;&gt;0)</xm:f>
            <x14:dxf>
              <border>
                <right style="thin">
                  <color rgb="FFFF0000"/>
                </right>
                <vertical/>
                <horizontal/>
              </border>
            </x14:dxf>
          </x14:cfRule>
          <xm:sqref>AV84:AV100</xm:sqref>
        </x14:conditionalFormatting>
        <x14:conditionalFormatting xmlns:xm="http://schemas.microsoft.com/office/excel/2006/main">
          <x14:cfRule type="expression" priority="87" id="{640CFDA5-60A9-41A8-BAEE-4B49EC33466D}">
            <xm:f>'Sprachen &amp; Rückgabewerte(5)'!$I$50=FALSE</xm:f>
            <x14:dxf>
              <border>
                <top/>
                <vertical/>
                <horizontal/>
              </border>
            </x14:dxf>
          </x14:cfRule>
          <x14:cfRule type="expression" priority="88" id="{493B0040-5DA9-4B39-9DE9-20D1A5DC26B9}">
            <xm:f>AND('Sprachen &amp; Rückgabewerte(5)'!$I$50=TRUE,'Sprachen &amp; Rückgabewerte(5)'!$C$95&lt;&gt;0)</xm:f>
            <x14:dxf>
              <border>
                <top style="thin">
                  <color rgb="FFFF0000"/>
                </top>
                <vertical/>
                <horizontal/>
              </border>
            </x14:dxf>
          </x14:cfRule>
          <xm:sqref>AU84:AV84</xm:sqref>
        </x14:conditionalFormatting>
        <x14:conditionalFormatting xmlns:xm="http://schemas.microsoft.com/office/excel/2006/main">
          <x14:cfRule type="expression" priority="85" id="{D6E6F339-0E02-42FC-808A-833E8F1D1E83}">
            <xm:f>'Sprachen &amp; Rückgabewerte(5)'!$I$50=FALSE</xm:f>
            <x14:dxf>
              <border>
                <bottom/>
                <vertical/>
                <horizontal/>
              </border>
            </x14:dxf>
          </x14:cfRule>
          <xm:sqref>AV100</xm:sqref>
        </x14:conditionalFormatting>
        <x14:conditionalFormatting xmlns:xm="http://schemas.microsoft.com/office/excel/2006/main">
          <x14:cfRule type="expression" priority="74" id="{6E8A8759-B09B-49AB-89C9-5A7A3B689FD4}">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6" id="{015956DE-199B-449C-B2D6-1A7FEBCC6ACC}">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42408762-68AD-4F53-8326-34B2D4535813}">
            <xm:f>'Sprachen &amp; Rückgabewerte(5)'!$S$41=1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8" id="{859F46CE-659E-408F-90DF-8EAE02788FE9}">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9" id="{EEC16344-40A6-4735-B286-F12755F5A290}">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0" id="{0D3C4EEC-4969-4149-A29E-1954BA005614}">
            <xm:f>'Sprachen &amp; Rückgabewerte(5)'!$S$41=3</xm:f>
            <x14:dxf>
              <font>
                <b/>
                <i val="0"/>
                <color theme="1"/>
              </font>
            </x14:dxf>
          </x14:cfRule>
          <x14:cfRule type="expression" priority="311" id="{CFF3594A-EA6A-4335-A2C3-EC24AD187161}">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2" id="{5D90E69C-0F4C-4D2F-AC0E-00C3178A7B6E}">
            <xm:f>'Sprachen &amp; Rückgabewerte(5)'!$S$41=3</xm:f>
            <x14:dxf>
              <font>
                <b/>
                <i val="0"/>
                <color theme="1"/>
              </font>
            </x14:dxf>
          </x14:cfRule>
          <xm:sqref>L46</xm:sqref>
        </x14:conditionalFormatting>
        <x14:conditionalFormatting xmlns:xm="http://schemas.microsoft.com/office/excel/2006/main">
          <x14:cfRule type="expression" priority="313" id="{55FA8498-9DB3-4C0D-92F2-1BD50404EC2F}">
            <xm:f>'Sprachen &amp; Rückgabewerte(5)'!$S$41=2</xm:f>
            <x14:dxf>
              <font>
                <b/>
                <i val="0"/>
                <color theme="1"/>
              </font>
            </x14:dxf>
          </x14:cfRule>
          <x14:cfRule type="expression" priority="314" id="{CDD1A3E0-F046-4816-B709-D9FB93615F3A}">
            <xm:f>'Sprachen &amp; Rückgabewerte(5)'!$S$41=3</xm:f>
            <x14:dxf>
              <font>
                <b/>
                <i val="0"/>
                <color theme="1"/>
              </font>
            </x14:dxf>
          </x14:cfRule>
          <xm:sqref>L47</xm:sqref>
        </x14:conditionalFormatting>
        <x14:conditionalFormatting xmlns:xm="http://schemas.microsoft.com/office/excel/2006/main">
          <x14:cfRule type="expression" priority="315" id="{0F4A88EF-4CFF-4F2B-8C22-C8777F6C719C}">
            <xm:f>'Sprachen &amp; Rückgabewerte(5)'!$S$41=3</xm:f>
            <x14:dxf>
              <font>
                <b/>
                <i val="0"/>
                <color theme="1"/>
              </font>
            </x14:dxf>
          </x14:cfRule>
          <x14:cfRule type="expression" priority="316" id="{56CA015D-3A5E-481A-BED9-50E732DFBC7D}">
            <xm:f>'Sprachen &amp; Rückgabewerte(5)'!$S$41=2</xm:f>
            <x14:dxf>
              <font>
                <b/>
                <i val="0"/>
                <color theme="1"/>
              </font>
            </x14:dxf>
          </x14:cfRule>
          <x14:cfRule type="expression" priority="317" id="{E340FB45-0E5D-4D92-8BC6-DF4A85CD8556}">
            <xm:f>'Sprachen &amp; Rückgabewerte(5)'!$S$41=1</xm:f>
            <x14:dxf>
              <font>
                <b/>
                <i val="0"/>
                <color theme="1"/>
              </font>
            </x14:dxf>
          </x14:cfRule>
          <xm:sqref>L48</xm:sqref>
        </x14:conditionalFormatting>
        <x14:conditionalFormatting xmlns:xm="http://schemas.microsoft.com/office/excel/2006/main">
          <x14:cfRule type="expression" priority="82" id="{7C3CB01B-EF82-4855-94C9-81F01E56D01E}">
            <xm:f>'Sprachen &amp; Rückgabewerte(5)'!$M$71=0</xm:f>
            <x14:dxf>
              <border>
                <top style="thin">
                  <color rgb="FFFF0000"/>
                </top>
                <vertical/>
                <horizontal/>
              </border>
            </x14:dxf>
          </x14:cfRule>
          <xm:sqref>AW45:AX45</xm:sqref>
        </x14:conditionalFormatting>
        <x14:conditionalFormatting xmlns:xm="http://schemas.microsoft.com/office/excel/2006/main">
          <x14:cfRule type="expression" priority="81" id="{A9ABF7CD-5680-4032-9B08-C30C4EDA0FBD}">
            <xm:f>'Sprachen &amp; Rückgabewerte(5)'!$M$71=0</xm:f>
            <x14:dxf>
              <border>
                <right style="thin">
                  <color rgb="FFFF0000"/>
                </right>
                <vertical/>
                <horizontal/>
              </border>
            </x14:dxf>
          </x14:cfRule>
          <xm:sqref>AX45:AX47 AW48:AX48 AX49</xm:sqref>
        </x14:conditionalFormatting>
        <x14:conditionalFormatting xmlns:xm="http://schemas.microsoft.com/office/excel/2006/main">
          <x14:cfRule type="expression" priority="80" id="{386F1B9E-A416-4D4E-9A0E-AC70862A7125}">
            <xm:f>'Sprachen &amp; Rückgabewerte(5)'!$M$71=0</xm:f>
            <x14:dxf>
              <border>
                <bottom style="thin">
                  <color rgb="FFFF0000"/>
                </bottom>
                <vertical/>
                <horizontal/>
              </border>
            </x14:dxf>
          </x14:cfRule>
          <xm:sqref>AW49:AX49</xm:sqref>
        </x14:conditionalFormatting>
        <x14:conditionalFormatting xmlns:xm="http://schemas.microsoft.com/office/excel/2006/main">
          <x14:cfRule type="expression" priority="79" id="{66158D18-A873-4CE1-9C19-7E3CE0449DE9}">
            <xm:f>'Sprachen &amp; Rückgabewerte(5)'!$M$71=0</xm:f>
            <x14:dxf>
              <border>
                <left style="thin">
                  <color rgb="FFFF0000"/>
                </left>
                <vertical/>
                <horizontal/>
              </border>
            </x14:dxf>
          </x14:cfRule>
          <xm:sqref>AW49 AW48:AX48 AW45:AW47</xm:sqref>
        </x14:conditionalFormatting>
        <x14:conditionalFormatting xmlns:xm="http://schemas.microsoft.com/office/excel/2006/main">
          <x14:cfRule type="expression" priority="76" id="{61757CE7-4082-4A73-B256-A5898A5B76C3}">
            <xm:f>'Sprachen &amp; Rückgabewerte(5)'!$L$71=1</xm:f>
            <x14:dxf>
              <font>
                <color theme="0" tint="-0.14996795556505021"/>
              </font>
              <fill>
                <patternFill>
                  <bgColor theme="0" tint="-0.14996795556505021"/>
                </patternFill>
              </fill>
              <border>
                <top/>
                <vertical/>
                <horizontal/>
              </border>
            </x14:dxf>
          </x14:cfRule>
          <x14:cfRule type="expression" priority="78" id="{0B96F675-A166-43DE-B5E6-39528838CE62}">
            <xm:f>'Sprachen &amp; Rückgabewerte(5)'!$M$71=0</xm:f>
            <x14:dxf>
              <border>
                <top style="thin">
                  <color rgb="FFFF0000"/>
                </top>
                <vertical/>
                <horizontal/>
              </border>
            </x14:dxf>
          </x14:cfRule>
          <xm:sqref>AU45:AV45</xm:sqref>
        </x14:conditionalFormatting>
        <x14:conditionalFormatting xmlns:xm="http://schemas.microsoft.com/office/excel/2006/main">
          <x14:cfRule type="expression" priority="77" id="{EBFCCA12-C12B-41ED-9559-1F7C11A61FAC}">
            <xm:f>'Sprachen &amp; Rückgabewerte(5)'!$L$71=1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6" id="{60498577-E74D-42C3-818F-519E84D084B0}">
            <xm:f>'Sprachen &amp; Rückgabewerte(5)'!$I$50=FALSE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5" id="{F28B2C61-EE75-4CDA-8652-BA2A830E8445}">
            <xm:f>'Sprachen &amp; Rückgabewerte(5)'!$I$50=FALSE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4" id="{0FDBFB16-8F1F-4482-9CF2-DA54D41A4B51}">
            <xm:f>$AX$19='Sprachen &amp; Rückgabewerte(5)'!$H$155</xm:f>
            <x14:dxf>
              <font>
                <color rgb="FFFF0000"/>
              </font>
            </x14:dxf>
          </x14:cfRule>
          <xm:sqref>AX19:BA20</xm:sqref>
        </x14:conditionalFormatting>
        <x14:conditionalFormatting xmlns:xm="http://schemas.microsoft.com/office/excel/2006/main">
          <x14:cfRule type="expression" priority="51" id="{11A468A5-F016-4DEF-8B4B-F5F01AD21AFD}">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5" id="{5A04CCBD-6F94-427E-981E-36DED8C9B8D0}">
            <xm:f>$AN$80&lt;&gt;'Sprachen &amp; Rückgabewerte(5)'!$H$85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4" id="{00E2D3AE-FE7B-44C6-9E75-D246EC22ADDF}">
            <xm:f>$AN$80&lt;&gt;'Sprachen &amp; Rückgabewerte(5)'!$H$86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9" id="{DCAA8B5F-B170-4648-B789-0EAEA7A3A5F2}">
            <xm:f>'Sprachen &amp; Rückgabewerte(5)'!$I$5=FALSE</xm:f>
            <x14:dxf>
              <font>
                <color theme="0" tint="-0.14996795556505021"/>
              </font>
              <fill>
                <patternFill>
                  <bgColor theme="0" tint="-0.14996795556505021"/>
                </patternFill>
              </fill>
              <border>
                <left/>
                <right/>
                <top/>
                <bottom/>
              </border>
            </x14:dxf>
          </x14:cfRule>
          <xm:sqref>M6:Q6</xm:sqref>
        </x14:conditionalFormatting>
        <x14:conditionalFormatting xmlns:xm="http://schemas.microsoft.com/office/excel/2006/main">
          <x14:cfRule type="expression" priority="38" id="{0E110C33-4ADC-4DCD-91C0-E549805724D7}">
            <xm:f>'Sprachen &amp; Rückgabewerte(5)'!$U$49=FALSE</xm:f>
            <x14:dxf>
              <border>
                <top style="thin">
                  <color rgb="FFFF0000"/>
                </top>
                <vertical/>
                <horizontal/>
              </border>
            </x14:dxf>
          </x14:cfRule>
          <xm:sqref>E23:AR23</xm:sqref>
        </x14:conditionalFormatting>
        <x14:conditionalFormatting xmlns:xm="http://schemas.microsoft.com/office/excel/2006/main">
          <x14:cfRule type="expression" priority="37" id="{9C57C524-CB2F-4890-B9AC-E00EBA1363D3}">
            <xm:f>'Sprachen &amp; Rückgabewerte(5)'!$U$49=FALSE</xm:f>
            <x14:dxf>
              <border>
                <left style="thin">
                  <color rgb="FFFF0000"/>
                </left>
                <vertical/>
                <horizontal/>
              </border>
            </x14:dxf>
          </x14:cfRule>
          <xm:sqref>E23:H25</xm:sqref>
        </x14:conditionalFormatting>
        <x14:conditionalFormatting xmlns:xm="http://schemas.microsoft.com/office/excel/2006/main">
          <x14:cfRule type="expression" priority="35" id="{6CAE0157-F803-4173-942B-D0333E7F8E40}">
            <xm:f>'Sprachen &amp; Rückgabewerte(5)'!$U$49=FALSE</xm:f>
            <x14:dxf>
              <border>
                <right style="thin">
                  <color rgb="FFFF0000"/>
                </right>
                <vertical/>
                <horizontal/>
              </border>
            </x14:dxf>
          </x14:cfRule>
          <xm:sqref>AO23:AR25</xm:sqref>
        </x14:conditionalFormatting>
        <x14:conditionalFormatting xmlns:xm="http://schemas.microsoft.com/office/excel/2006/main">
          <x14:cfRule type="expression" priority="34" id="{54682431-623D-46A9-A2B6-7EE894B7806F}">
            <xm:f>'Sprachen &amp; Rückgabewerte(5)'!$I$39=FALSE</xm:f>
            <x14:dxf>
              <font>
                <color theme="0" tint="-0.14996795556505021"/>
              </font>
              <fill>
                <patternFill>
                  <bgColor theme="0" tint="-0.14996795556505021"/>
                </patternFill>
              </fill>
              <border>
                <left/>
                <right/>
                <top/>
                <bottom/>
                <vertical/>
                <horizontal/>
              </border>
            </x14:dxf>
          </x14:cfRule>
          <xm:sqref>AG46</xm:sqref>
        </x14:conditionalFormatting>
        <x14:conditionalFormatting xmlns:xm="http://schemas.microsoft.com/office/excel/2006/main">
          <x14:cfRule type="expression" priority="33" id="{5AA55DDA-8A18-4006-90BA-8F2FFCBCF5F0}">
            <xm:f>'Sprachen &amp; Rückgabewerte(5)'!$I$39=FALSE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0" id="{7F2EC315-5E3D-4F55-841C-5F38946D9520}">
            <xm:f>'Sprachen &amp; Rückgabewerte(5)'!$I$39=FALSE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29" id="{8A57E30F-0C87-4F2C-91F7-1D804266CBDF}">
            <xm:f>AND('Sprachen &amp; Rückgabewerte(5)'!$C$16=1,$F$16="")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8" id="{8351E3B6-864E-4A3C-95F6-E6864138D1FD}">
            <xm:f>AND('Sprachen &amp; Rückgabewerte(5)'!$C$17=1,$J$16="")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7" id="{F78256A4-539A-4A96-8400-85047455B5F3}">
            <xm:f>AND('Sprachen &amp; Rückgabewerte(5)'!$C$18=1,$N$16="")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6" id="{A8BDAECB-A66D-45CE-840C-1AC709270804}">
            <xm:f>AND('Sprachen &amp; Rückgabewerte(5)'!$C$19=1,$R$16="")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5" id="{2E70D15A-41BA-4ADE-80B5-6BD23BD6D4CC}">
            <xm:f>AND('Sprachen &amp; Rückgabewerte(5)'!$C$20=1,$V$16="")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4" id="{5BC8D8EC-15D8-4C6A-8E06-116F5909717B}">
            <xm:f>AND('Sprachen &amp; Rückgabewerte(5)'!$C$21=1,$Z$16="")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3" id="{3018CD64-43CA-47E7-AF7B-3659016D7985}">
            <xm:f>AND('Sprachen &amp; Rückgabewerte(5)'!$C$22=1,$AD$16="")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2" id="{BB9B2035-6B89-4E6E-8F6F-A469A659825D}">
            <xm:f>AND('Sprachen &amp; Rückgabewerte(5)'!$C$23=1,$AH$16="")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1" id="{43A672EC-61C0-419C-B11C-A7B49B8320D3}">
            <xm:f>AND('Sprachen &amp; Rückgabewerte(5)'!$C$24=1,$AL$16="")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0" id="{F2D18C3A-959D-48D3-BD32-4280FA86428F}">
            <xm:f>AND('Sprachen &amp; Rückgabewerte(5)'!$C$25=1,$AP$16="")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19" id="{DCE2FDF9-B2E0-4778-86C4-39AA59499902}">
            <xm:f>'Sprachen &amp; Rückgabewerte(5)'!$I$71=FALSE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8" id="{AB4443A7-74D0-4D9E-8269-EE729A275077}">
            <xm:f>AND('Sprachen &amp; Rückgabewerte(5)'!$I$71=TRUE,$AP$74="",$AP$75="",$AP$76="")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5" id="{FBCEF3AF-92A4-4A00-9FB6-2FA36A918D84}">
            <xm:f>OR($AQ$96='Sprachen &amp; Rückgabewerte(5)'!$H$96,$AQ$96="")</xm:f>
            <x14:dxf>
              <border>
                <bottom/>
                <vertical/>
                <horizontal/>
              </border>
            </x14:dxf>
          </x14:cfRule>
          <x14:cfRule type="expression" priority="16" id="{8C5B60CA-1B20-4144-A063-0D2486067E6E}">
            <xm:f>AND($AQ$96='Sprachen &amp; Rückgabewerte(5)'!$H$95,$AW$96="")</xm:f>
            <x14:dxf>
              <border>
                <bottom style="thin">
                  <color rgb="FFFF0000"/>
                </bottom>
                <vertical/>
                <horizontal/>
              </border>
            </x14:dxf>
          </x14:cfRule>
          <xm:sqref>AS96:AV96</xm:sqref>
        </x14:conditionalFormatting>
        <x14:conditionalFormatting xmlns:xm="http://schemas.microsoft.com/office/excel/2006/main">
          <x14:cfRule type="expression" priority="13" id="{1BDB9AB9-CC69-4C98-9954-EEAA60EC53C6}">
            <xm:f>OR($AQ$96='Sprachen &amp; Rückgabewerte(5)'!$H$96,$AQ$96="")</xm:f>
            <x14:dxf>
              <font>
                <color theme="0" tint="-0.14996795556505021"/>
              </font>
              <fill>
                <patternFill>
                  <bgColor theme="0" tint="-0.14996795556505021"/>
                </patternFill>
              </fill>
              <border>
                <left/>
                <right/>
                <top/>
                <bottom/>
                <vertical/>
                <horizontal/>
              </border>
            </x14:dxf>
          </x14:cfRule>
          <x14:cfRule type="expression" priority="14" id="{47A5323F-CFFC-4334-B777-889AC7BD93BE}">
            <xm:f>AND($AQ$96='Sprachen &amp; Rückgabewerte(5)'!$H$95,$AW$96="")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2" id="{6A969237-6AAE-40B8-A812-F3DC6C9C7AFB}">
            <xm:f>OR($AQ$96='Sprachen &amp; Rückgabewerte(5)'!$H$96,$AQ$96="")</xm:f>
            <x14:dxf>
              <font>
                <color theme="0" tint="-0.14996795556505021"/>
              </font>
              <fill>
                <patternFill>
                  <bgColor theme="0" tint="-0.14996795556505021"/>
                </patternFill>
              </fill>
            </x14:dxf>
          </x14:cfRule>
          <xm:sqref>AW95</xm:sqref>
        </x14:conditionalFormatting>
        <x14:conditionalFormatting xmlns:xm="http://schemas.microsoft.com/office/excel/2006/main">
          <x14:cfRule type="expression" priority="11" id="{3053D550-7C67-443F-ACE0-B848A3A6DE5D}">
            <xm:f>'Sprachen &amp; Rückgabewerte(5)'!$W$68&gt;0</xm:f>
            <x14:dxf>
              <border>
                <bottom style="thin">
                  <color rgb="FFFF0000"/>
                </bottom>
                <vertical/>
                <horizontal/>
              </border>
            </x14:dxf>
          </x14:cfRule>
          <xm:sqref>AD97:AT97</xm:sqref>
        </x14:conditionalFormatting>
        <x14:conditionalFormatting xmlns:xm="http://schemas.microsoft.com/office/excel/2006/main">
          <x14:cfRule type="expression" priority="10" id="{00F2F178-773A-4425-B15C-84941EADA389}">
            <xm:f>'Sprachen &amp; Rückgabewerte(5)'!$W$68&gt;0</xm:f>
            <x14:dxf>
              <border>
                <top style="thin">
                  <color rgb="FFFF0000"/>
                </top>
                <vertical/>
                <horizontal/>
              </border>
            </x14:dxf>
          </x14:cfRule>
          <xm:sqref>AD95:AT95</xm:sqref>
        </x14:conditionalFormatting>
        <x14:conditionalFormatting xmlns:xm="http://schemas.microsoft.com/office/excel/2006/main">
          <x14:cfRule type="expression" priority="9" id="{1555360B-76C8-4FA2-83D8-EECED1580762}">
            <xm:f>'Sprachen &amp; Rückgabewerte(5)'!$W$68&gt;0</xm:f>
            <x14:dxf>
              <border>
                <left style="thin">
                  <color rgb="FFFF0000"/>
                </left>
                <vertical/>
                <horizontal/>
              </border>
            </x14:dxf>
          </x14:cfRule>
          <xm:sqref>AD95:AD97</xm:sqref>
        </x14:conditionalFormatting>
        <x14:conditionalFormatting xmlns:xm="http://schemas.microsoft.com/office/excel/2006/main">
          <x14:cfRule type="expression" priority="8" id="{B55E113D-B868-4286-9945-64289244461D}">
            <xm:f>'Sprachen &amp; Rückgabewerte(5)'!$W$68&gt;0</xm:f>
            <x14:dxf>
              <border>
                <right style="thin">
                  <color rgb="FFFF0000"/>
                </right>
                <vertical/>
                <horizontal/>
              </border>
            </x14:dxf>
          </x14:cfRule>
          <xm:sqref>AT95:AT97</xm:sqref>
        </x14:conditionalFormatting>
        <x14:conditionalFormatting xmlns:xm="http://schemas.microsoft.com/office/excel/2006/main">
          <x14:cfRule type="expression" priority="4" id="{D35BB095-B349-4BED-8103-B7B4CED4465B}">
            <xm:f>'Sprachen &amp; Rückgabewerte(5)'!$W$78&lt;&gt;0</xm:f>
            <x14:dxf>
              <border>
                <bottom style="thin">
                  <color rgb="FFFF0000"/>
                </bottom>
                <vertical/>
                <horizontal/>
              </border>
            </x14:dxf>
          </x14:cfRule>
          <xm:sqref>AW11:BB11</xm:sqref>
        </x14:conditionalFormatting>
        <x14:conditionalFormatting xmlns:xm="http://schemas.microsoft.com/office/excel/2006/main">
          <x14:cfRule type="expression" priority="3" id="{D58D7DF0-5FC1-4D52-BF2B-EFC5769AABF7}">
            <xm:f>'Sprachen &amp; Rückgabewerte(5)'!$W$78&lt;&gt;0</xm:f>
            <x14:dxf>
              <border>
                <top style="thin">
                  <color rgb="FFFF0000"/>
                </top>
                <vertical/>
                <horizontal/>
              </border>
            </x14:dxf>
          </x14:cfRule>
          <xm:sqref>AW6:BB6</xm:sqref>
        </x14:conditionalFormatting>
        <x14:conditionalFormatting xmlns:xm="http://schemas.microsoft.com/office/excel/2006/main">
          <x14:cfRule type="expression" priority="2" id="{63DC7A47-58C2-4E5C-AC49-E07D326B7299}">
            <xm:f>'Sprachen &amp; Rückgabewerte(5)'!$W$78&lt;&gt;0</xm:f>
            <x14:dxf>
              <border>
                <left style="thin">
                  <color rgb="FFFF0000"/>
                </left>
                <vertical/>
                <horizontal/>
              </border>
            </x14:dxf>
          </x14:cfRule>
          <xm:sqref>AW6:AW11</xm:sqref>
        </x14:conditionalFormatting>
        <x14:conditionalFormatting xmlns:xm="http://schemas.microsoft.com/office/excel/2006/main">
          <x14:cfRule type="expression" priority="1" id="{F222CA73-32A5-4E85-8361-46AAB87011D0}">
            <xm:f>'Sprachen &amp; Rückgabewerte(5)'!$W$78&lt;&gt;0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1">
        <x14:dataValidation type="list" allowBlank="1" showInputMessage="1" showErrorMessage="1" xr:uid="{38F8CDBD-DF35-4281-B3D9-294C726EFBB1}">
          <x14:formula1>
            <xm:f>'Sprachen &amp; Rückgabewerte(5)'!$M$86:$M$138</xm:f>
          </x14:formula1>
          <xm:sqref>AM88:AR88</xm:sqref>
        </x14:dataValidation>
        <x14:dataValidation type="list" showInputMessage="1" showErrorMessage="1" xr:uid="{650AE024-8228-4249-828B-FEBA7A7F2940}">
          <x14:formula1>
            <xm:f>'Sprachen &amp; Rückgabewerte(5)'!$B$70:$B$72</xm:f>
          </x14:formula1>
          <xm:sqref>H85:K85 V85:Y85 O85:R85 X72:AA72</xm:sqref>
        </x14:dataValidation>
        <x14:dataValidation type="list" allowBlank="1" showInputMessage="1" showErrorMessage="1" xr:uid="{EF16F0F1-51CD-4BFA-8F11-23D6FA745B30}">
          <x14:formula1>
            <xm:f>'Sprachen &amp; Rückgabewerte(5)'!$H$103:$H$107</xm:f>
          </x14:formula1>
          <xm:sqref>G20:AP20</xm:sqref>
        </x14:dataValidation>
        <x14:dataValidation type="list" showInputMessage="1" showErrorMessage="1" xr:uid="{14FEC246-4D06-499A-964E-01715F500478}">
          <x14:formula1>
            <xm:f>'Sprachen &amp; Rückgabewerte(5)'!$B$33:$B$34</xm:f>
          </x14:formula1>
          <xm:sqref>E23:AR25</xm:sqref>
        </x14:dataValidation>
        <x14:dataValidation type="list" showInputMessage="1" showErrorMessage="1" xr:uid="{01C5951D-FCCC-45F6-84D7-BC6F78A0F08E}">
          <x14:formula1>
            <xm:f>'Sprachen &amp; Rückgabewerte(5)'!$A$11:$A$18</xm:f>
          </x14:formula1>
          <xm:sqref>AM43:AQ43</xm:sqref>
        </x14:dataValidation>
        <x14:dataValidation type="list" showInputMessage="1" showErrorMessage="1" xr:uid="{EB1DD44A-97FB-44F3-86F2-565E76DB9029}">
          <x14:formula1>
            <xm:f>'Sprachen &amp; Rückgabewerte(5)'!$A$19:$A$21</xm:f>
          </x14:formula1>
          <xm:sqref>AR43:AS43</xm:sqref>
        </x14:dataValidation>
        <x14:dataValidation type="list" allowBlank="1" showInputMessage="1" showErrorMessage="1" xr:uid="{D051CC6A-CDC5-463D-84E6-3D0C23C1184E}">
          <x14:formula1>
            <xm:f>'Sprachen &amp; Rückgabewerte(5)'!$J$67:$J$69</xm:f>
          </x14:formula1>
          <xm:sqref>AN70:AS70</xm:sqref>
        </x14:dataValidation>
        <x14:dataValidation type="list" allowBlank="1" showInputMessage="1" showErrorMessage="1" xr:uid="{CE558947-4C33-4009-B037-D86E8A34559F}">
          <x14:formula1>
            <xm:f>'Sprachen &amp; Rückgabewerte(5)'!$J$77:$J$79</xm:f>
          </x14:formula1>
          <xm:sqref>AN78:AP78</xm:sqref>
        </x14:dataValidation>
        <x14:dataValidation type="list" allowBlank="1" showInputMessage="1" showErrorMessage="1" xr:uid="{63355DEC-04F3-4FCE-9CAE-A45029CD4DAB}">
          <x14:formula1>
            <xm:f>'Sprachen &amp; Rückgabewerte(5)'!$J$80:$J$82</xm:f>
          </x14:formula1>
          <xm:sqref>AN79:AP79</xm:sqref>
        </x14:dataValidation>
        <x14:dataValidation type="list" allowBlank="1" showInputMessage="1" showErrorMessage="1" xr:uid="{0812B81D-2E03-475C-902A-B3FC781D6DFE}">
          <x14:formula1>
            <xm:f>'Sprachen &amp; Rückgabewerte(5)'!$J$84:$J$86</xm:f>
          </x14:formula1>
          <xm:sqref>AN80:AS80</xm:sqref>
        </x14:dataValidation>
        <x14:dataValidation type="list" showInputMessage="1" showErrorMessage="1" xr:uid="{B993CE61-7BD4-41AD-AEA2-07AA52481CE4}">
          <x14:formula1>
            <xm:f>'Sprachen &amp; Rückgabewerte(5)'!$B$73:$B$75</xm:f>
          </x14:formula1>
          <xm:sqref>H96:K96</xm:sqref>
        </x14:dataValidation>
        <x14:dataValidation type="list" showInputMessage="1" showErrorMessage="1" xr:uid="{A265F5A0-92B8-445D-9262-3A1A216C943F}">
          <x14:formula1>
            <xm:f>'Sprachen &amp; Rückgabewerte(5)'!$B$76:$B$78</xm:f>
          </x14:formula1>
          <xm:sqref>O96:R96</xm:sqref>
        </x14:dataValidation>
        <x14:dataValidation type="list" allowBlank="1" showInputMessage="1" showErrorMessage="1" xr:uid="{B42FCBFC-945B-4F52-81DA-CD5371D518FC}">
          <x14:formula1>
            <xm:f>'Sprachen &amp; Rückgabewerte(5)'!$B$9:$B$14</xm:f>
          </x14:formula1>
          <xm:sqref>F10:G10 J10:K10 N10:O10 R10:S10 V10:W10 Z10:AA10 AD10:AE10 AH10:AI10 AL10:AM10 AP10:AQ10</xm:sqref>
        </x14:dataValidation>
        <x14:dataValidation type="list" showInputMessage="1" showErrorMessage="1" xr:uid="{120DCEC4-8ABE-469F-B98B-1541DAD784E7}">
          <x14:formula1>
            <xm:f>'Sprachen &amp; Rückgabewerte(5)'!$B$67:$B$69</xm:f>
          </x14:formula1>
          <xm:sqref>F72:I72 L72:O72 R72:U72</xm:sqref>
        </x14:dataValidation>
        <x14:dataValidation type="list" allowBlank="1" showInputMessage="1" showErrorMessage="1" xr:uid="{D006A22F-22E9-480C-A5CC-E4744CFAA4A5}">
          <x14:formula1>
            <xm:f>'Sprachen &amp; Rückgabewerte(5)'!$J$91:$J$93</xm:f>
          </x14:formula1>
          <xm:sqref>AM49:AP49</xm:sqref>
        </x14:dataValidation>
        <x14:dataValidation type="list" allowBlank="1" showInputMessage="1" showErrorMessage="1" xr:uid="{7B0C0EDC-2862-494A-91F0-780D5695E918}">
          <x14:formula1>
            <xm:f>'Sprachen &amp; Rückgabewerte(5)'!$N$78:$N$80</xm:f>
          </x14:formula1>
          <xm:sqref>AE70:AL70</xm:sqref>
        </x14:dataValidation>
        <x14:dataValidation type="list" allowBlank="1" showInputMessage="1" showErrorMessage="1" xr:uid="{EB6FCF19-9039-416A-BF69-0E2E7BA78AD8}">
          <x14:formula1>
            <xm:f>'Sprachen &amp; Rückgabewerte(5)'!$J$133:$J$136</xm:f>
          </x14:formula1>
          <xm:sqref>AX33:AY42</xm:sqref>
        </x14:dataValidation>
        <x14:dataValidation type="list" allowBlank="1" showInputMessage="1" showErrorMessage="1" xr:uid="{60985C02-D83A-4140-8726-A83FB45A43C3}">
          <x14:formula1>
            <xm:f>'Sprachen &amp; Rückgabewerte(5)'!$B$81:$B$84</xm:f>
          </x14:formula1>
          <xm:sqref>T104</xm:sqref>
        </x14:dataValidation>
        <x14:dataValidation type="list" allowBlank="1" showInputMessage="1" showErrorMessage="1" xr:uid="{A9718484-EEEE-48F2-8E9B-CAA7FBF0772E}">
          <x14:formula1>
            <xm:f>'Sprachen &amp; Rückgabewerte(5)'!$J$142:$J$144</xm:f>
          </x14:formula1>
          <xm:sqref>T110</xm:sqref>
        </x14:dataValidation>
        <x14:dataValidation type="list" allowBlank="1" showInputMessage="1" showErrorMessage="1" xr:uid="{859B6B89-647E-475F-9148-254992A44220}">
          <x14:formula1>
            <xm:f>'Sprachen &amp; Rückgabewerte(5)'!$J$145:$J$147</xm:f>
          </x14:formula1>
          <xm:sqref>T114</xm:sqref>
        </x14:dataValidation>
        <x14:dataValidation type="list" showInputMessage="1" showErrorMessage="1" xr:uid="{68134DD5-D736-464C-96C8-A479143A49F5}">
          <x14:formula1>
            <xm:f>'Sprachen &amp; Rückgabewerte(5)'!$R$41:$R$43</xm:f>
          </x14:formula1>
          <xm:sqref>AF11:AG11 AN11:AO11 X11:Y11 T11:U11 P11:Q11 L11:M11 AB11:AC11 AJ11:AK11 H11:I11</xm:sqref>
        </x14:dataValidation>
        <x14:dataValidation type="list" allowBlank="1" showInputMessage="1" showErrorMessage="1" xr:uid="{EF72FF52-8E1B-4DA9-9245-D05563D65021}">
          <x14:formula1>
            <xm:f>'Sprachen &amp; Rückgabewerte(5)'!$Q$41:$Q$51</xm:f>
          </x14:formula1>
          <xm:sqref>AP74:AP76</xm:sqref>
        </x14:dataValidation>
        <x14:dataValidation type="list" showInputMessage="1" showErrorMessage="1" errorTitle="SG-Typ auswählen" error="Bitte wählen Sie einen Sky-Glass Typ aus. Spezialaufbau bitte im Feld Speziell eingeben!" xr:uid="{C7BC7A81-C9B6-4F3C-AD9B-9748D35AFA2C}">
          <x14:formula1>
            <xm:f>'Sprachen &amp; Rückgabewerte(5)'!$V$3:$V$9</xm:f>
          </x14:formula1>
          <xm:sqref>AE53:AG53</xm:sqref>
        </x14:dataValidation>
        <x14:dataValidation type="list" allowBlank="1" showInputMessage="1" showErrorMessage="1" xr:uid="{133A56BD-0D65-4DCC-A7DB-E210E87B5E09}">
          <x14:formula1>
            <xm:f>'Sprachen &amp; Rückgabewerte(5)'!$J$150:$J$153</xm:f>
          </x14:formula1>
          <xm:sqref>AW48:AX48</xm:sqref>
        </x14:dataValidation>
        <x14:dataValidation type="list" allowBlank="1" showInputMessage="1" showErrorMessage="1" xr:uid="{A825E2A3-444D-45AE-B928-4DB47EE19EDC}">
          <x14:formula1>
            <xm:f>'Sprachen &amp; Rückgabewerte(5)'!$J$87:$J$89</xm:f>
          </x14:formula1>
          <xm:sqref>AE84:AL84</xm:sqref>
        </x14:dataValidation>
        <x14:dataValidation type="list" showInputMessage="1" showErrorMessage="1" xr:uid="{9FF2FB44-B8BF-472A-B96E-79E9BD6D6E9C}">
          <x14:formula1>
            <xm:f>'Sprachen &amp; Rückgabewerte(5)'!$J$174:$J$175</xm:f>
          </x14:formula1>
          <xm:sqref>AM46:AS46</xm:sqref>
        </x14:dataValidation>
        <x14:dataValidation type="list" showInputMessage="1" showErrorMessage="1" xr:uid="{C47C8E44-0C1F-4B7B-91AB-94D1831B64B1}">
          <x14:formula1>
            <xm:f>'Sprachen &amp; Rückgabewerte(5)'!$J$177:$J$178</xm:f>
          </x14:formula1>
          <xm:sqref>AM47:AS47</xm:sqref>
        </x14:dataValidation>
        <x14:dataValidation type="list" allowBlank="1" showInputMessage="1" showErrorMessage="1" xr:uid="{DE30AB7D-E44D-47D2-A398-843F1344BFB9}">
          <x14:formula1>
            <xm:f>'Sprachen &amp; Rückgabewerte(5)'!$A$28:$A$30</xm:f>
          </x14:formula1>
          <xm:sqref>F16:G17 J16:K17 N16:O17 R16:S17 V16:W17 Z16:AA17 AD16:AE17 AH16:AI17 AL16:AM17 AP16:AQ17</xm:sqref>
        </x14:dataValidation>
        <x14:dataValidation type="list" allowBlank="1" showInputMessage="1" showErrorMessage="1" xr:uid="{81582E69-9334-42D2-893D-5E1B7651A90D}">
          <x14:formula1>
            <xm:f>'Sprachen &amp; Rückgabewerte(5)'!$H$95:$H$96</xm:f>
          </x14:formula1>
          <xm:sqref>AQ96:AR96</xm:sqref>
        </x14:dataValidation>
        <x14:dataValidation type="list" allowBlank="1" showInputMessage="1" showErrorMessage="1" xr:uid="{0D891BFA-86F9-4CC3-9D2D-3C3E8E963332}">
          <x14:formula1>
            <xm:f>'Sprachen &amp; Rückgabewerte(5)'!$H$198:$H$199</xm:f>
          </x14:formula1>
          <xm:sqref>AZ9:BA9</xm:sqref>
        </x14:dataValidation>
        <x14:dataValidation type="list" allowBlank="1" showInputMessage="1" showErrorMessage="1" xr:uid="{63867B09-2992-4DE3-AE4F-114BC13134E8}">
          <x14:formula1>
            <xm:f>'Sprachen &amp; Rückgabewerte(5)'!$H$196:$H$197</xm:f>
          </x14:formula1>
          <xm:sqref>AZ10:BA10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B1:I64"/>
  <sheetViews>
    <sheetView zoomScale="90" zoomScaleNormal="90" workbookViewId="0">
      <selection activeCell="I65" sqref="I65"/>
    </sheetView>
  </sheetViews>
  <sheetFormatPr baseColWidth="10" defaultColWidth="11.42578125" defaultRowHeight="12.75" x14ac:dyDescent="0.2"/>
  <cols>
    <col min="1" max="1" width="12.42578125" style="339" customWidth="1"/>
    <col min="2" max="2" width="3.7109375" style="339" customWidth="1"/>
    <col min="3" max="3" width="67.42578125" style="340" customWidth="1"/>
    <col min="4" max="4" width="1.42578125" style="339" customWidth="1"/>
    <col min="5" max="6" width="11.42578125" style="339"/>
    <col min="7" max="7" width="10.7109375" style="339" customWidth="1"/>
    <col min="8" max="8" width="6.85546875" style="339" customWidth="1"/>
    <col min="9" max="9" width="36" style="339" customWidth="1"/>
    <col min="10" max="10" width="11.42578125" style="339"/>
    <col min="11" max="11" width="15.7109375" style="339" customWidth="1"/>
    <col min="12" max="16384" width="11.42578125" style="339"/>
  </cols>
  <sheetData>
    <row r="1" spans="2:9" ht="13.5" customHeight="1" x14ac:dyDescent="0.2"/>
    <row r="2" spans="2:9" ht="13.5" customHeight="1" x14ac:dyDescent="0.2">
      <c r="B2" s="341"/>
      <c r="C2" s="342"/>
      <c r="D2" s="342"/>
      <c r="E2" s="342"/>
      <c r="F2" s="342"/>
      <c r="G2" s="342"/>
      <c r="H2" s="342"/>
      <c r="I2" s="343"/>
    </row>
    <row r="3" spans="2:9" ht="36.75" customHeight="1" x14ac:dyDescent="0.2">
      <c r="B3" s="344"/>
      <c r="C3" s="345"/>
      <c r="D3" s="345"/>
      <c r="E3" s="345"/>
      <c r="F3" s="345"/>
      <c r="G3" s="345"/>
      <c r="H3" s="345"/>
      <c r="I3" s="346"/>
    </row>
    <row r="4" spans="2:9" ht="20.25" customHeight="1" x14ac:dyDescent="0.2">
      <c r="B4" s="423"/>
      <c r="C4" s="724" t="str">
        <f>'Sprachen &amp; Rückgabewerte'!$H$129</f>
        <v>Anleitung:</v>
      </c>
      <c r="D4" s="424"/>
      <c r="E4" s="424"/>
      <c r="F4" s="424"/>
      <c r="G4" s="424"/>
      <c r="H4" s="424"/>
      <c r="I4" s="425"/>
    </row>
    <row r="5" spans="2:9" ht="20.25" customHeight="1" x14ac:dyDescent="0.2">
      <c r="B5" s="426"/>
      <c r="C5" s="725"/>
      <c r="D5" s="427"/>
      <c r="E5" s="427"/>
      <c r="F5" s="427"/>
      <c r="G5" s="427"/>
      <c r="H5" s="427"/>
      <c r="I5" s="428"/>
    </row>
    <row r="6" spans="2:9" ht="12.75" customHeight="1" x14ac:dyDescent="0.2">
      <c r="B6" s="348"/>
      <c r="D6" s="340"/>
      <c r="E6" s="340"/>
      <c r="F6" s="340"/>
      <c r="G6" s="340"/>
      <c r="H6" s="340"/>
      <c r="I6" s="347"/>
    </row>
    <row r="7" spans="2:9" ht="12.75" customHeight="1" x14ac:dyDescent="0.2">
      <c r="B7" s="429" t="str">
        <f>"1."</f>
        <v>1.</v>
      </c>
      <c r="C7" s="340" t="str">
        <f>'Sprachen &amp; Rückgabewerte'!$H$126</f>
        <v>Bestellung vollständig ausfüllen.</v>
      </c>
      <c r="D7" s="340"/>
      <c r="E7" s="340"/>
      <c r="F7" s="340"/>
      <c r="G7" s="340"/>
      <c r="H7" s="340"/>
      <c r="I7" s="347"/>
    </row>
    <row r="8" spans="2:9" ht="12.75" customHeight="1" x14ac:dyDescent="0.2">
      <c r="B8" s="429" t="str">
        <f>"2."</f>
        <v>2.</v>
      </c>
      <c r="C8" s="340" t="str">
        <f>'Sprachen &amp; Rückgabewerte'!$H$127</f>
        <v>Überprüfen ob keine roten Rahmen aufleuchten.</v>
      </c>
      <c r="D8" s="340"/>
      <c r="E8" s="340"/>
      <c r="F8" s="340"/>
      <c r="G8" s="340"/>
      <c r="H8" s="340"/>
      <c r="I8" s="347"/>
    </row>
    <row r="9" spans="2:9" ht="12.75" customHeight="1" x14ac:dyDescent="0.2">
      <c r="B9" s="429" t="str">
        <f>"3."</f>
        <v>3.</v>
      </c>
      <c r="C9" s="340" t="str">
        <f>'Sprachen &amp; Rückgabewerte'!$H$128</f>
        <v>Bestellung senden an:</v>
      </c>
      <c r="D9" s="340"/>
      <c r="E9" s="340"/>
      <c r="F9" s="340"/>
      <c r="G9" s="340"/>
      <c r="H9" s="340"/>
      <c r="I9" s="347"/>
    </row>
    <row r="10" spans="2:9" ht="12.75" customHeight="1" x14ac:dyDescent="0.2">
      <c r="B10" s="348"/>
      <c r="C10" s="245" t="s">
        <v>173</v>
      </c>
      <c r="D10" s="340"/>
      <c r="E10" s="340"/>
      <c r="F10" s="340"/>
      <c r="G10" s="340"/>
      <c r="H10" s="340"/>
      <c r="I10" s="347"/>
    </row>
    <row r="11" spans="2:9" ht="12.75" customHeight="1" x14ac:dyDescent="0.2">
      <c r="B11" s="348"/>
      <c r="D11" s="340"/>
      <c r="E11" s="340"/>
      <c r="F11" s="340"/>
      <c r="G11" s="340"/>
      <c r="H11" s="340"/>
      <c r="I11" s="347"/>
    </row>
    <row r="12" spans="2:9" ht="20.25" customHeight="1" x14ac:dyDescent="0.2">
      <c r="B12" s="423"/>
      <c r="C12" s="724" t="str">
        <f>'Sprachen &amp; Rückgabewerte'!H165</f>
        <v>Hinweise:</v>
      </c>
      <c r="D12" s="424"/>
      <c r="E12" s="424"/>
      <c r="F12" s="424"/>
      <c r="G12" s="424"/>
      <c r="H12" s="424"/>
      <c r="I12" s="425"/>
    </row>
    <row r="13" spans="2:9" ht="20.25" customHeight="1" x14ac:dyDescent="0.2">
      <c r="B13" s="426"/>
      <c r="C13" s="725"/>
      <c r="D13" s="427"/>
      <c r="E13" s="427"/>
      <c r="F13" s="427"/>
      <c r="G13" s="427"/>
      <c r="H13" s="427"/>
      <c r="I13" s="428"/>
    </row>
    <row r="14" spans="2:9" ht="12.75" customHeight="1" x14ac:dyDescent="0.2">
      <c r="B14" s="348"/>
      <c r="C14" s="349"/>
      <c r="G14" s="340"/>
      <c r="I14" s="347"/>
    </row>
    <row r="15" spans="2:9" x14ac:dyDescent="0.2">
      <c r="B15" s="348"/>
      <c r="G15" s="340"/>
      <c r="I15" s="347"/>
    </row>
    <row r="16" spans="2:9" x14ac:dyDescent="0.2">
      <c r="B16" s="350" t="s">
        <v>512</v>
      </c>
      <c r="C16" s="351" t="str">
        <f>'Sprachen &amp; Rückgabewerte'!H166</f>
        <v>Angabe erstöffnender Flügel</v>
      </c>
      <c r="G16" s="340"/>
      <c r="I16" s="347"/>
    </row>
    <row r="17" spans="2:9" ht="60.75" customHeight="1" x14ac:dyDescent="0.2">
      <c r="B17" s="348"/>
      <c r="C17" s="352" t="str">
        <f>'Sprachen &amp; Rückgabewerte'!H167</f>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G17" s="340"/>
      <c r="I17" s="347"/>
    </row>
    <row r="18" spans="2:9" ht="131.25" customHeight="1" x14ac:dyDescent="0.2">
      <c r="B18" s="348"/>
      <c r="G18" s="340"/>
      <c r="I18" s="347"/>
    </row>
    <row r="19" spans="2:9" ht="45" customHeight="1" x14ac:dyDescent="0.2">
      <c r="B19" s="344"/>
      <c r="C19" s="345"/>
      <c r="D19" s="345"/>
      <c r="E19" s="345"/>
      <c r="F19" s="345"/>
      <c r="G19" s="345"/>
      <c r="H19" s="345"/>
      <c r="I19" s="346"/>
    </row>
    <row r="20" spans="2:9" x14ac:dyDescent="0.2">
      <c r="B20" s="348"/>
      <c r="I20" s="347"/>
    </row>
    <row r="21" spans="2:9" x14ac:dyDescent="0.2">
      <c r="B21" s="350" t="s">
        <v>513</v>
      </c>
      <c r="C21" s="351" t="str">
        <f>'Sprachen &amp; Rückgabewerte'!H168</f>
        <v>Eingabe Ecke ≠ 90° (von 60° - 160°)</v>
      </c>
      <c r="I21" s="347"/>
    </row>
    <row r="22" spans="2:9" ht="50.25" customHeight="1" x14ac:dyDescent="0.2">
      <c r="B22" s="348"/>
      <c r="C22" s="353" t="str">
        <f>'Sprachen &amp; Rückgabewerte'!H169</f>
        <v xml:space="preserve">Um eine Ecke auszuwählen, welche grösser oder kleiner wie 90° ist, muss das dementsprechende Feld ausgewählt werden. Danach muss der gewünschte Wert angegeben werden. </v>
      </c>
      <c r="I22" s="347"/>
    </row>
    <row r="23" spans="2:9" ht="75.75" customHeight="1" x14ac:dyDescent="0.2">
      <c r="B23" s="348"/>
      <c r="I23" s="347"/>
    </row>
    <row r="24" spans="2:9" ht="45" customHeight="1" x14ac:dyDescent="0.2">
      <c r="B24" s="344"/>
      <c r="C24" s="345"/>
      <c r="D24" s="345"/>
      <c r="E24" s="345"/>
      <c r="F24" s="345"/>
      <c r="G24" s="345"/>
      <c r="H24" s="345"/>
      <c r="I24" s="346"/>
    </row>
    <row r="25" spans="2:9" x14ac:dyDescent="0.2">
      <c r="B25" s="348"/>
      <c r="I25" s="347"/>
    </row>
    <row r="26" spans="2:9" x14ac:dyDescent="0.2">
      <c r="B26" s="350" t="s">
        <v>831</v>
      </c>
      <c r="C26" s="351" t="str">
        <f>'Sprachen &amp; Rückgabewerte'!H170</f>
        <v>Breitenangabe bei Eckanlagen</v>
      </c>
      <c r="I26" s="347"/>
    </row>
    <row r="27" spans="2:9" ht="63.75" customHeight="1" x14ac:dyDescent="0.2">
      <c r="B27" s="348"/>
      <c r="C27" s="353" t="str">
        <f>'Sprachen &amp; Rückgabewerte'!H171</f>
        <v>Wird eine Eckanlage eingegeben, erscheint bei der Angabe "Breite" automatisch ein neues Eingabefeld. Die Länge der einzelnen Fronten muss hier separat angegeben werden (Rahmenaussenmass). Die verschiedenen Fronten sind von links nach rechts anzugeben:</v>
      </c>
      <c r="I27" s="347"/>
    </row>
    <row r="28" spans="2:9" ht="135" customHeight="1" x14ac:dyDescent="0.2">
      <c r="B28" s="348"/>
      <c r="I28" s="347"/>
    </row>
    <row r="29" spans="2:9" ht="45" customHeight="1" x14ac:dyDescent="0.2">
      <c r="B29" s="344"/>
      <c r="C29" s="345"/>
      <c r="D29" s="345"/>
      <c r="E29" s="345"/>
      <c r="F29" s="345"/>
      <c r="G29" s="345"/>
      <c r="H29" s="345"/>
      <c r="I29" s="346"/>
    </row>
    <row r="30" spans="2:9" x14ac:dyDescent="0.2">
      <c r="B30" s="348"/>
      <c r="I30" s="347"/>
    </row>
    <row r="31" spans="2:9" x14ac:dyDescent="0.2">
      <c r="B31" s="350" t="s">
        <v>832</v>
      </c>
      <c r="C31" s="351" t="str">
        <f>'Sprachen &amp; Rückgabewerte'!H172</f>
        <v>Rinnenlänge angeben</v>
      </c>
      <c r="I31" s="347"/>
    </row>
    <row r="32" spans="2:9" ht="76.5" customHeight="1" thickBot="1" x14ac:dyDescent="0.25">
      <c r="B32" s="348"/>
      <c r="C32" s="353" t="str">
        <f>'Sprachen &amp; Rückgabewerte'!H173</f>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32" s="347"/>
    </row>
    <row r="33" spans="2:9" x14ac:dyDescent="0.2">
      <c r="B33" s="348"/>
      <c r="E33" s="354"/>
      <c r="F33" s="355"/>
      <c r="G33" s="355"/>
      <c r="H33" s="356"/>
      <c r="I33" s="347"/>
    </row>
    <row r="34" spans="2:9" x14ac:dyDescent="0.2">
      <c r="B34" s="348"/>
      <c r="E34" s="357" t="str">
        <f>'Sprachen &amp; Rückgabewerte'!H139</f>
        <v>Wahl des Rinnensystems:</v>
      </c>
      <c r="F34" s="340"/>
      <c r="G34" s="340"/>
      <c r="H34" s="358"/>
      <c r="I34" s="347"/>
    </row>
    <row r="35" spans="2:9" x14ac:dyDescent="0.2">
      <c r="B35" s="348"/>
      <c r="E35" s="357"/>
      <c r="F35" s="340"/>
      <c r="G35" s="340"/>
      <c r="H35" s="358"/>
      <c r="I35" s="347"/>
    </row>
    <row r="36" spans="2:9" x14ac:dyDescent="0.2">
      <c r="B36" s="348"/>
      <c r="E36" s="357" t="str">
        <f>'Sprachen &amp; Rückgabewerte'!H140</f>
        <v>Einzug an der linken Anlagenseite:</v>
      </c>
      <c r="F36" s="340"/>
      <c r="G36" s="340"/>
      <c r="H36" s="358"/>
      <c r="I36" s="347"/>
    </row>
    <row r="37" spans="2:9" x14ac:dyDescent="0.2">
      <c r="B37" s="348"/>
      <c r="E37" s="357"/>
      <c r="F37" s="340"/>
      <c r="G37" s="340"/>
      <c r="H37" s="358"/>
      <c r="I37" s="347"/>
    </row>
    <row r="38" spans="2:9" x14ac:dyDescent="0.2">
      <c r="B38" s="348"/>
      <c r="E38" s="357" t="str">
        <f>'Sprachen &amp; Rückgabewerte'!H141</f>
        <v>Einzug an der rechten Anlagenseite:</v>
      </c>
      <c r="F38" s="340"/>
      <c r="G38" s="340"/>
      <c r="H38" s="358"/>
      <c r="I38" s="347"/>
    </row>
    <row r="39" spans="2:9" ht="13.5" thickBot="1" x14ac:dyDescent="0.25">
      <c r="B39" s="348"/>
      <c r="E39" s="359"/>
      <c r="F39" s="360"/>
      <c r="G39" s="360"/>
      <c r="H39" s="361"/>
      <c r="I39" s="347"/>
    </row>
    <row r="40" spans="2:9" ht="70.5" customHeight="1" x14ac:dyDescent="0.2">
      <c r="B40" s="348"/>
      <c r="I40" s="347"/>
    </row>
    <row r="41" spans="2:9" ht="42.75" customHeight="1" x14ac:dyDescent="0.2">
      <c r="B41" s="344"/>
      <c r="C41" s="345"/>
      <c r="D41" s="345"/>
      <c r="E41" s="345"/>
      <c r="F41" s="345"/>
      <c r="G41" s="345"/>
      <c r="H41" s="345"/>
      <c r="I41" s="346"/>
    </row>
    <row r="42" spans="2:9" x14ac:dyDescent="0.2">
      <c r="B42" s="341"/>
      <c r="C42" s="342"/>
      <c r="D42" s="342"/>
      <c r="E42" s="342"/>
      <c r="F42" s="342"/>
      <c r="G42" s="342"/>
      <c r="H42" s="342"/>
      <c r="I42" s="343"/>
    </row>
    <row r="43" spans="2:9" x14ac:dyDescent="0.2">
      <c r="B43" s="416" t="str">
        <f>"5."</f>
        <v>5.</v>
      </c>
      <c r="C43" s="351" t="str">
        <f>'Sprachen &amp; Rückgabewerte'!H186</f>
        <v>Bemassung Bahnhof</v>
      </c>
      <c r="D43" s="340"/>
      <c r="E43" s="340"/>
      <c r="F43" s="340"/>
      <c r="G43" s="340"/>
      <c r="H43" s="340"/>
      <c r="I43" s="347"/>
    </row>
    <row r="44" spans="2:9" ht="51" x14ac:dyDescent="0.2">
      <c r="B44" s="348"/>
      <c r="C44" s="417" t="str">
        <f>'Sprachen &amp; Rückgabewerte'!H187</f>
        <v>Die Vermassung von Bahnhofanlagen funktioniert gleich wie bei normalen Rahmen. Bitte geben Sie uns als Rahmenmass das komplette Mass von Aussenkant Rahmen an. Für die Vermassung der Labyrinthposition geben Sie bitte das Mass bis Achse Labyrinth an.</v>
      </c>
      <c r="D44" s="340"/>
      <c r="E44" s="340"/>
      <c r="F44" s="340"/>
      <c r="G44" s="340"/>
      <c r="H44" s="340"/>
      <c r="I44" s="347"/>
    </row>
    <row r="45" spans="2:9" x14ac:dyDescent="0.2">
      <c r="B45" s="348"/>
      <c r="D45" s="340"/>
      <c r="E45" s="340"/>
      <c r="F45" s="340"/>
      <c r="G45" s="340"/>
      <c r="H45" s="340"/>
      <c r="I45" s="347"/>
    </row>
    <row r="46" spans="2:9" x14ac:dyDescent="0.2">
      <c r="B46" s="348"/>
      <c r="D46" s="340"/>
      <c r="E46" s="340"/>
      <c r="F46" s="340"/>
      <c r="G46" s="340"/>
      <c r="H46" s="340"/>
      <c r="I46" s="347"/>
    </row>
    <row r="47" spans="2:9" x14ac:dyDescent="0.2">
      <c r="B47" s="348"/>
      <c r="D47" s="340"/>
      <c r="E47" s="340"/>
      <c r="F47" s="340"/>
      <c r="G47" s="340"/>
      <c r="H47" s="340"/>
      <c r="I47" s="347"/>
    </row>
    <row r="48" spans="2:9" x14ac:dyDescent="0.2">
      <c r="B48" s="348"/>
      <c r="D48" s="340"/>
      <c r="E48" s="340"/>
      <c r="F48" s="340"/>
      <c r="G48" s="340"/>
      <c r="H48" s="340"/>
      <c r="I48" s="347"/>
    </row>
    <row r="49" spans="2:9" x14ac:dyDescent="0.2">
      <c r="B49" s="348"/>
      <c r="D49" s="340"/>
      <c r="E49" s="340"/>
      <c r="F49" s="340"/>
      <c r="G49" s="340"/>
      <c r="H49" s="340"/>
      <c r="I49" s="347"/>
    </row>
    <row r="50" spans="2:9" x14ac:dyDescent="0.2">
      <c r="B50" s="348"/>
      <c r="D50" s="340"/>
      <c r="E50" s="340"/>
      <c r="F50" s="340"/>
      <c r="G50" s="340"/>
      <c r="H50" s="340"/>
      <c r="I50" s="347"/>
    </row>
    <row r="51" spans="2:9" x14ac:dyDescent="0.2">
      <c r="B51" s="348"/>
      <c r="D51" s="340"/>
      <c r="E51" s="340"/>
      <c r="F51" s="340"/>
      <c r="G51" s="340"/>
      <c r="H51" s="340"/>
      <c r="I51" s="347"/>
    </row>
    <row r="52" spans="2:9" x14ac:dyDescent="0.2">
      <c r="B52" s="348"/>
      <c r="D52" s="340"/>
      <c r="E52" s="340"/>
      <c r="F52" s="340"/>
      <c r="G52" s="340"/>
      <c r="H52" s="340"/>
      <c r="I52" s="347"/>
    </row>
    <row r="53" spans="2:9" x14ac:dyDescent="0.2">
      <c r="B53" s="348"/>
      <c r="D53" s="340"/>
      <c r="E53" s="340"/>
      <c r="F53" s="340"/>
      <c r="G53" s="340"/>
      <c r="H53" s="340"/>
      <c r="I53" s="347"/>
    </row>
    <row r="54" spans="2:9" x14ac:dyDescent="0.2">
      <c r="B54" s="348"/>
      <c r="D54" s="340"/>
      <c r="E54" s="340"/>
      <c r="F54" s="340"/>
      <c r="G54" s="340"/>
      <c r="H54" s="340"/>
      <c r="I54" s="347"/>
    </row>
    <row r="55" spans="2:9" x14ac:dyDescent="0.2">
      <c r="B55" s="348"/>
      <c r="D55" s="340"/>
      <c r="E55" s="340"/>
      <c r="F55" s="340"/>
      <c r="G55" s="340"/>
      <c r="H55" s="340"/>
      <c r="I55" s="347"/>
    </row>
    <row r="56" spans="2:9" x14ac:dyDescent="0.2">
      <c r="B56" s="348"/>
      <c r="D56" s="340"/>
      <c r="E56" s="340"/>
      <c r="F56" s="340"/>
      <c r="G56" s="340"/>
      <c r="H56" s="340"/>
      <c r="I56" s="347"/>
    </row>
    <row r="57" spans="2:9" x14ac:dyDescent="0.2">
      <c r="B57" s="348"/>
      <c r="D57" s="340"/>
      <c r="E57" s="340"/>
      <c r="F57" s="340"/>
      <c r="G57" s="340"/>
      <c r="H57" s="340"/>
      <c r="I57" s="347"/>
    </row>
    <row r="58" spans="2:9" x14ac:dyDescent="0.2">
      <c r="B58" s="348"/>
      <c r="D58" s="340"/>
      <c r="E58" s="340"/>
      <c r="F58" s="340"/>
      <c r="G58" s="340"/>
      <c r="H58" s="340"/>
      <c r="I58" s="347"/>
    </row>
    <row r="59" spans="2:9" x14ac:dyDescent="0.2">
      <c r="B59" s="348"/>
      <c r="D59" s="340"/>
      <c r="E59" s="340"/>
      <c r="F59" s="340"/>
      <c r="G59" s="340"/>
      <c r="H59" s="340"/>
      <c r="I59" s="347"/>
    </row>
    <row r="60" spans="2:9" x14ac:dyDescent="0.2">
      <c r="B60" s="348"/>
      <c r="D60" s="340"/>
      <c r="E60" s="340"/>
      <c r="F60" s="340"/>
      <c r="G60" s="340"/>
      <c r="H60" s="340"/>
      <c r="I60" s="347"/>
    </row>
    <row r="61" spans="2:9" x14ac:dyDescent="0.2">
      <c r="B61" s="348"/>
      <c r="D61" s="340"/>
      <c r="E61" s="340"/>
      <c r="F61" s="340"/>
      <c r="G61" s="340"/>
      <c r="H61" s="340"/>
      <c r="I61" s="347"/>
    </row>
    <row r="62" spans="2:9" x14ac:dyDescent="0.2">
      <c r="B62" s="348"/>
      <c r="D62" s="340"/>
      <c r="E62" s="340"/>
      <c r="F62" s="340"/>
      <c r="G62" s="340"/>
      <c r="H62" s="340"/>
      <c r="I62" s="347"/>
    </row>
    <row r="63" spans="2:9" ht="45.75" customHeight="1" x14ac:dyDescent="0.2">
      <c r="B63" s="344"/>
      <c r="C63" s="345"/>
      <c r="D63" s="345"/>
      <c r="E63" s="345"/>
      <c r="F63" s="345"/>
      <c r="G63" s="345"/>
      <c r="H63" s="345"/>
      <c r="I63" s="346"/>
    </row>
    <row r="64" spans="2:9" ht="45.75" customHeight="1" x14ac:dyDescent="0.2">
      <c r="B64" s="418"/>
      <c r="C64" s="419"/>
      <c r="D64" s="419"/>
      <c r="E64" s="419"/>
      <c r="F64" s="419"/>
      <c r="G64" s="419"/>
      <c r="H64" s="419"/>
      <c r="I64" s="420" t="str">
        <f>'Pos. 1'!AT98</f>
        <v>Version 09-07-2018</v>
      </c>
    </row>
  </sheetData>
  <sheetProtection algorithmName="SHA-512" hashValue="dqDvfANf95JGgMa8gNKK7bELqaDcxZuOKvRnlkNA6e3s6ej9wHc5AcpxzSpaGpBwB1cN/JbWWK50p+gkmhDXJA==" saltValue="jEp/yvYENuXCbzHVTxd5GQ==" spinCount="100000" sheet="1" objects="1" selectLockedCells="1" selectUnlockedCells="1"/>
  <mergeCells count="2">
    <mergeCell ref="C4:C5"/>
    <mergeCell ref="C12:C13"/>
  </mergeCells>
  <hyperlinks>
    <hyperlink ref="C10" r:id="rId1" xr:uid="{A4499C32-7A8A-48FA-A598-6A85FA488070}"/>
  </hyperlinks>
  <pageMargins left="0.25" right="0.25" top="0.75" bottom="0.75" header="0.3" footer="0.3"/>
  <pageSetup paperSize="9" scale="6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pageSetUpPr fitToPage="1"/>
  </sheetPr>
  <dimension ref="A1:S88"/>
  <sheetViews>
    <sheetView tabSelected="1" zoomScale="85" zoomScaleNormal="85" workbookViewId="0">
      <selection activeCell="O60" sqref="O60"/>
    </sheetView>
  </sheetViews>
  <sheetFormatPr baseColWidth="10" defaultRowHeight="14.25" x14ac:dyDescent="0.2"/>
  <cols>
    <col min="1" max="1" width="12.42578125" style="384" customWidth="1"/>
    <col min="2" max="2" width="3.7109375" style="384" customWidth="1"/>
    <col min="3" max="11" width="11.42578125" style="384"/>
    <col min="12" max="12" width="16.28515625" style="384" customWidth="1"/>
    <col min="13" max="13" width="5.5703125" style="384" customWidth="1"/>
    <col min="14" max="14" width="8.140625" style="384" customWidth="1"/>
    <col min="15" max="16384" width="11.42578125" style="384"/>
  </cols>
  <sheetData>
    <row r="1" spans="1:19" ht="13.5" customHeight="1" x14ac:dyDescent="0.2"/>
    <row r="2" spans="1:19" ht="13.5" customHeight="1" x14ac:dyDescent="0.2">
      <c r="B2" s="385"/>
      <c r="C2" s="386"/>
      <c r="D2" s="386"/>
      <c r="E2" s="386"/>
      <c r="F2" s="386"/>
      <c r="G2" s="386"/>
      <c r="H2" s="386"/>
      <c r="I2" s="386"/>
      <c r="J2" s="386"/>
      <c r="K2" s="386"/>
      <c r="L2" s="386"/>
      <c r="M2" s="386"/>
      <c r="N2" s="387"/>
    </row>
    <row r="3" spans="1:19" ht="36.75" customHeight="1" x14ac:dyDescent="0.2">
      <c r="B3" s="388"/>
      <c r="C3" s="389"/>
      <c r="D3" s="389"/>
      <c r="E3" s="389"/>
      <c r="F3" s="389"/>
      <c r="G3" s="389"/>
      <c r="H3" s="389"/>
      <c r="I3" s="389"/>
      <c r="J3" s="389"/>
      <c r="K3" s="389"/>
      <c r="L3" s="389"/>
      <c r="M3" s="143" t="str">
        <f>'Pos. 1'!AT3</f>
        <v>Sky-Frame 1</v>
      </c>
      <c r="N3" s="390"/>
    </row>
    <row r="4" spans="1:19" ht="7.5" customHeight="1" x14ac:dyDescent="0.2">
      <c r="B4" s="385"/>
      <c r="N4" s="391"/>
    </row>
    <row r="5" spans="1:19" ht="20.25" customHeight="1" x14ac:dyDescent="0.3">
      <c r="B5" s="392"/>
      <c r="C5" s="393" t="str">
        <f>'Sprachen &amp; Rückgabewerte'!H179</f>
        <v>Übersicht:</v>
      </c>
      <c r="N5" s="391"/>
      <c r="P5" s="421"/>
    </row>
    <row r="6" spans="1:19" ht="3" customHeight="1" x14ac:dyDescent="0.2">
      <c r="B6" s="392"/>
      <c r="N6" s="391"/>
    </row>
    <row r="7" spans="1:19" ht="3.75" customHeight="1" x14ac:dyDescent="0.2">
      <c r="B7" s="392"/>
      <c r="N7" s="390"/>
    </row>
    <row r="8" spans="1:19" ht="15" customHeight="1" x14ac:dyDescent="0.25">
      <c r="B8" s="385"/>
      <c r="C8" s="394" t="s">
        <v>863</v>
      </c>
      <c r="D8" s="386"/>
      <c r="E8" s="395" t="str">
        <f>'Pos. 1'!$AX$19</f>
        <v>Bestellformular unvollständig!</v>
      </c>
      <c r="F8" s="386"/>
      <c r="G8" s="386"/>
      <c r="H8" s="386"/>
      <c r="I8" s="386"/>
      <c r="J8" s="386"/>
      <c r="K8" s="386"/>
      <c r="L8" s="386"/>
      <c r="M8" s="386"/>
      <c r="N8" s="396" t="str">
        <f>'Pos. 1'!$BB$2</f>
        <v>0m²</v>
      </c>
      <c r="P8" s="422"/>
      <c r="Q8" s="422"/>
      <c r="R8" s="422"/>
      <c r="S8" s="422"/>
    </row>
    <row r="9" spans="1:19" x14ac:dyDescent="0.2">
      <c r="B9" s="392"/>
      <c r="C9" s="397"/>
      <c r="D9" s="397"/>
      <c r="E9" s="397"/>
      <c r="F9" s="397"/>
      <c r="G9" s="397"/>
      <c r="H9" s="397"/>
      <c r="I9" s="397"/>
      <c r="J9" s="397"/>
      <c r="K9" s="397"/>
      <c r="L9" s="397"/>
      <c r="M9" s="397"/>
      <c r="N9" s="391"/>
      <c r="P9" s="422"/>
      <c r="Q9" s="422"/>
      <c r="R9" s="422"/>
      <c r="S9" s="422"/>
    </row>
    <row r="10" spans="1:19" ht="12" customHeight="1" x14ac:dyDescent="0.25">
      <c r="B10" s="392"/>
      <c r="C10" s="398" t="str">
        <f>'Pos. 1'!$AH$5</f>
        <v>Pos:</v>
      </c>
      <c r="D10" s="397"/>
      <c r="E10" s="399">
        <f>'Pos. 1'!$AJ$5</f>
        <v>0</v>
      </c>
      <c r="F10" s="397"/>
      <c r="G10" s="397"/>
      <c r="H10" s="397"/>
      <c r="I10" s="397"/>
      <c r="J10" s="397"/>
      <c r="K10" s="400" t="str">
        <f>'Sprachen &amp; Rückgabewerte'!$H$134</f>
        <v>Features</v>
      </c>
      <c r="L10" s="397"/>
      <c r="M10" s="397"/>
      <c r="N10" s="391"/>
      <c r="P10" s="422"/>
      <c r="Q10" s="422"/>
      <c r="R10" s="422"/>
      <c r="S10" s="422"/>
    </row>
    <row r="11" spans="1:19" ht="12" customHeight="1" x14ac:dyDescent="0.25">
      <c r="B11" s="392"/>
      <c r="C11" s="398"/>
      <c r="D11" s="397"/>
      <c r="E11" s="397"/>
      <c r="F11" s="397"/>
      <c r="G11" s="397"/>
      <c r="H11" s="397"/>
      <c r="I11" s="397"/>
      <c r="J11" s="401"/>
      <c r="K11" s="397"/>
      <c r="L11" s="397"/>
      <c r="M11" s="397"/>
      <c r="N11" s="391"/>
      <c r="P11" s="422"/>
      <c r="Q11" s="422"/>
      <c r="R11" s="422"/>
      <c r="S11" s="422"/>
    </row>
    <row r="12" spans="1:19" ht="12" customHeight="1" x14ac:dyDescent="0.25">
      <c r="B12" s="392"/>
      <c r="C12" s="398" t="str">
        <f>'Pos. 1'!$AH$6</f>
        <v>Stück:</v>
      </c>
      <c r="D12" s="397"/>
      <c r="E12" s="402">
        <f>'Pos. 1'!$AJ$6</f>
        <v>0</v>
      </c>
      <c r="F12" s="397"/>
      <c r="G12" s="397"/>
      <c r="H12" s="397"/>
      <c r="I12" s="397"/>
      <c r="J12" s="401" t="str">
        <f t="shared" ref="J12:J17" si="0">IF(K12&lt;&gt;"","-","")</f>
        <v/>
      </c>
      <c r="K12" s="397" t="str">
        <f>IF('Sprachen &amp; Rückgabewerte'!$I$17=TRUE,'Sprachen &amp; Rückgabewerte'!$H$17,"")</f>
        <v/>
      </c>
      <c r="L12" s="397"/>
      <c r="M12" s="397"/>
      <c r="N12" s="391"/>
      <c r="P12" s="422"/>
      <c r="Q12" s="422"/>
      <c r="R12" s="422"/>
      <c r="S12" s="422"/>
    </row>
    <row r="13" spans="1:19" ht="12" customHeight="1" x14ac:dyDescent="0.25">
      <c r="B13" s="392"/>
      <c r="C13" s="398"/>
      <c r="D13" s="397"/>
      <c r="E13" s="397"/>
      <c r="F13" s="397"/>
      <c r="G13" s="397"/>
      <c r="H13" s="397"/>
      <c r="I13" s="397"/>
      <c r="J13" s="401" t="str">
        <f t="shared" si="0"/>
        <v/>
      </c>
      <c r="K13" s="397" t="str">
        <f>IF('Sprachen &amp; Rückgabewerte'!$I$18=TRUE,'Sprachen &amp; Rückgabewerte'!$H$18,"")</f>
        <v/>
      </c>
      <c r="L13" s="397"/>
      <c r="M13" s="397"/>
      <c r="N13" s="391"/>
      <c r="P13" s="422"/>
      <c r="Q13" s="422"/>
      <c r="R13" s="422"/>
      <c r="S13" s="422"/>
    </row>
    <row r="14" spans="1:19" ht="12" customHeight="1" x14ac:dyDescent="0.25">
      <c r="A14" s="397"/>
      <c r="B14" s="392"/>
      <c r="C14" s="398" t="str">
        <f>'Pos. 1'!$AX$14</f>
        <v>Bemerkungen:</v>
      </c>
      <c r="D14" s="397"/>
      <c r="E14" s="533" t="str">
        <f>'Pos. 1'!$AX$15</f>
        <v>-
-
-
-</v>
      </c>
      <c r="F14" s="533"/>
      <c r="G14" s="533"/>
      <c r="H14" s="533"/>
      <c r="I14" s="533"/>
      <c r="J14" s="401"/>
      <c r="K14" s="397"/>
      <c r="L14" s="397"/>
      <c r="M14" s="397"/>
      <c r="N14" s="391"/>
      <c r="P14" s="422"/>
      <c r="Q14" s="422"/>
      <c r="R14" s="422"/>
      <c r="S14" s="422"/>
    </row>
    <row r="15" spans="1:19" ht="12" customHeight="1" x14ac:dyDescent="0.2">
      <c r="A15" s="397"/>
      <c r="B15" s="392"/>
      <c r="C15" s="397"/>
      <c r="D15" s="397"/>
      <c r="E15" s="533"/>
      <c r="F15" s="533"/>
      <c r="G15" s="533"/>
      <c r="H15" s="533"/>
      <c r="I15" s="533"/>
      <c r="J15" s="401" t="str">
        <f t="shared" si="0"/>
        <v/>
      </c>
      <c r="K15" s="397" t="str">
        <f>IF('Sprachen &amp; Rückgabewerte'!$I$20=TRUE,'Sprachen &amp; Rückgabewerte'!$H$20,"")</f>
        <v/>
      </c>
      <c r="L15" s="397"/>
      <c r="M15" s="403" t="str">
        <f>IF('Pos. 1'!$AM$38&gt;0,'Pos. 1'!$AM$38,"")</f>
        <v/>
      </c>
      <c r="N15" s="391"/>
      <c r="P15" s="422"/>
      <c r="Q15" s="422"/>
      <c r="R15" s="422"/>
      <c r="S15" s="422"/>
    </row>
    <row r="16" spans="1:19" ht="12" customHeight="1" x14ac:dyDescent="0.2">
      <c r="A16" s="397"/>
      <c r="B16" s="392"/>
      <c r="C16" s="397"/>
      <c r="D16" s="397"/>
      <c r="E16" s="533"/>
      <c r="F16" s="533"/>
      <c r="G16" s="533"/>
      <c r="H16" s="533"/>
      <c r="I16" s="533"/>
      <c r="J16" s="401" t="str">
        <f t="shared" si="0"/>
        <v/>
      </c>
      <c r="K16" s="403" t="str">
        <f>IF('Sprachen &amp; Rückgabewerte'!$I$22=TRUE,'Pos. 1'!$AL$39,"")</f>
        <v/>
      </c>
      <c r="L16" s="397"/>
      <c r="M16" s="397"/>
      <c r="N16" s="391"/>
      <c r="P16" s="422"/>
      <c r="Q16" s="422"/>
      <c r="R16" s="422"/>
      <c r="S16" s="422"/>
    </row>
    <row r="17" spans="1:19" ht="12" customHeight="1" x14ac:dyDescent="0.2">
      <c r="A17" s="397"/>
      <c r="B17" s="392"/>
      <c r="C17" s="397"/>
      <c r="D17" s="397"/>
      <c r="E17" s="533"/>
      <c r="F17" s="533"/>
      <c r="G17" s="533"/>
      <c r="H17" s="533"/>
      <c r="I17" s="533"/>
      <c r="J17" s="401" t="str">
        <f t="shared" si="0"/>
        <v/>
      </c>
      <c r="K17" s="397" t="str">
        <f>IF('Sprachen &amp; Rückgabewerte'!$I$25=TRUE,'Sprachen &amp; Rückgabewerte'!$H$25,"")</f>
        <v/>
      </c>
      <c r="L17" s="397"/>
      <c r="M17" s="397"/>
      <c r="N17" s="391"/>
      <c r="P17" s="422"/>
      <c r="Q17" s="422"/>
      <c r="R17" s="422"/>
      <c r="S17" s="422"/>
    </row>
    <row r="18" spans="1:19" ht="12" customHeight="1" x14ac:dyDescent="0.2">
      <c r="A18" s="397"/>
      <c r="B18" s="392"/>
      <c r="C18" s="397"/>
      <c r="D18" s="397"/>
      <c r="E18" s="533"/>
      <c r="F18" s="533"/>
      <c r="G18" s="533"/>
      <c r="H18" s="533"/>
      <c r="I18" s="533"/>
      <c r="J18" s="401"/>
      <c r="K18" s="397"/>
      <c r="L18" s="397"/>
      <c r="M18" s="397"/>
      <c r="N18" s="391"/>
      <c r="P18" s="422"/>
      <c r="Q18" s="422"/>
      <c r="R18" s="422"/>
      <c r="S18" s="422"/>
    </row>
    <row r="19" spans="1:19" ht="12" customHeight="1" x14ac:dyDescent="0.2">
      <c r="A19" s="397"/>
      <c r="B19" s="392"/>
      <c r="C19" s="397"/>
      <c r="D19" s="397"/>
      <c r="E19" s="533"/>
      <c r="F19" s="533"/>
      <c r="G19" s="533"/>
      <c r="H19" s="533"/>
      <c r="I19" s="533"/>
      <c r="J19" s="401"/>
      <c r="K19" s="397"/>
      <c r="L19" s="397"/>
      <c r="M19" s="397"/>
      <c r="N19" s="391"/>
      <c r="P19" s="422"/>
      <c r="Q19" s="422"/>
      <c r="R19" s="422"/>
      <c r="S19" s="422"/>
    </row>
    <row r="20" spans="1:19" ht="12" customHeight="1" x14ac:dyDescent="0.2">
      <c r="A20" s="397"/>
      <c r="B20" s="392"/>
      <c r="C20" s="397"/>
      <c r="D20" s="397"/>
      <c r="E20" s="533"/>
      <c r="F20" s="533"/>
      <c r="G20" s="533"/>
      <c r="H20" s="533"/>
      <c r="I20" s="533"/>
      <c r="J20" s="401"/>
      <c r="K20" s="397"/>
      <c r="L20" s="397"/>
      <c r="M20" s="397"/>
      <c r="N20" s="391"/>
      <c r="P20" s="422"/>
      <c r="Q20" s="422"/>
      <c r="R20" s="422"/>
      <c r="S20" s="422"/>
    </row>
    <row r="21" spans="1:19" ht="12" customHeight="1" x14ac:dyDescent="0.2">
      <c r="B21" s="392"/>
      <c r="C21" s="397"/>
      <c r="D21" s="397"/>
      <c r="E21" s="533"/>
      <c r="F21" s="533"/>
      <c r="G21" s="533"/>
      <c r="H21" s="533"/>
      <c r="I21" s="533"/>
      <c r="J21" s="401"/>
      <c r="K21" s="397"/>
      <c r="L21" s="397"/>
      <c r="M21" s="397"/>
      <c r="N21" s="391"/>
      <c r="P21" s="422"/>
      <c r="Q21" s="422"/>
      <c r="R21" s="422"/>
      <c r="S21" s="422"/>
    </row>
    <row r="22" spans="1:19" ht="15" x14ac:dyDescent="0.25">
      <c r="B22" s="392"/>
      <c r="C22" s="404"/>
      <c r="E22" s="533"/>
      <c r="F22" s="533"/>
      <c r="G22" s="533"/>
      <c r="H22" s="533"/>
      <c r="I22" s="533"/>
      <c r="J22" s="401"/>
      <c r="K22" s="397"/>
      <c r="N22" s="391"/>
      <c r="P22" s="422"/>
      <c r="Q22" s="422"/>
      <c r="R22" s="422"/>
      <c r="S22" s="422"/>
    </row>
    <row r="23" spans="1:19" ht="15" customHeight="1" x14ac:dyDescent="0.2">
      <c r="B23" s="388"/>
      <c r="C23" s="389"/>
      <c r="D23" s="389"/>
      <c r="E23" s="389"/>
      <c r="F23" s="389"/>
      <c r="G23" s="389"/>
      <c r="H23" s="389"/>
      <c r="I23" s="389"/>
      <c r="J23" s="389"/>
      <c r="K23" s="389"/>
      <c r="L23" s="389"/>
      <c r="M23" s="389"/>
      <c r="N23" s="390"/>
      <c r="P23" s="422"/>
      <c r="Q23" s="422"/>
      <c r="R23" s="422"/>
      <c r="S23" s="422"/>
    </row>
    <row r="24" spans="1:19" ht="15" customHeight="1" x14ac:dyDescent="0.25">
      <c r="B24" s="385"/>
      <c r="C24" s="394" t="s">
        <v>882</v>
      </c>
      <c r="D24" s="386"/>
      <c r="E24" s="395" t="str">
        <f>'Pos. 2'!$AX$19</f>
        <v>Bestellformular unvollständig!</v>
      </c>
      <c r="F24" s="386"/>
      <c r="G24" s="386"/>
      <c r="H24" s="386"/>
      <c r="I24" s="386"/>
      <c r="J24" s="386"/>
      <c r="K24" s="386"/>
      <c r="L24" s="386"/>
      <c r="M24" s="386"/>
      <c r="N24" s="396" t="str">
        <f>'Pos. 2'!$BB$2</f>
        <v>0m²</v>
      </c>
    </row>
    <row r="25" spans="1:19" ht="12" customHeight="1" x14ac:dyDescent="0.2">
      <c r="B25" s="392"/>
      <c r="C25" s="397"/>
      <c r="D25" s="397"/>
      <c r="E25" s="397"/>
      <c r="F25" s="397"/>
      <c r="G25" s="397"/>
      <c r="H25" s="397"/>
      <c r="I25" s="397"/>
      <c r="J25" s="397"/>
      <c r="K25" s="397"/>
      <c r="L25" s="397"/>
      <c r="M25" s="397"/>
      <c r="N25" s="391"/>
    </row>
    <row r="26" spans="1:19" ht="12" customHeight="1" x14ac:dyDescent="0.25">
      <c r="B26" s="392"/>
      <c r="C26" s="398" t="str">
        <f>'Pos. 2'!$AH$5</f>
        <v>Pos:</v>
      </c>
      <c r="D26" s="397"/>
      <c r="E26" s="532">
        <f>'Pos. 2'!$AJ$5</f>
        <v>0</v>
      </c>
      <c r="F26" s="397"/>
      <c r="G26" s="397"/>
      <c r="H26" s="397"/>
      <c r="I26" s="397"/>
      <c r="J26" s="397"/>
      <c r="K26" s="400" t="str">
        <f>'Sprachen &amp; Rückgabewerte(2)'!$H$134</f>
        <v>Features</v>
      </c>
      <c r="L26" s="397"/>
      <c r="M26" s="397"/>
      <c r="N26" s="391"/>
    </row>
    <row r="27" spans="1:19" ht="12" customHeight="1" x14ac:dyDescent="0.25">
      <c r="B27" s="392"/>
      <c r="C27" s="398"/>
      <c r="D27" s="397"/>
      <c r="E27" s="397"/>
      <c r="F27" s="397"/>
      <c r="G27" s="397"/>
      <c r="H27" s="397"/>
      <c r="I27" s="397"/>
      <c r="J27" s="401"/>
      <c r="K27" s="397"/>
      <c r="L27" s="397"/>
      <c r="M27" s="397"/>
      <c r="N27" s="391"/>
    </row>
    <row r="28" spans="1:19" ht="12" customHeight="1" x14ac:dyDescent="0.25">
      <c r="A28" s="397"/>
      <c r="B28" s="392"/>
      <c r="C28" s="398" t="str">
        <f>'Pos. 2'!$AH$6</f>
        <v>Stück:</v>
      </c>
      <c r="D28" s="397"/>
      <c r="E28" s="402">
        <f>'Pos. 2'!$AJ$6</f>
        <v>0</v>
      </c>
      <c r="F28" s="397"/>
      <c r="G28" s="397"/>
      <c r="H28" s="397"/>
      <c r="I28" s="397"/>
      <c r="J28" s="401" t="str">
        <f t="shared" ref="J28:J33" si="1">IF(K28&lt;&gt;"","-","")</f>
        <v/>
      </c>
      <c r="K28" s="397" t="str">
        <f>IF('Sprachen &amp; Rückgabewerte(2)'!$I$17=TRUE,'Sprachen &amp; Rückgabewerte(2)'!$H$17,"")</f>
        <v/>
      </c>
      <c r="L28" s="397"/>
      <c r="M28" s="397"/>
      <c r="N28" s="391"/>
    </row>
    <row r="29" spans="1:19" ht="12" customHeight="1" x14ac:dyDescent="0.25">
      <c r="A29" s="397"/>
      <c r="B29" s="392"/>
      <c r="C29" s="398"/>
      <c r="D29" s="397"/>
      <c r="E29" s="397"/>
      <c r="F29" s="397"/>
      <c r="G29" s="397"/>
      <c r="H29" s="397"/>
      <c r="I29" s="397"/>
      <c r="J29" s="401" t="str">
        <f t="shared" si="1"/>
        <v/>
      </c>
      <c r="K29" s="397" t="str">
        <f>IF('Sprachen &amp; Rückgabewerte(2)'!$I$18=TRUE,'Sprachen &amp; Rückgabewerte(2)'!$H$18,"")</f>
        <v/>
      </c>
      <c r="L29" s="397"/>
      <c r="M29" s="397"/>
      <c r="N29" s="391"/>
    </row>
    <row r="30" spans="1:19" ht="12" customHeight="1" x14ac:dyDescent="0.25">
      <c r="A30" s="397"/>
      <c r="B30" s="392"/>
      <c r="C30" s="398" t="str">
        <f>'Pos. 2'!$AX$14</f>
        <v>Bemerkungen:</v>
      </c>
      <c r="D30" s="397"/>
      <c r="E30" s="533" t="str">
        <f>'Pos. 2'!$AX$15</f>
        <v>-
-
-
-</v>
      </c>
      <c r="F30" s="533"/>
      <c r="G30" s="533"/>
      <c r="H30" s="533"/>
      <c r="I30" s="533"/>
      <c r="J30" s="401"/>
      <c r="K30" s="397"/>
      <c r="L30" s="397"/>
      <c r="M30" s="397"/>
      <c r="N30" s="391"/>
    </row>
    <row r="31" spans="1:19" ht="12" customHeight="1" x14ac:dyDescent="0.2">
      <c r="A31" s="397"/>
      <c r="B31" s="392"/>
      <c r="C31" s="397"/>
      <c r="D31" s="397"/>
      <c r="E31" s="533"/>
      <c r="F31" s="533"/>
      <c r="G31" s="533"/>
      <c r="H31" s="533"/>
      <c r="I31" s="533"/>
      <c r="J31" s="401" t="str">
        <f t="shared" si="1"/>
        <v/>
      </c>
      <c r="K31" s="397" t="str">
        <f>IF('Sprachen &amp; Rückgabewerte(2)'!$I$20=TRUE,'Sprachen &amp; Rückgabewerte(2)'!$H$20,"")</f>
        <v/>
      </c>
      <c r="L31" s="397"/>
      <c r="M31" s="403" t="str">
        <f>IF('Pos. 2'!$AM$38&gt;0,'Pos. 2'!$AM$38,"")</f>
        <v/>
      </c>
      <c r="N31" s="391"/>
    </row>
    <row r="32" spans="1:19" ht="12" customHeight="1" x14ac:dyDescent="0.2">
      <c r="A32" s="397"/>
      <c r="B32" s="392"/>
      <c r="C32" s="397"/>
      <c r="D32" s="397"/>
      <c r="E32" s="533"/>
      <c r="F32" s="533"/>
      <c r="G32" s="533"/>
      <c r="H32" s="533"/>
      <c r="I32" s="533"/>
      <c r="J32" s="401" t="str">
        <f t="shared" si="1"/>
        <v/>
      </c>
      <c r="K32" s="403" t="str">
        <f>IF('Sprachen &amp; Rückgabewerte(2)'!$I$22=TRUE,'Pos. 2'!$AL$39,"")</f>
        <v/>
      </c>
      <c r="L32" s="397"/>
      <c r="M32" s="397"/>
      <c r="N32" s="391"/>
    </row>
    <row r="33" spans="1:14" ht="12" customHeight="1" x14ac:dyDescent="0.2">
      <c r="A33" s="397"/>
      <c r="B33" s="392"/>
      <c r="C33" s="397"/>
      <c r="D33" s="397"/>
      <c r="E33" s="533"/>
      <c r="F33" s="533"/>
      <c r="G33" s="533"/>
      <c r="H33" s="533"/>
      <c r="I33" s="533"/>
      <c r="J33" s="401" t="str">
        <f t="shared" si="1"/>
        <v/>
      </c>
      <c r="K33" s="397" t="str">
        <f>IF('Sprachen &amp; Rückgabewerte(2)'!$I$25=TRUE,'Sprachen &amp; Rückgabewerte(2)'!$H$25,"")</f>
        <v/>
      </c>
      <c r="L33" s="397"/>
      <c r="M33" s="397"/>
      <c r="N33" s="391"/>
    </row>
    <row r="34" spans="1:14" ht="12" customHeight="1" x14ac:dyDescent="0.2">
      <c r="A34" s="397"/>
      <c r="B34" s="392"/>
      <c r="C34" s="397"/>
      <c r="D34" s="397"/>
      <c r="E34" s="533"/>
      <c r="F34" s="533"/>
      <c r="G34" s="533"/>
      <c r="H34" s="533"/>
      <c r="I34" s="533"/>
      <c r="J34" s="401"/>
      <c r="K34" s="397"/>
      <c r="L34" s="397"/>
      <c r="M34" s="397"/>
      <c r="N34" s="391"/>
    </row>
    <row r="35" spans="1:14" ht="12" customHeight="1" x14ac:dyDescent="0.2">
      <c r="B35" s="392"/>
      <c r="C35" s="397"/>
      <c r="D35" s="397"/>
      <c r="E35" s="533"/>
      <c r="F35" s="533"/>
      <c r="G35" s="533"/>
      <c r="H35" s="533"/>
      <c r="I35" s="533"/>
      <c r="J35" s="401"/>
      <c r="K35" s="397"/>
      <c r="L35" s="397"/>
      <c r="M35" s="397"/>
      <c r="N35" s="391"/>
    </row>
    <row r="36" spans="1:14" ht="12" customHeight="1" x14ac:dyDescent="0.2">
      <c r="B36" s="392"/>
      <c r="C36" s="397"/>
      <c r="D36" s="397"/>
      <c r="E36" s="533"/>
      <c r="F36" s="533"/>
      <c r="G36" s="533"/>
      <c r="H36" s="533"/>
      <c r="I36" s="533"/>
      <c r="J36" s="401"/>
      <c r="K36" s="397"/>
      <c r="L36" s="397"/>
      <c r="M36" s="397"/>
      <c r="N36" s="391"/>
    </row>
    <row r="37" spans="1:14" ht="12" customHeight="1" x14ac:dyDescent="0.2">
      <c r="B37" s="392"/>
      <c r="C37" s="397"/>
      <c r="D37" s="397"/>
      <c r="E37" s="533"/>
      <c r="F37" s="533"/>
      <c r="G37" s="533"/>
      <c r="H37" s="533"/>
      <c r="I37" s="533"/>
      <c r="J37" s="401"/>
      <c r="K37" s="397"/>
      <c r="L37" s="397"/>
      <c r="M37" s="397"/>
      <c r="N37" s="391"/>
    </row>
    <row r="38" spans="1:14" ht="12" customHeight="1" x14ac:dyDescent="0.25">
      <c r="B38" s="392"/>
      <c r="C38" s="404"/>
      <c r="E38" s="533"/>
      <c r="F38" s="533"/>
      <c r="G38" s="533"/>
      <c r="H38" s="533"/>
      <c r="I38" s="533"/>
      <c r="J38" s="401"/>
      <c r="K38" s="397"/>
      <c r="N38" s="391"/>
    </row>
    <row r="39" spans="1:14" ht="12" customHeight="1" x14ac:dyDescent="0.2">
      <c r="B39" s="388"/>
      <c r="C39" s="389"/>
      <c r="D39" s="389"/>
      <c r="E39" s="389"/>
      <c r="F39" s="389"/>
      <c r="G39" s="389"/>
      <c r="H39" s="389"/>
      <c r="I39" s="389"/>
      <c r="J39" s="389"/>
      <c r="K39" s="389"/>
      <c r="L39" s="389"/>
      <c r="M39" s="389"/>
      <c r="N39" s="390"/>
    </row>
    <row r="40" spans="1:14" ht="15" customHeight="1" x14ac:dyDescent="0.25">
      <c r="B40" s="385"/>
      <c r="C40" s="394" t="s">
        <v>883</v>
      </c>
      <c r="D40" s="386"/>
      <c r="E40" s="395" t="str">
        <f>'Pos. 3'!$AX$19</f>
        <v>Bestellformular unvollständig!</v>
      </c>
      <c r="F40" s="386"/>
      <c r="G40" s="386"/>
      <c r="H40" s="386"/>
      <c r="I40" s="386"/>
      <c r="J40" s="386"/>
      <c r="K40" s="386"/>
      <c r="L40" s="386"/>
      <c r="M40" s="386"/>
      <c r="N40" s="396" t="str">
        <f>'Pos. 3'!$BB$2</f>
        <v>0m²</v>
      </c>
    </row>
    <row r="41" spans="1:14" ht="12" customHeight="1" x14ac:dyDescent="0.2">
      <c r="B41" s="392"/>
      <c r="C41" s="397"/>
      <c r="D41" s="397"/>
      <c r="E41" s="397"/>
      <c r="F41" s="397"/>
      <c r="G41" s="397"/>
      <c r="H41" s="397"/>
      <c r="I41" s="397"/>
      <c r="J41" s="397"/>
      <c r="K41" s="397"/>
      <c r="L41" s="397"/>
      <c r="M41" s="397"/>
      <c r="N41" s="391"/>
    </row>
    <row r="42" spans="1:14" ht="12" customHeight="1" x14ac:dyDescent="0.25">
      <c r="B42" s="392"/>
      <c r="C42" s="398" t="str">
        <f>'Pos. 3'!$AH$5</f>
        <v>Pos:</v>
      </c>
      <c r="D42" s="397"/>
      <c r="E42" s="532">
        <f>'Pos. 3'!$AJ$5</f>
        <v>0</v>
      </c>
      <c r="F42" s="397"/>
      <c r="G42" s="397"/>
      <c r="H42" s="397"/>
      <c r="I42" s="397"/>
      <c r="J42" s="397"/>
      <c r="K42" s="400" t="str">
        <f>'Sprachen &amp; Rückgabewerte(3)'!$H$134</f>
        <v>Features</v>
      </c>
      <c r="L42" s="397"/>
      <c r="M42" s="397"/>
      <c r="N42" s="391"/>
    </row>
    <row r="43" spans="1:14" ht="12" customHeight="1" x14ac:dyDescent="0.25">
      <c r="B43" s="392"/>
      <c r="C43" s="398"/>
      <c r="D43" s="397"/>
      <c r="E43" s="397"/>
      <c r="F43" s="397"/>
      <c r="G43" s="397"/>
      <c r="H43" s="397"/>
      <c r="I43" s="397"/>
      <c r="J43" s="401"/>
      <c r="K43" s="397"/>
      <c r="L43" s="397"/>
      <c r="M43" s="397"/>
      <c r="N43" s="391"/>
    </row>
    <row r="44" spans="1:14" ht="12" customHeight="1" x14ac:dyDescent="0.25">
      <c r="B44" s="392"/>
      <c r="C44" s="398" t="str">
        <f>'Pos. 3'!$AH$6</f>
        <v>Stück:</v>
      </c>
      <c r="D44" s="397"/>
      <c r="E44" s="402">
        <f>'Pos. 3'!$AJ$6</f>
        <v>0</v>
      </c>
      <c r="F44" s="397"/>
      <c r="G44" s="397"/>
      <c r="H44" s="397"/>
      <c r="I44" s="397"/>
      <c r="J44" s="401" t="str">
        <f t="shared" ref="J44:J49" si="2">IF(K44&lt;&gt;"","-","")</f>
        <v/>
      </c>
      <c r="K44" s="397" t="str">
        <f>IF('Sprachen &amp; Rückgabewerte(3)'!$I$17=TRUE,'Sprachen &amp; Rückgabewerte(3)'!$H$17,"")</f>
        <v/>
      </c>
      <c r="L44" s="397"/>
      <c r="M44" s="397"/>
      <c r="N44" s="391"/>
    </row>
    <row r="45" spans="1:14" ht="12" customHeight="1" x14ac:dyDescent="0.25">
      <c r="B45" s="392"/>
      <c r="C45" s="398"/>
      <c r="D45" s="397"/>
      <c r="E45" s="397"/>
      <c r="F45" s="397"/>
      <c r="G45" s="397"/>
      <c r="H45" s="397"/>
      <c r="I45" s="397"/>
      <c r="J45" s="401" t="str">
        <f t="shared" si="2"/>
        <v/>
      </c>
      <c r="K45" s="397" t="str">
        <f>IF('Sprachen &amp; Rückgabewerte(3)'!$I$18=TRUE,'Sprachen &amp; Rückgabewerte(3)'!$H$18,"")</f>
        <v/>
      </c>
      <c r="L45" s="397"/>
      <c r="M45" s="397"/>
      <c r="N45" s="391"/>
    </row>
    <row r="46" spans="1:14" ht="12" customHeight="1" x14ac:dyDescent="0.25">
      <c r="B46" s="392"/>
      <c r="C46" s="398" t="str">
        <f>'Pos. 3'!$AX$14</f>
        <v>Bemerkungen:</v>
      </c>
      <c r="D46" s="397"/>
      <c r="E46" s="533" t="str">
        <f>'Pos. 3'!$AX$15</f>
        <v>-
-
-
-</v>
      </c>
      <c r="F46" s="533"/>
      <c r="G46" s="533"/>
      <c r="H46" s="533"/>
      <c r="I46" s="533"/>
      <c r="J46" s="401"/>
      <c r="K46" s="397"/>
      <c r="L46" s="397"/>
      <c r="M46" s="397"/>
      <c r="N46" s="391"/>
    </row>
    <row r="47" spans="1:14" ht="12" customHeight="1" x14ac:dyDescent="0.2">
      <c r="B47" s="392"/>
      <c r="C47" s="397"/>
      <c r="D47" s="397"/>
      <c r="E47" s="533"/>
      <c r="F47" s="533"/>
      <c r="G47" s="533"/>
      <c r="H47" s="533"/>
      <c r="I47" s="533"/>
      <c r="J47" s="401" t="str">
        <f t="shared" si="2"/>
        <v/>
      </c>
      <c r="K47" s="397" t="str">
        <f>IF('Sprachen &amp; Rückgabewerte(3)'!$I$20=TRUE,'Sprachen &amp; Rückgabewerte(3)'!$H$20,"")</f>
        <v/>
      </c>
      <c r="L47" s="397"/>
      <c r="M47" s="403" t="str">
        <f>IF('Pos. 3'!$AM$38&gt;0,'Pos. 3'!$AM$38,"")</f>
        <v/>
      </c>
      <c r="N47" s="391"/>
    </row>
    <row r="48" spans="1:14" ht="12" customHeight="1" x14ac:dyDescent="0.2">
      <c r="B48" s="392"/>
      <c r="C48" s="397"/>
      <c r="D48" s="397"/>
      <c r="E48" s="533"/>
      <c r="F48" s="533"/>
      <c r="G48" s="533"/>
      <c r="H48" s="533"/>
      <c r="I48" s="533"/>
      <c r="J48" s="401" t="str">
        <f t="shared" si="2"/>
        <v/>
      </c>
      <c r="K48" s="403" t="str">
        <f>IF('Sprachen &amp; Rückgabewerte(3)'!$I$22=TRUE,'Pos. 3'!$AL$39,"")</f>
        <v/>
      </c>
      <c r="L48" s="397"/>
      <c r="M48" s="397"/>
      <c r="N48" s="391"/>
    </row>
    <row r="49" spans="2:14" ht="12" customHeight="1" x14ac:dyDescent="0.2">
      <c r="B49" s="392"/>
      <c r="C49" s="397"/>
      <c r="D49" s="397"/>
      <c r="E49" s="533"/>
      <c r="F49" s="533"/>
      <c r="G49" s="533"/>
      <c r="H49" s="533"/>
      <c r="I49" s="533"/>
      <c r="J49" s="401" t="str">
        <f t="shared" si="2"/>
        <v/>
      </c>
      <c r="K49" s="397" t="str">
        <f>IF('Sprachen &amp; Rückgabewerte(3)'!$I$25=TRUE,'Sprachen &amp; Rückgabewerte(3)'!$H$25,"")</f>
        <v/>
      </c>
      <c r="L49" s="397"/>
      <c r="M49" s="397"/>
      <c r="N49" s="391"/>
    </row>
    <row r="50" spans="2:14" ht="12" customHeight="1" x14ac:dyDescent="0.2">
      <c r="B50" s="392"/>
      <c r="C50" s="397"/>
      <c r="D50" s="397"/>
      <c r="E50" s="533"/>
      <c r="F50" s="533"/>
      <c r="G50" s="533"/>
      <c r="H50" s="533"/>
      <c r="I50" s="533"/>
      <c r="J50" s="401"/>
      <c r="K50" s="397"/>
      <c r="L50" s="397"/>
      <c r="M50" s="397"/>
      <c r="N50" s="391"/>
    </row>
    <row r="51" spans="2:14" ht="12" customHeight="1" x14ac:dyDescent="0.2">
      <c r="B51" s="392"/>
      <c r="C51" s="397"/>
      <c r="D51" s="397"/>
      <c r="E51" s="533"/>
      <c r="F51" s="533"/>
      <c r="G51" s="533"/>
      <c r="H51" s="533"/>
      <c r="I51" s="533"/>
      <c r="J51" s="401"/>
      <c r="K51" s="397"/>
      <c r="L51" s="397"/>
      <c r="M51" s="397"/>
      <c r="N51" s="391"/>
    </row>
    <row r="52" spans="2:14" ht="12" customHeight="1" x14ac:dyDescent="0.2">
      <c r="B52" s="392"/>
      <c r="C52" s="397"/>
      <c r="D52" s="397"/>
      <c r="E52" s="533"/>
      <c r="F52" s="533"/>
      <c r="G52" s="533"/>
      <c r="H52" s="533"/>
      <c r="I52" s="533"/>
      <c r="J52" s="401"/>
      <c r="K52" s="397"/>
      <c r="L52" s="397"/>
      <c r="M52" s="397"/>
      <c r="N52" s="391"/>
    </row>
    <row r="53" spans="2:14" ht="12" customHeight="1" x14ac:dyDescent="0.2">
      <c r="B53" s="392"/>
      <c r="C53" s="397"/>
      <c r="D53" s="397"/>
      <c r="E53" s="533"/>
      <c r="F53" s="533"/>
      <c r="G53" s="533"/>
      <c r="H53" s="533"/>
      <c r="I53" s="533"/>
      <c r="J53" s="401"/>
      <c r="K53" s="397"/>
      <c r="L53" s="397"/>
      <c r="M53" s="397"/>
      <c r="N53" s="391"/>
    </row>
    <row r="54" spans="2:14" ht="12" customHeight="1" x14ac:dyDescent="0.25">
      <c r="B54" s="392"/>
      <c r="C54" s="404"/>
      <c r="E54" s="533"/>
      <c r="F54" s="533"/>
      <c r="G54" s="533"/>
      <c r="H54" s="533"/>
      <c r="I54" s="533"/>
      <c r="J54" s="401"/>
      <c r="K54" s="397"/>
      <c r="N54" s="391"/>
    </row>
    <row r="55" spans="2:14" ht="12" customHeight="1" x14ac:dyDescent="0.2">
      <c r="B55" s="388"/>
      <c r="C55" s="389"/>
      <c r="D55" s="389"/>
      <c r="E55" s="389"/>
      <c r="F55" s="389"/>
      <c r="G55" s="389"/>
      <c r="H55" s="389"/>
      <c r="I55" s="389"/>
      <c r="J55" s="389"/>
      <c r="K55" s="389"/>
      <c r="L55" s="389"/>
      <c r="M55" s="389"/>
      <c r="N55" s="390"/>
    </row>
    <row r="56" spans="2:14" ht="15" customHeight="1" x14ac:dyDescent="0.25">
      <c r="B56" s="385"/>
      <c r="C56" s="394" t="s">
        <v>884</v>
      </c>
      <c r="D56" s="386"/>
      <c r="E56" s="395" t="str">
        <f>'Pos. 4'!$AX$19</f>
        <v>Bestellformular unvollständig!</v>
      </c>
      <c r="F56" s="386"/>
      <c r="G56" s="386"/>
      <c r="H56" s="386"/>
      <c r="I56" s="386"/>
      <c r="J56" s="386"/>
      <c r="K56" s="386"/>
      <c r="L56" s="386"/>
      <c r="M56" s="386"/>
      <c r="N56" s="396" t="str">
        <f>'Pos. 4'!$BB$2</f>
        <v>0m²</v>
      </c>
    </row>
    <row r="57" spans="2:14" ht="12" customHeight="1" x14ac:dyDescent="0.2">
      <c r="B57" s="392"/>
      <c r="C57" s="397"/>
      <c r="D57" s="397"/>
      <c r="E57" s="397"/>
      <c r="F57" s="397"/>
      <c r="G57" s="397"/>
      <c r="H57" s="397"/>
      <c r="I57" s="397"/>
      <c r="J57" s="397"/>
      <c r="K57" s="397"/>
      <c r="L57" s="397"/>
      <c r="M57" s="397"/>
      <c r="N57" s="391"/>
    </row>
    <row r="58" spans="2:14" ht="12" customHeight="1" x14ac:dyDescent="0.25">
      <c r="B58" s="392"/>
      <c r="C58" s="398" t="str">
        <f>'Pos. 4'!$AH$5</f>
        <v>Pos:</v>
      </c>
      <c r="D58" s="397"/>
      <c r="E58" s="532">
        <f>'Pos. 4'!$AJ$5</f>
        <v>0</v>
      </c>
      <c r="F58" s="397"/>
      <c r="G58" s="397"/>
      <c r="H58" s="397"/>
      <c r="I58" s="397"/>
      <c r="J58" s="397"/>
      <c r="K58" s="400" t="str">
        <f>'Sprachen &amp; Rückgabewerte(4)'!$H$134</f>
        <v>Features</v>
      </c>
      <c r="L58" s="397"/>
      <c r="M58" s="397"/>
      <c r="N58" s="391"/>
    </row>
    <row r="59" spans="2:14" ht="12" customHeight="1" x14ac:dyDescent="0.25">
      <c r="B59" s="392"/>
      <c r="C59" s="398"/>
      <c r="D59" s="397"/>
      <c r="E59" s="397"/>
      <c r="F59" s="397"/>
      <c r="G59" s="397"/>
      <c r="H59" s="397"/>
      <c r="I59" s="397"/>
      <c r="J59" s="401"/>
      <c r="K59" s="397"/>
      <c r="L59" s="397"/>
      <c r="M59" s="397"/>
      <c r="N59" s="391"/>
    </row>
    <row r="60" spans="2:14" ht="12" customHeight="1" x14ac:dyDescent="0.25">
      <c r="B60" s="392"/>
      <c r="C60" s="398" t="str">
        <f>'Pos. 4'!$AH$6</f>
        <v>Stück:</v>
      </c>
      <c r="D60" s="397"/>
      <c r="E60" s="402">
        <f>'Pos. 4'!$AJ$6</f>
        <v>0</v>
      </c>
      <c r="F60" s="397"/>
      <c r="G60" s="397"/>
      <c r="H60" s="397"/>
      <c r="I60" s="397"/>
      <c r="J60" s="401" t="str">
        <f t="shared" ref="J60:J65" si="3">IF(K60&lt;&gt;"","-","")</f>
        <v/>
      </c>
      <c r="K60" s="397" t="str">
        <f>IF('Sprachen &amp; Rückgabewerte(4)'!$I$17=TRUE,'Sprachen &amp; Rückgabewerte(4)'!$H$17,"")</f>
        <v/>
      </c>
      <c r="L60" s="397"/>
      <c r="M60" s="397"/>
      <c r="N60" s="391"/>
    </row>
    <row r="61" spans="2:14" ht="12" customHeight="1" x14ac:dyDescent="0.25">
      <c r="B61" s="392"/>
      <c r="C61" s="398"/>
      <c r="D61" s="397"/>
      <c r="E61" s="397"/>
      <c r="F61" s="397"/>
      <c r="G61" s="397"/>
      <c r="H61" s="397"/>
      <c r="I61" s="397"/>
      <c r="J61" s="401" t="str">
        <f t="shared" si="3"/>
        <v/>
      </c>
      <c r="K61" s="397" t="str">
        <f>IF('Sprachen &amp; Rückgabewerte(4)'!$I$18=TRUE,'Sprachen &amp; Rückgabewerte(4)'!$H$18,"")</f>
        <v/>
      </c>
      <c r="L61" s="397"/>
      <c r="M61" s="397"/>
      <c r="N61" s="391"/>
    </row>
    <row r="62" spans="2:14" ht="12" customHeight="1" x14ac:dyDescent="0.25">
      <c r="B62" s="392"/>
      <c r="C62" s="398" t="str">
        <f>'Pos. 4'!$AX$14</f>
        <v>Bemerkungen:</v>
      </c>
      <c r="D62" s="397"/>
      <c r="E62" s="533" t="str">
        <f>'Pos. 4'!$AX$15</f>
        <v>-
-
-
-</v>
      </c>
      <c r="F62" s="533"/>
      <c r="G62" s="533"/>
      <c r="H62" s="533"/>
      <c r="I62" s="533"/>
      <c r="J62" s="401"/>
      <c r="K62" s="397"/>
      <c r="L62" s="397"/>
      <c r="M62" s="397"/>
      <c r="N62" s="391"/>
    </row>
    <row r="63" spans="2:14" ht="12" customHeight="1" x14ac:dyDescent="0.2">
      <c r="B63" s="392"/>
      <c r="C63" s="397"/>
      <c r="D63" s="397"/>
      <c r="E63" s="533"/>
      <c r="F63" s="533"/>
      <c r="G63" s="533"/>
      <c r="H63" s="533"/>
      <c r="I63" s="533"/>
      <c r="J63" s="401" t="str">
        <f t="shared" si="3"/>
        <v/>
      </c>
      <c r="K63" s="397" t="str">
        <f>IF('Sprachen &amp; Rückgabewerte(4)'!$I$20=TRUE,'Sprachen &amp; Rückgabewerte(4)'!$H$20,"")</f>
        <v/>
      </c>
      <c r="L63" s="397"/>
      <c r="M63" s="403" t="str">
        <f>IF('Pos. 4'!$AM$38&gt;0,'Pos. 4'!$AM$38,"")</f>
        <v/>
      </c>
      <c r="N63" s="391"/>
    </row>
    <row r="64" spans="2:14" ht="12" customHeight="1" x14ac:dyDescent="0.2">
      <c r="B64" s="392"/>
      <c r="C64" s="397"/>
      <c r="D64" s="397"/>
      <c r="E64" s="533"/>
      <c r="F64" s="533"/>
      <c r="G64" s="533"/>
      <c r="H64" s="533"/>
      <c r="I64" s="533"/>
      <c r="J64" s="401" t="str">
        <f t="shared" si="3"/>
        <v/>
      </c>
      <c r="K64" s="403" t="str">
        <f>IF('Sprachen &amp; Rückgabewerte(4)'!$I$22=TRUE,'Pos. 4'!$AL$39,"")</f>
        <v/>
      </c>
      <c r="L64" s="397"/>
      <c r="M64" s="397"/>
      <c r="N64" s="391"/>
    </row>
    <row r="65" spans="2:14" ht="12" customHeight="1" x14ac:dyDescent="0.2">
      <c r="B65" s="392"/>
      <c r="C65" s="397"/>
      <c r="D65" s="397"/>
      <c r="E65" s="533"/>
      <c r="F65" s="533"/>
      <c r="G65" s="533"/>
      <c r="H65" s="533"/>
      <c r="I65" s="533"/>
      <c r="J65" s="401" t="str">
        <f t="shared" si="3"/>
        <v/>
      </c>
      <c r="K65" s="397" t="str">
        <f>IF('Sprachen &amp; Rückgabewerte(4)'!$I$25=TRUE,'Sprachen &amp; Rückgabewerte(4)'!$H$25,"")</f>
        <v/>
      </c>
      <c r="L65" s="397"/>
      <c r="M65" s="397"/>
      <c r="N65" s="391"/>
    </row>
    <row r="66" spans="2:14" ht="12" customHeight="1" x14ac:dyDescent="0.2">
      <c r="B66" s="392"/>
      <c r="C66" s="397"/>
      <c r="D66" s="397"/>
      <c r="E66" s="533"/>
      <c r="F66" s="533"/>
      <c r="G66" s="533"/>
      <c r="H66" s="533"/>
      <c r="I66" s="533"/>
      <c r="J66" s="401"/>
      <c r="K66" s="397"/>
      <c r="L66" s="397"/>
      <c r="M66" s="397"/>
      <c r="N66" s="391"/>
    </row>
    <row r="67" spans="2:14" ht="12" customHeight="1" x14ac:dyDescent="0.2">
      <c r="B67" s="392"/>
      <c r="C67" s="397"/>
      <c r="D67" s="397"/>
      <c r="E67" s="533"/>
      <c r="F67" s="533"/>
      <c r="G67" s="533"/>
      <c r="H67" s="533"/>
      <c r="I67" s="533"/>
      <c r="J67" s="401"/>
      <c r="K67" s="397"/>
      <c r="L67" s="397"/>
      <c r="M67" s="397"/>
      <c r="N67" s="391"/>
    </row>
    <row r="68" spans="2:14" ht="12" customHeight="1" x14ac:dyDescent="0.2">
      <c r="B68" s="392"/>
      <c r="C68" s="397"/>
      <c r="D68" s="397"/>
      <c r="E68" s="533"/>
      <c r="F68" s="533"/>
      <c r="G68" s="533"/>
      <c r="H68" s="533"/>
      <c r="I68" s="533"/>
      <c r="J68" s="401"/>
      <c r="K68" s="397"/>
      <c r="L68" s="397"/>
      <c r="M68" s="397"/>
      <c r="N68" s="391"/>
    </row>
    <row r="69" spans="2:14" ht="12" customHeight="1" x14ac:dyDescent="0.2">
      <c r="B69" s="392"/>
      <c r="C69" s="397"/>
      <c r="D69" s="397"/>
      <c r="E69" s="533"/>
      <c r="F69" s="533"/>
      <c r="G69" s="533"/>
      <c r="H69" s="533"/>
      <c r="I69" s="533"/>
      <c r="J69" s="401"/>
      <c r="K69" s="397"/>
      <c r="L69" s="397"/>
      <c r="M69" s="397"/>
      <c r="N69" s="391"/>
    </row>
    <row r="70" spans="2:14" ht="12" customHeight="1" x14ac:dyDescent="0.25">
      <c r="B70" s="392"/>
      <c r="C70" s="404"/>
      <c r="E70" s="533"/>
      <c r="F70" s="533"/>
      <c r="G70" s="533"/>
      <c r="H70" s="533"/>
      <c r="I70" s="533"/>
      <c r="J70" s="401"/>
      <c r="K70" s="397"/>
      <c r="N70" s="391"/>
    </row>
    <row r="71" spans="2:14" ht="12" customHeight="1" x14ac:dyDescent="0.2">
      <c r="B71" s="388"/>
      <c r="C71" s="389"/>
      <c r="D71" s="389"/>
      <c r="E71" s="389"/>
      <c r="F71" s="389"/>
      <c r="G71" s="389"/>
      <c r="H71" s="389"/>
      <c r="I71" s="389"/>
      <c r="J71" s="389"/>
      <c r="K71" s="389"/>
      <c r="L71" s="389"/>
      <c r="M71" s="389"/>
      <c r="N71" s="390"/>
    </row>
    <row r="72" spans="2:14" ht="15" customHeight="1" x14ac:dyDescent="0.25">
      <c r="B72" s="385"/>
      <c r="C72" s="394" t="s">
        <v>885</v>
      </c>
      <c r="D72" s="386"/>
      <c r="E72" s="395" t="str">
        <f>'Pos. 5'!$AX$19</f>
        <v>Bestellformular unvollständig!</v>
      </c>
      <c r="F72" s="386"/>
      <c r="G72" s="386"/>
      <c r="H72" s="386"/>
      <c r="I72" s="386"/>
      <c r="J72" s="386"/>
      <c r="K72" s="386"/>
      <c r="L72" s="386"/>
      <c r="M72" s="386"/>
      <c r="N72" s="396" t="str">
        <f>'Pos. 5'!$BB$2</f>
        <v>0m²</v>
      </c>
    </row>
    <row r="73" spans="2:14" ht="12" customHeight="1" x14ac:dyDescent="0.2">
      <c r="B73" s="392"/>
      <c r="C73" s="397"/>
      <c r="D73" s="397"/>
      <c r="E73" s="397"/>
      <c r="F73" s="397"/>
      <c r="G73" s="397"/>
      <c r="H73" s="397"/>
      <c r="I73" s="397"/>
      <c r="J73" s="397"/>
      <c r="K73" s="397"/>
      <c r="L73" s="397"/>
      <c r="M73" s="397"/>
      <c r="N73" s="391"/>
    </row>
    <row r="74" spans="2:14" ht="12" customHeight="1" x14ac:dyDescent="0.25">
      <c r="B74" s="392"/>
      <c r="C74" s="398" t="str">
        <f>'Pos. 5'!$AH$5</f>
        <v>Pos:</v>
      </c>
      <c r="D74" s="397"/>
      <c r="E74" s="532">
        <f>'Pos. 5'!$AJ$5</f>
        <v>0</v>
      </c>
      <c r="F74" s="397"/>
      <c r="G74" s="397"/>
      <c r="H74" s="397"/>
      <c r="I74" s="397"/>
      <c r="J74" s="397"/>
      <c r="K74" s="400" t="str">
        <f>'Sprachen &amp; Rückgabewerte(5)'!$H$134</f>
        <v>Features</v>
      </c>
      <c r="L74" s="397"/>
      <c r="M74" s="397"/>
      <c r="N74" s="391"/>
    </row>
    <row r="75" spans="2:14" ht="12" customHeight="1" x14ac:dyDescent="0.25">
      <c r="B75" s="392"/>
      <c r="C75" s="398"/>
      <c r="D75" s="397"/>
      <c r="E75" s="397"/>
      <c r="F75" s="397"/>
      <c r="G75" s="397"/>
      <c r="H75" s="397"/>
      <c r="I75" s="397"/>
      <c r="J75" s="401"/>
      <c r="K75" s="397"/>
      <c r="L75" s="397"/>
      <c r="M75" s="397"/>
      <c r="N75" s="391"/>
    </row>
    <row r="76" spans="2:14" ht="12" customHeight="1" x14ac:dyDescent="0.25">
      <c r="B76" s="392"/>
      <c r="C76" s="398" t="str">
        <f>'Pos. 5'!$AH$6</f>
        <v>Stück:</v>
      </c>
      <c r="D76" s="397"/>
      <c r="E76" s="402">
        <f>'Pos. 5'!$AJ$6</f>
        <v>0</v>
      </c>
      <c r="F76" s="397"/>
      <c r="G76" s="397"/>
      <c r="H76" s="397"/>
      <c r="I76" s="397"/>
      <c r="J76" s="401" t="str">
        <f t="shared" ref="J76:J81" si="4">IF(K76&lt;&gt;"","-","")</f>
        <v/>
      </c>
      <c r="K76" s="397" t="str">
        <f>IF('Sprachen &amp; Rückgabewerte(5)'!$I$17=TRUE,'Sprachen &amp; Rückgabewerte(5)'!$H$17,"")</f>
        <v/>
      </c>
      <c r="L76" s="397"/>
      <c r="M76" s="397"/>
      <c r="N76" s="391"/>
    </row>
    <row r="77" spans="2:14" ht="12" customHeight="1" x14ac:dyDescent="0.25">
      <c r="B77" s="392"/>
      <c r="C77" s="398"/>
      <c r="D77" s="397"/>
      <c r="E77" s="397"/>
      <c r="F77" s="397"/>
      <c r="G77" s="397"/>
      <c r="H77" s="397"/>
      <c r="I77" s="397"/>
      <c r="J77" s="401" t="str">
        <f t="shared" si="4"/>
        <v/>
      </c>
      <c r="K77" s="397" t="str">
        <f>IF('Sprachen &amp; Rückgabewerte(5)'!$I$18=TRUE,'Sprachen &amp; Rückgabewerte(5)'!$H$18,"")</f>
        <v/>
      </c>
      <c r="L77" s="397"/>
      <c r="M77" s="397"/>
      <c r="N77" s="391"/>
    </row>
    <row r="78" spans="2:14" ht="12" customHeight="1" x14ac:dyDescent="0.25">
      <c r="B78" s="392"/>
      <c r="C78" s="398" t="str">
        <f>'Pos. 5'!$AX$14</f>
        <v>Bemerkungen:</v>
      </c>
      <c r="D78" s="397"/>
      <c r="E78" s="533" t="str">
        <f>'Pos. 5'!$AX$15</f>
        <v>-
-
-
-</v>
      </c>
      <c r="F78" s="533"/>
      <c r="G78" s="533"/>
      <c r="H78" s="533"/>
      <c r="I78" s="533"/>
      <c r="J78" s="401"/>
      <c r="K78" s="397"/>
      <c r="L78" s="397"/>
      <c r="M78" s="397"/>
      <c r="N78" s="391"/>
    </row>
    <row r="79" spans="2:14" ht="12" customHeight="1" x14ac:dyDescent="0.2">
      <c r="B79" s="392"/>
      <c r="C79" s="397"/>
      <c r="D79" s="397"/>
      <c r="E79" s="533"/>
      <c r="F79" s="533"/>
      <c r="G79" s="533"/>
      <c r="H79" s="533"/>
      <c r="I79" s="533"/>
      <c r="J79" s="401" t="str">
        <f t="shared" si="4"/>
        <v/>
      </c>
      <c r="K79" s="397" t="str">
        <f>IF('Sprachen &amp; Rückgabewerte(5)'!$I$20=TRUE,'Sprachen &amp; Rückgabewerte(5)'!$H$20,"")</f>
        <v/>
      </c>
      <c r="L79" s="397"/>
      <c r="M79" s="403" t="str">
        <f>IF('Pos. 5'!$AM$38&gt;0,'Pos. 5'!$AM$38,"")</f>
        <v/>
      </c>
      <c r="N79" s="391"/>
    </row>
    <row r="80" spans="2:14" ht="12" customHeight="1" x14ac:dyDescent="0.2">
      <c r="B80" s="392"/>
      <c r="C80" s="397"/>
      <c r="D80" s="397"/>
      <c r="E80" s="533"/>
      <c r="F80" s="533"/>
      <c r="G80" s="533"/>
      <c r="H80" s="533"/>
      <c r="I80" s="533"/>
      <c r="J80" s="401" t="str">
        <f t="shared" si="4"/>
        <v/>
      </c>
      <c r="K80" s="403" t="str">
        <f>IF('Sprachen &amp; Rückgabewerte(5)'!$I$22=TRUE,'Pos. 5'!$AL$39,"")</f>
        <v/>
      </c>
      <c r="L80" s="397"/>
      <c r="M80" s="397"/>
      <c r="N80" s="391"/>
    </row>
    <row r="81" spans="2:14" ht="12" customHeight="1" x14ac:dyDescent="0.2">
      <c r="B81" s="392"/>
      <c r="C81" s="397"/>
      <c r="D81" s="397"/>
      <c r="E81" s="533"/>
      <c r="F81" s="533"/>
      <c r="G81" s="533"/>
      <c r="H81" s="533"/>
      <c r="I81" s="533"/>
      <c r="J81" s="401" t="str">
        <f t="shared" si="4"/>
        <v/>
      </c>
      <c r="K81" s="397" t="str">
        <f>IF('Sprachen &amp; Rückgabewerte(5)'!$I$25=TRUE,'Sprachen &amp; Rückgabewerte(5)'!$H$25,"")</f>
        <v/>
      </c>
      <c r="L81" s="397"/>
      <c r="M81" s="397"/>
      <c r="N81" s="391"/>
    </row>
    <row r="82" spans="2:14" ht="12" customHeight="1" x14ac:dyDescent="0.2">
      <c r="B82" s="392"/>
      <c r="C82" s="397"/>
      <c r="D82" s="397"/>
      <c r="E82" s="533"/>
      <c r="F82" s="533"/>
      <c r="G82" s="533"/>
      <c r="H82" s="533"/>
      <c r="I82" s="533"/>
      <c r="J82" s="401"/>
      <c r="K82" s="397"/>
      <c r="L82" s="397"/>
      <c r="M82" s="397"/>
      <c r="N82" s="391"/>
    </row>
    <row r="83" spans="2:14" ht="12" customHeight="1" x14ac:dyDescent="0.2">
      <c r="B83" s="392"/>
      <c r="C83" s="397"/>
      <c r="D83" s="397"/>
      <c r="E83" s="533"/>
      <c r="F83" s="533"/>
      <c r="G83" s="533"/>
      <c r="H83" s="533"/>
      <c r="I83" s="533"/>
      <c r="J83" s="401"/>
      <c r="K83" s="397"/>
      <c r="L83" s="397"/>
      <c r="M83" s="397"/>
      <c r="N83" s="391"/>
    </row>
    <row r="84" spans="2:14" ht="12" customHeight="1" x14ac:dyDescent="0.2">
      <c r="B84" s="392"/>
      <c r="C84" s="397"/>
      <c r="D84" s="397"/>
      <c r="E84" s="533"/>
      <c r="F84" s="533"/>
      <c r="G84" s="533"/>
      <c r="H84" s="533"/>
      <c r="I84" s="533"/>
      <c r="J84" s="401"/>
      <c r="K84" s="397"/>
      <c r="L84" s="397"/>
      <c r="M84" s="397"/>
      <c r="N84" s="391"/>
    </row>
    <row r="85" spans="2:14" ht="12" customHeight="1" x14ac:dyDescent="0.2">
      <c r="B85" s="392"/>
      <c r="C85" s="397"/>
      <c r="D85" s="397"/>
      <c r="E85" s="533"/>
      <c r="F85" s="533"/>
      <c r="G85" s="533"/>
      <c r="H85" s="533"/>
      <c r="I85" s="533"/>
      <c r="J85" s="401"/>
      <c r="K85" s="397"/>
      <c r="L85" s="397"/>
      <c r="M85" s="397"/>
      <c r="N85" s="391"/>
    </row>
    <row r="86" spans="2:14" ht="12" customHeight="1" x14ac:dyDescent="0.25">
      <c r="B86" s="392"/>
      <c r="C86" s="404"/>
      <c r="E86" s="533"/>
      <c r="F86" s="533"/>
      <c r="G86" s="533"/>
      <c r="H86" s="533"/>
      <c r="I86" s="533"/>
      <c r="J86" s="401"/>
      <c r="K86" s="397"/>
      <c r="N86" s="391"/>
    </row>
    <row r="87" spans="2:14" ht="12" customHeight="1" x14ac:dyDescent="0.2">
      <c r="B87" s="388"/>
      <c r="C87" s="389"/>
      <c r="D87" s="389"/>
      <c r="E87" s="389"/>
      <c r="F87" s="389"/>
      <c r="G87" s="389"/>
      <c r="H87" s="389"/>
      <c r="I87" s="389"/>
      <c r="J87" s="389"/>
      <c r="K87" s="389"/>
      <c r="L87" s="389"/>
      <c r="M87" s="389"/>
      <c r="N87" s="390"/>
    </row>
    <row r="88" spans="2:14" x14ac:dyDescent="0.2">
      <c r="N88" s="214" t="str">
        <f>'Pos. 1'!AT98</f>
        <v>Version 09-07-2018</v>
      </c>
    </row>
  </sheetData>
  <sheetProtection algorithmName="SHA-512" hashValue="he5ACec06MoZxl9amBWbF+iic5VPGDZJx0s0kOatoUqDfYtSck5S5mc6strwWE44jr9H9gXB0FBHQOJP7ULyfQ==" saltValue="gK1mRdIp5GcsRG2JVdZz0w==" spinCount="100000" sheet="1" objects="1" scenarios="1"/>
  <mergeCells count="5">
    <mergeCell ref="E14:I22"/>
    <mergeCell ref="E30:I38"/>
    <mergeCell ref="E46:I54"/>
    <mergeCell ref="E62:I70"/>
    <mergeCell ref="E78:I86"/>
  </mergeCells>
  <pageMargins left="0.39370078740157483" right="0.31496062992125984" top="0.59055118110236227" bottom="0.39370078740157483" header="0.31496062992125984" footer="0.31496062992125984"/>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erechnungen"/>
  <dimension ref="A1:AF206"/>
  <sheetViews>
    <sheetView showGridLines="0" zoomScale="70" zoomScaleNormal="70" workbookViewId="0">
      <selection activeCell="B3" sqref="B3"/>
    </sheetView>
  </sheetViews>
  <sheetFormatPr baseColWidth="10" defaultRowHeight="12.75" x14ac:dyDescent="0.2"/>
  <cols>
    <col min="1" max="1" width="19.140625" style="1" customWidth="1"/>
    <col min="2" max="2" width="16.7109375" style="1" customWidth="1"/>
    <col min="3" max="3" width="11.42578125" style="1" customWidth="1"/>
    <col min="4" max="7" width="40.7109375" style="1" customWidth="1"/>
    <col min="8" max="8" width="34.28515625" style="1" customWidth="1"/>
    <col min="9" max="9" width="30.42578125" style="1" customWidth="1"/>
    <col min="10" max="10" width="25.7109375" style="1" customWidth="1"/>
    <col min="11" max="11" width="15.5703125" style="1" customWidth="1"/>
    <col min="12" max="12" width="13.42578125" style="1" customWidth="1"/>
    <col min="13" max="13" width="16.140625" style="1" customWidth="1"/>
    <col min="14" max="17" width="11.42578125" style="1"/>
    <col min="18" max="18" width="12.5703125" style="1" customWidth="1"/>
    <col min="19" max="19" width="10.140625" style="1" customWidth="1"/>
    <col min="20" max="20" width="10.28515625" style="1" customWidth="1"/>
    <col min="21" max="21" width="21.5703125" style="1" customWidth="1"/>
    <col min="22" max="26" width="11.42578125" style="1"/>
    <col min="27" max="27" width="12.28515625" style="1" customWidth="1"/>
    <col min="28" max="28" width="11.42578125" style="1"/>
    <col min="29" max="31" width="26.42578125" style="1" customWidth="1"/>
    <col min="32" max="16384" width="11.42578125" style="1"/>
  </cols>
  <sheetData>
    <row r="1" spans="1:32" ht="13.5" thickBot="1" x14ac:dyDescent="0.25">
      <c r="H1" s="45" t="s">
        <v>214</v>
      </c>
      <c r="L1" s="1" t="s">
        <v>181</v>
      </c>
      <c r="M1" s="1" t="s">
        <v>182</v>
      </c>
      <c r="N1" s="1" t="s">
        <v>183</v>
      </c>
      <c r="R1" s="1" t="s">
        <v>608</v>
      </c>
      <c r="S1" s="1" t="s">
        <v>609</v>
      </c>
      <c r="T1" s="1" t="s">
        <v>610</v>
      </c>
      <c r="W1" s="3" t="str">
        <f>IF($I$125=TRUE,R1,L1)</f>
        <v>Ug=</v>
      </c>
      <c r="X1" s="50" t="str">
        <f>IF($I$125=TRUE,S1,M1)</f>
        <v>Lt=</v>
      </c>
      <c r="Y1" s="50" t="str">
        <f>IF($I$125=TRUE,T1,N1)</f>
        <v>g=</v>
      </c>
    </row>
    <row r="2" spans="1:32" x14ac:dyDescent="0.2">
      <c r="B2" s="28" t="s">
        <v>178</v>
      </c>
      <c r="C2" s="29" t="s">
        <v>91</v>
      </c>
      <c r="D2" s="15" t="s">
        <v>443</v>
      </c>
      <c r="E2" s="16" t="s">
        <v>444</v>
      </c>
      <c r="F2" s="16" t="s">
        <v>445</v>
      </c>
      <c r="G2" s="17" t="s">
        <v>446</v>
      </c>
      <c r="H2" s="30" t="str">
        <f>IF($B$3=$A$3,D2,IF($B$3=$A$4,E2,IF($B$3=$A$5,F2,IF($B$3=$A$6,G2,""))))</f>
        <v>Sprache:</v>
      </c>
      <c r="I2" s="45" t="s">
        <v>194</v>
      </c>
      <c r="K2" s="33" t="s">
        <v>611</v>
      </c>
      <c r="L2" s="49"/>
      <c r="M2" s="49"/>
      <c r="N2" s="49"/>
      <c r="O2" s="49"/>
      <c r="P2" s="38"/>
      <c r="Q2" s="33" t="s">
        <v>612</v>
      </c>
      <c r="R2" s="49"/>
      <c r="S2" s="49"/>
      <c r="T2" s="49"/>
      <c r="U2" s="38"/>
      <c r="V2" s="33" t="s">
        <v>613</v>
      </c>
      <c r="W2" s="49"/>
      <c r="X2" s="49"/>
      <c r="Y2" s="49"/>
      <c r="Z2" s="49"/>
      <c r="AA2" s="38"/>
      <c r="AB2" s="32"/>
      <c r="AC2" s="32"/>
      <c r="AD2" s="32"/>
      <c r="AE2" s="32"/>
      <c r="AF2" s="32"/>
    </row>
    <row r="3" spans="1:32" x14ac:dyDescent="0.2">
      <c r="A3" s="1">
        <v>1</v>
      </c>
      <c r="B3" s="25">
        <v>1</v>
      </c>
      <c r="C3" s="24" t="s">
        <v>92</v>
      </c>
      <c r="D3" s="18" t="s">
        <v>92</v>
      </c>
      <c r="E3" s="19" t="s">
        <v>93</v>
      </c>
      <c r="F3" s="19" t="s">
        <v>94</v>
      </c>
      <c r="G3" s="20" t="s">
        <v>95</v>
      </c>
      <c r="H3" s="30" t="str">
        <f>IF($B$3=$A$3,D3,IF($B$3=$A$4,E3,IF($B$3=$A$5,F3,IF($B$3=$A$6,G3,""))))</f>
        <v>DEUTSCH</v>
      </c>
      <c r="I3" s="40"/>
      <c r="K3" s="329" t="s">
        <v>781</v>
      </c>
      <c r="L3" s="50">
        <v>5.7</v>
      </c>
      <c r="M3" s="50">
        <v>89</v>
      </c>
      <c r="N3" s="50">
        <v>84</v>
      </c>
      <c r="O3" s="330" t="s">
        <v>787</v>
      </c>
      <c r="P3" s="44"/>
      <c r="Q3" s="22" t="s">
        <v>232</v>
      </c>
      <c r="R3" s="209">
        <v>0.34</v>
      </c>
      <c r="S3" s="50">
        <v>0.49</v>
      </c>
      <c r="T3" s="50">
        <v>0.67</v>
      </c>
      <c r="U3" s="44" t="s">
        <v>643</v>
      </c>
      <c r="V3" s="22" t="str">
        <f t="shared" ref="V3:Z25" si="0">IF($I$125=TRUE,Q3,K3)</f>
        <v>SG-71</v>
      </c>
      <c r="W3" s="3">
        <f t="shared" si="0"/>
        <v>5.7</v>
      </c>
      <c r="X3" s="50">
        <f t="shared" si="0"/>
        <v>89</v>
      </c>
      <c r="Y3" s="50">
        <f t="shared" si="0"/>
        <v>84</v>
      </c>
      <c r="Z3" s="50" t="str">
        <f t="shared" si="0"/>
        <v>ESG 6</v>
      </c>
      <c r="AA3" s="44"/>
      <c r="AB3" s="32"/>
      <c r="AC3" s="207"/>
      <c r="AD3" s="207"/>
      <c r="AE3" s="207"/>
      <c r="AF3" s="32"/>
    </row>
    <row r="4" spans="1:32" x14ac:dyDescent="0.2">
      <c r="A4" s="1">
        <v>2</v>
      </c>
      <c r="B4" s="26"/>
      <c r="C4" s="21" t="s">
        <v>93</v>
      </c>
      <c r="D4" s="22" t="s">
        <v>96</v>
      </c>
      <c r="E4" s="13" t="s">
        <v>97</v>
      </c>
      <c r="F4" s="13" t="s">
        <v>98</v>
      </c>
      <c r="G4" s="14" t="s">
        <v>99</v>
      </c>
      <c r="H4" s="30" t="str">
        <f>IF($B$3=$A$3,D4,IF($B$3=$A$4,E4,IF($B$3=$A$5,F4,IF($B$3=$A$6,G4,""))))</f>
        <v>BESTELLUNG</v>
      </c>
      <c r="I4" s="40"/>
      <c r="K4" s="280" t="s">
        <v>782</v>
      </c>
      <c r="L4" s="3">
        <v>5.6</v>
      </c>
      <c r="M4" s="3">
        <v>88</v>
      </c>
      <c r="N4" s="3">
        <v>80</v>
      </c>
      <c r="O4" s="316" t="s">
        <v>788</v>
      </c>
      <c r="P4" s="4"/>
      <c r="Q4" s="2" t="s">
        <v>233</v>
      </c>
      <c r="R4" s="3">
        <v>0.34</v>
      </c>
      <c r="S4" s="3">
        <v>0.48</v>
      </c>
      <c r="T4" s="3">
        <v>0.66</v>
      </c>
      <c r="U4" s="4" t="s">
        <v>644</v>
      </c>
      <c r="V4" s="2" t="str">
        <f t="shared" si="0"/>
        <v>SG-72</v>
      </c>
      <c r="W4" s="3">
        <f t="shared" si="0"/>
        <v>5.6</v>
      </c>
      <c r="X4" s="3">
        <f t="shared" si="0"/>
        <v>88</v>
      </c>
      <c r="Y4" s="3">
        <f t="shared" si="0"/>
        <v>80</v>
      </c>
      <c r="Z4" s="3" t="str">
        <f t="shared" si="0"/>
        <v>ESG 10</v>
      </c>
      <c r="AA4" s="4"/>
      <c r="AB4" s="537"/>
      <c r="AC4" s="208"/>
      <c r="AD4" s="208"/>
      <c r="AE4" s="208"/>
      <c r="AF4" s="32"/>
    </row>
    <row r="5" spans="1:32" x14ac:dyDescent="0.2">
      <c r="A5" s="1">
        <v>3</v>
      </c>
      <c r="B5" s="26"/>
      <c r="C5" s="21" t="s">
        <v>94</v>
      </c>
      <c r="D5" s="2" t="s">
        <v>0</v>
      </c>
      <c r="E5" s="3" t="s">
        <v>1</v>
      </c>
      <c r="F5" s="3" t="s">
        <v>101</v>
      </c>
      <c r="G5" s="4" t="s">
        <v>100</v>
      </c>
      <c r="H5" s="30" t="str">
        <f>IF($B$3=$A$3,D5,IF($B$3=$A$4,E5,IF($B$3=$A$5,F5,IF($B$3=$A$6,G5,""))))</f>
        <v>Gemäss Zeichnung Nr.:</v>
      </c>
      <c r="I5" s="40" t="b">
        <v>0</v>
      </c>
      <c r="K5" s="280" t="s">
        <v>783</v>
      </c>
      <c r="L5" s="3">
        <v>5.5</v>
      </c>
      <c r="M5" s="3">
        <v>87</v>
      </c>
      <c r="N5" s="3">
        <v>77</v>
      </c>
      <c r="O5" s="316" t="s">
        <v>789</v>
      </c>
      <c r="P5" s="4"/>
      <c r="Q5" s="2" t="s">
        <v>234</v>
      </c>
      <c r="R5" s="3">
        <v>0.34</v>
      </c>
      <c r="S5" s="3">
        <v>0.49</v>
      </c>
      <c r="T5" s="3">
        <v>0.68</v>
      </c>
      <c r="U5" s="4" t="s">
        <v>645</v>
      </c>
      <c r="V5" s="2" t="str">
        <f t="shared" si="0"/>
        <v>SG-73</v>
      </c>
      <c r="W5" s="3">
        <f t="shared" si="0"/>
        <v>5.5</v>
      </c>
      <c r="X5" s="3">
        <f t="shared" si="0"/>
        <v>87</v>
      </c>
      <c r="Y5" s="3">
        <f t="shared" si="0"/>
        <v>77</v>
      </c>
      <c r="Z5" s="3" t="str">
        <f t="shared" si="0"/>
        <v>ESG 12</v>
      </c>
      <c r="AA5" s="4"/>
      <c r="AB5" s="537"/>
      <c r="AC5" s="208"/>
      <c r="AD5" s="208"/>
      <c r="AE5" s="208"/>
      <c r="AF5" s="32"/>
    </row>
    <row r="6" spans="1:32" ht="13.5" thickBot="1" x14ac:dyDescent="0.25">
      <c r="A6" s="1">
        <v>4</v>
      </c>
      <c r="B6" s="27"/>
      <c r="C6" s="23" t="s">
        <v>95</v>
      </c>
      <c r="D6" s="2" t="s">
        <v>102</v>
      </c>
      <c r="E6" s="3" t="s">
        <v>103</v>
      </c>
      <c r="F6" s="3" t="s">
        <v>104</v>
      </c>
      <c r="G6" s="4" t="s">
        <v>364</v>
      </c>
      <c r="H6" s="30" t="str">
        <f>IF($B$3=$A$3,D6,IF($B$3=$A$4,E6,IF($B$3=$A$5,F6,IF($B$3=$A$6,G6,""))))</f>
        <v>Gemäss Skizze: (Ansicht von Aussen)</v>
      </c>
      <c r="I6" s="40" t="b">
        <v>0</v>
      </c>
      <c r="K6" s="2">
        <v>0</v>
      </c>
      <c r="L6" s="3">
        <v>0</v>
      </c>
      <c r="M6" s="3">
        <v>0</v>
      </c>
      <c r="N6" s="3">
        <v>0</v>
      </c>
      <c r="O6" s="3" t="str">
        <f>$H$54</f>
        <v>Glastyp wählen</v>
      </c>
      <c r="P6" s="4"/>
      <c r="Q6" s="2" t="s">
        <v>235</v>
      </c>
      <c r="R6" s="3">
        <v>0.34</v>
      </c>
      <c r="S6" s="3">
        <v>0.48</v>
      </c>
      <c r="T6" s="3">
        <v>0.66</v>
      </c>
      <c r="U6" s="4" t="s">
        <v>646</v>
      </c>
      <c r="V6" s="2">
        <f t="shared" si="0"/>
        <v>0</v>
      </c>
      <c r="W6" s="3">
        <f t="shared" si="0"/>
        <v>0</v>
      </c>
      <c r="X6" s="3">
        <f t="shared" si="0"/>
        <v>0</v>
      </c>
      <c r="Y6" s="3">
        <f t="shared" si="0"/>
        <v>0</v>
      </c>
      <c r="Z6" s="3" t="str">
        <f t="shared" si="0"/>
        <v>Glastyp wählen</v>
      </c>
      <c r="AA6" s="4"/>
      <c r="AB6" s="537"/>
      <c r="AC6" s="208"/>
      <c r="AD6" s="208"/>
      <c r="AE6" s="208"/>
      <c r="AF6" s="32"/>
    </row>
    <row r="7" spans="1:32" ht="13.5" thickBot="1" x14ac:dyDescent="0.25">
      <c r="D7" s="2" t="s">
        <v>499</v>
      </c>
      <c r="E7" s="3" t="s">
        <v>500</v>
      </c>
      <c r="F7" s="3" t="s">
        <v>501</v>
      </c>
      <c r="G7" s="4" t="s">
        <v>502</v>
      </c>
      <c r="H7" s="30" t="str">
        <f t="shared" ref="H7:H71" si="1">IF($B$3=$A$3,D7,IF($B$3=$A$4,E7,IF($B$3=$A$5,F7,IF($B$3=$A$6,G7,""))))</f>
        <v xml:space="preserve">Objekt: </v>
      </c>
      <c r="I7" s="40"/>
      <c r="K7" s="280" t="s">
        <v>784</v>
      </c>
      <c r="L7" s="3">
        <v>5.6</v>
      </c>
      <c r="M7" s="3">
        <v>88</v>
      </c>
      <c r="N7" s="3">
        <v>77</v>
      </c>
      <c r="O7" s="316" t="s">
        <v>792</v>
      </c>
      <c r="P7" s="4"/>
      <c r="Q7" s="2" t="s">
        <v>236</v>
      </c>
      <c r="R7" s="3">
        <v>0.34</v>
      </c>
      <c r="S7" s="3">
        <v>0.47</v>
      </c>
      <c r="T7" s="3">
        <v>0.66</v>
      </c>
      <c r="U7" s="4" t="s">
        <v>647</v>
      </c>
      <c r="V7" s="2" t="str">
        <f t="shared" si="0"/>
        <v>SG-74</v>
      </c>
      <c r="W7" s="3">
        <f t="shared" si="0"/>
        <v>5.6</v>
      </c>
      <c r="X7" s="3">
        <f t="shared" si="0"/>
        <v>88</v>
      </c>
      <c r="Y7" s="3">
        <f t="shared" si="0"/>
        <v>77</v>
      </c>
      <c r="Z7" s="3" t="str">
        <f t="shared" si="0"/>
        <v>VSG 8-2 (4/4-2)</v>
      </c>
      <c r="AA7" s="4"/>
      <c r="AB7" s="537"/>
      <c r="AC7" s="208"/>
      <c r="AD7" s="208"/>
      <c r="AE7" s="208"/>
      <c r="AF7" s="32"/>
    </row>
    <row r="8" spans="1:32" x14ac:dyDescent="0.2">
      <c r="B8" s="15" t="s">
        <v>186</v>
      </c>
      <c r="C8" s="17" t="s">
        <v>190</v>
      </c>
      <c r="D8" s="2" t="s">
        <v>184</v>
      </c>
      <c r="E8" s="3" t="s">
        <v>185</v>
      </c>
      <c r="F8" s="3" t="s">
        <v>105</v>
      </c>
      <c r="G8" s="4" t="s">
        <v>106</v>
      </c>
      <c r="H8" s="30" t="str">
        <f t="shared" si="1"/>
        <v>Bestelldatum:</v>
      </c>
      <c r="I8" s="40"/>
      <c r="K8" s="280" t="s">
        <v>785</v>
      </c>
      <c r="L8" s="3">
        <v>5.6</v>
      </c>
      <c r="M8" s="3">
        <v>87</v>
      </c>
      <c r="N8" s="3">
        <v>76</v>
      </c>
      <c r="O8" s="316" t="s">
        <v>791</v>
      </c>
      <c r="P8" s="4"/>
      <c r="Q8" s="2" t="s">
        <v>237</v>
      </c>
      <c r="R8" s="3">
        <v>0.33</v>
      </c>
      <c r="S8" s="3">
        <v>0.46</v>
      </c>
      <c r="T8" s="3">
        <v>0.65</v>
      </c>
      <c r="U8" s="4" t="s">
        <v>648</v>
      </c>
      <c r="V8" s="2" t="str">
        <f t="shared" si="0"/>
        <v>SG-75</v>
      </c>
      <c r="W8" s="3">
        <f t="shared" si="0"/>
        <v>5.6</v>
      </c>
      <c r="X8" s="3">
        <f t="shared" si="0"/>
        <v>87</v>
      </c>
      <c r="Y8" s="3">
        <f t="shared" si="0"/>
        <v>76</v>
      </c>
      <c r="Z8" s="3" t="str">
        <f t="shared" si="0"/>
        <v>VSG 10-2 (6/4-2)</v>
      </c>
      <c r="AA8" s="4"/>
      <c r="AB8" s="537"/>
      <c r="AC8" s="208"/>
      <c r="AD8" s="208"/>
      <c r="AE8" s="208"/>
      <c r="AF8" s="32"/>
    </row>
    <row r="9" spans="1:32" ht="13.5" thickBot="1" x14ac:dyDescent="0.25">
      <c r="B9" s="329" t="s">
        <v>835</v>
      </c>
      <c r="C9" s="362" t="s">
        <v>836</v>
      </c>
      <c r="D9" s="2" t="s">
        <v>2</v>
      </c>
      <c r="E9" s="3" t="s">
        <v>3</v>
      </c>
      <c r="F9" s="3" t="s">
        <v>4</v>
      </c>
      <c r="G9" s="4" t="s">
        <v>107</v>
      </c>
      <c r="H9" s="30" t="str">
        <f t="shared" si="1"/>
        <v>Projekt-Nr.:</v>
      </c>
      <c r="I9" s="40"/>
      <c r="K9" s="280" t="s">
        <v>786</v>
      </c>
      <c r="L9" s="3">
        <v>5.5</v>
      </c>
      <c r="M9" s="3">
        <v>86</v>
      </c>
      <c r="N9" s="3">
        <v>74</v>
      </c>
      <c r="O9" s="316" t="s">
        <v>790</v>
      </c>
      <c r="P9" s="4"/>
      <c r="Q9" s="2">
        <v>0</v>
      </c>
      <c r="R9" s="3">
        <v>0</v>
      </c>
      <c r="S9" s="3">
        <v>0</v>
      </c>
      <c r="T9" s="3">
        <v>0</v>
      </c>
      <c r="U9" s="4" t="str">
        <f>$H$54</f>
        <v>Glastyp wählen</v>
      </c>
      <c r="V9" s="2" t="str">
        <f t="shared" si="0"/>
        <v>SG-76</v>
      </c>
      <c r="W9" s="3">
        <f t="shared" si="0"/>
        <v>5.5</v>
      </c>
      <c r="X9" s="3">
        <f t="shared" si="0"/>
        <v>86</v>
      </c>
      <c r="Y9" s="3">
        <f t="shared" si="0"/>
        <v>74</v>
      </c>
      <c r="Z9" s="3" t="str">
        <f t="shared" si="0"/>
        <v>VSG 12-2 /6/6-2)</v>
      </c>
      <c r="AA9" s="4"/>
      <c r="AB9" s="537"/>
      <c r="AC9" s="208"/>
      <c r="AD9" s="208"/>
      <c r="AE9" s="208"/>
      <c r="AF9" s="32"/>
    </row>
    <row r="10" spans="1:32" x14ac:dyDescent="0.2">
      <c r="A10" s="56" t="s">
        <v>44</v>
      </c>
      <c r="B10" s="12" t="s">
        <v>187</v>
      </c>
      <c r="C10" s="35" t="s">
        <v>191</v>
      </c>
      <c r="D10" s="2" t="s">
        <v>5</v>
      </c>
      <c r="E10" s="3" t="s">
        <v>6</v>
      </c>
      <c r="F10" s="3" t="s">
        <v>7</v>
      </c>
      <c r="G10" s="4" t="s">
        <v>340</v>
      </c>
      <c r="H10" s="30" t="str">
        <f t="shared" si="1"/>
        <v>2-gleisig</v>
      </c>
      <c r="I10" s="42" t="b">
        <v>0</v>
      </c>
      <c r="K10" s="2">
        <v>0</v>
      </c>
      <c r="L10" s="51">
        <v>0</v>
      </c>
      <c r="M10" s="3">
        <v>0</v>
      </c>
      <c r="N10" s="3">
        <v>0</v>
      </c>
      <c r="O10" s="3" t="str">
        <f t="shared" ref="O10:O25" si="2">$H$54</f>
        <v>Glastyp wählen</v>
      </c>
      <c r="P10" s="4"/>
      <c r="Q10" s="2" t="s">
        <v>238</v>
      </c>
      <c r="R10" s="3">
        <v>0.34</v>
      </c>
      <c r="S10" s="3">
        <v>0.41</v>
      </c>
      <c r="T10" s="3">
        <v>0.59</v>
      </c>
      <c r="U10" s="4" t="s">
        <v>642</v>
      </c>
      <c r="V10" s="2">
        <f t="shared" si="0"/>
        <v>0</v>
      </c>
      <c r="W10" s="3">
        <f t="shared" si="0"/>
        <v>0</v>
      </c>
      <c r="X10" s="3">
        <f t="shared" si="0"/>
        <v>0</v>
      </c>
      <c r="Y10" s="3">
        <f t="shared" si="0"/>
        <v>0</v>
      </c>
      <c r="Z10" s="3" t="str">
        <f t="shared" si="0"/>
        <v>Glastyp wählen</v>
      </c>
      <c r="AA10" s="4"/>
      <c r="AB10" s="537"/>
      <c r="AC10" s="208"/>
      <c r="AD10" s="208"/>
      <c r="AE10" s="208"/>
      <c r="AF10" s="32"/>
    </row>
    <row r="11" spans="1:32" x14ac:dyDescent="0.2">
      <c r="A11" s="87"/>
      <c r="B11" s="41" t="s">
        <v>188</v>
      </c>
      <c r="C11" s="36" t="s">
        <v>192</v>
      </c>
      <c r="D11" s="280" t="s">
        <v>8</v>
      </c>
      <c r="E11" s="316" t="s">
        <v>9</v>
      </c>
      <c r="F11" s="316" t="s">
        <v>779</v>
      </c>
      <c r="G11" s="317" t="s">
        <v>341</v>
      </c>
      <c r="H11" s="30" t="str">
        <f t="shared" si="1"/>
        <v>3-gleisig</v>
      </c>
      <c r="I11" s="42" t="b">
        <v>0</v>
      </c>
      <c r="K11" s="2">
        <v>0</v>
      </c>
      <c r="L11" s="3">
        <v>0</v>
      </c>
      <c r="M11" s="3">
        <v>0</v>
      </c>
      <c r="N11" s="3">
        <v>0</v>
      </c>
      <c r="O11" s="3" t="str">
        <f t="shared" si="2"/>
        <v>Glastyp wählen</v>
      </c>
      <c r="P11" s="4"/>
      <c r="Q11" s="2" t="s">
        <v>239</v>
      </c>
      <c r="R11" s="3">
        <v>0.33</v>
      </c>
      <c r="S11" s="3">
        <v>0.4</v>
      </c>
      <c r="T11" s="3">
        <v>0.57999999999999996</v>
      </c>
      <c r="U11" s="4" t="s">
        <v>649</v>
      </c>
      <c r="V11" s="2">
        <f t="shared" si="0"/>
        <v>0</v>
      </c>
      <c r="W11" s="3">
        <f t="shared" si="0"/>
        <v>0</v>
      </c>
      <c r="X11" s="3">
        <f t="shared" si="0"/>
        <v>0</v>
      </c>
      <c r="Y11" s="3">
        <f t="shared" si="0"/>
        <v>0</v>
      </c>
      <c r="Z11" s="3" t="str">
        <f t="shared" si="0"/>
        <v>Glastyp wählen</v>
      </c>
      <c r="AA11" s="4"/>
      <c r="AB11" s="537"/>
      <c r="AC11" s="208"/>
      <c r="AD11" s="208"/>
      <c r="AE11" s="208"/>
      <c r="AF11" s="32"/>
    </row>
    <row r="12" spans="1:32" x14ac:dyDescent="0.2">
      <c r="A12" s="30" t="s">
        <v>180</v>
      </c>
      <c r="B12" s="41" t="s">
        <v>189</v>
      </c>
      <c r="C12" s="36" t="s">
        <v>193</v>
      </c>
      <c r="D12" s="2" t="s">
        <v>10</v>
      </c>
      <c r="E12" s="3" t="s">
        <v>11</v>
      </c>
      <c r="F12" s="316" t="s">
        <v>780</v>
      </c>
      <c r="G12" s="4" t="s">
        <v>342</v>
      </c>
      <c r="H12" s="30" t="str">
        <f t="shared" si="1"/>
        <v>4-gleisig</v>
      </c>
      <c r="I12" s="42" t="b">
        <v>0</v>
      </c>
      <c r="K12" s="2">
        <v>0</v>
      </c>
      <c r="L12" s="3">
        <v>0</v>
      </c>
      <c r="M12" s="3">
        <v>0</v>
      </c>
      <c r="N12" s="3">
        <v>0</v>
      </c>
      <c r="O12" s="3" t="str">
        <f t="shared" si="2"/>
        <v>Glastyp wählen</v>
      </c>
      <c r="P12" s="4"/>
      <c r="Q12" s="2" t="s">
        <v>240</v>
      </c>
      <c r="R12" s="3">
        <v>0.34</v>
      </c>
      <c r="S12" s="3">
        <v>0.4</v>
      </c>
      <c r="T12" s="3">
        <v>0.57999999999999996</v>
      </c>
      <c r="U12" s="4" t="s">
        <v>650</v>
      </c>
      <c r="V12" s="2">
        <f t="shared" si="0"/>
        <v>0</v>
      </c>
      <c r="W12" s="3">
        <f t="shared" si="0"/>
        <v>0</v>
      </c>
      <c r="X12" s="3">
        <f t="shared" si="0"/>
        <v>0</v>
      </c>
      <c r="Y12" s="3">
        <f t="shared" si="0"/>
        <v>0</v>
      </c>
      <c r="Z12" s="3" t="str">
        <f t="shared" si="0"/>
        <v>Glastyp wählen</v>
      </c>
      <c r="AA12" s="4"/>
      <c r="AB12" s="537"/>
      <c r="AC12" s="208"/>
      <c r="AD12" s="208"/>
      <c r="AE12" s="208"/>
      <c r="AF12" s="32"/>
    </row>
    <row r="13" spans="1:32" x14ac:dyDescent="0.2">
      <c r="A13" s="30" t="s">
        <v>225</v>
      </c>
      <c r="B13" s="109" t="s">
        <v>440</v>
      </c>
      <c r="C13" s="110" t="s">
        <v>439</v>
      </c>
      <c r="D13" s="2" t="s">
        <v>12</v>
      </c>
      <c r="E13" s="3" t="s">
        <v>13</v>
      </c>
      <c r="F13" s="3" t="s">
        <v>14</v>
      </c>
      <c r="G13" s="4" t="s">
        <v>108</v>
      </c>
      <c r="H13" s="30" t="str">
        <f t="shared" si="1"/>
        <v>Teilung Achsmasse</v>
      </c>
      <c r="I13" s="40" t="b">
        <v>0</v>
      </c>
      <c r="K13" s="2">
        <v>0</v>
      </c>
      <c r="L13" s="3">
        <v>0</v>
      </c>
      <c r="M13" s="3">
        <v>0</v>
      </c>
      <c r="N13" s="3">
        <v>0</v>
      </c>
      <c r="O13" s="3" t="str">
        <f t="shared" si="2"/>
        <v>Glastyp wählen</v>
      </c>
      <c r="P13" s="4"/>
      <c r="Q13" s="2" t="s">
        <v>241</v>
      </c>
      <c r="R13" s="3">
        <v>0.33</v>
      </c>
      <c r="S13" s="3">
        <v>0.4</v>
      </c>
      <c r="T13" s="3">
        <v>0.57999999999999996</v>
      </c>
      <c r="U13" s="4" t="s">
        <v>651</v>
      </c>
      <c r="V13" s="2">
        <f t="shared" si="0"/>
        <v>0</v>
      </c>
      <c r="W13" s="3">
        <f t="shared" si="0"/>
        <v>0</v>
      </c>
      <c r="X13" s="3">
        <f t="shared" si="0"/>
        <v>0</v>
      </c>
      <c r="Y13" s="3">
        <f t="shared" si="0"/>
        <v>0</v>
      </c>
      <c r="Z13" s="3" t="str">
        <f t="shared" si="0"/>
        <v>Glastyp wählen</v>
      </c>
      <c r="AA13" s="4"/>
      <c r="AB13" s="537"/>
      <c r="AC13" s="208"/>
      <c r="AD13" s="208"/>
      <c r="AE13" s="208"/>
      <c r="AF13" s="32"/>
    </row>
    <row r="14" spans="1:32" ht="13.5" thickBot="1" x14ac:dyDescent="0.25">
      <c r="A14" s="30" t="s">
        <v>224</v>
      </c>
      <c r="B14" s="103" t="s">
        <v>441</v>
      </c>
      <c r="C14" s="37" t="s">
        <v>438</v>
      </c>
      <c r="D14" s="2" t="s">
        <v>110</v>
      </c>
      <c r="E14" s="3" t="s">
        <v>109</v>
      </c>
      <c r="F14" s="5" t="s">
        <v>15</v>
      </c>
      <c r="G14" s="58" t="s">
        <v>365</v>
      </c>
      <c r="H14" s="30" t="str">
        <f t="shared" si="1"/>
        <v>alle Gläser gleiche Breite (Empfehlung)</v>
      </c>
      <c r="I14" s="40" t="b">
        <v>0</v>
      </c>
      <c r="K14" s="2">
        <v>0</v>
      </c>
      <c r="L14" s="3">
        <v>0</v>
      </c>
      <c r="M14" s="3">
        <v>0</v>
      </c>
      <c r="N14" s="3">
        <v>0</v>
      </c>
      <c r="O14" s="3" t="str">
        <f t="shared" si="2"/>
        <v>Glastyp wählen</v>
      </c>
      <c r="P14" s="4"/>
      <c r="Q14" s="2" t="s">
        <v>242</v>
      </c>
      <c r="R14" s="3">
        <v>0.33</v>
      </c>
      <c r="S14" s="3">
        <v>0.39</v>
      </c>
      <c r="T14" s="3">
        <v>0.56999999999999995</v>
      </c>
      <c r="U14" s="4" t="s">
        <v>652</v>
      </c>
      <c r="V14" s="2">
        <f t="shared" si="0"/>
        <v>0</v>
      </c>
      <c r="W14" s="3">
        <f t="shared" si="0"/>
        <v>0</v>
      </c>
      <c r="X14" s="3">
        <f t="shared" si="0"/>
        <v>0</v>
      </c>
      <c r="Y14" s="3">
        <f t="shared" si="0"/>
        <v>0</v>
      </c>
      <c r="Z14" s="3" t="str">
        <f t="shared" si="0"/>
        <v>Glastyp wählen</v>
      </c>
      <c r="AA14" s="4"/>
      <c r="AB14" s="537"/>
      <c r="AC14" s="208"/>
      <c r="AD14" s="208"/>
      <c r="AE14" s="208"/>
      <c r="AF14" s="32"/>
    </row>
    <row r="15" spans="1:32" x14ac:dyDescent="0.2">
      <c r="A15" s="30" t="s">
        <v>226</v>
      </c>
      <c r="B15" s="85" t="s">
        <v>197</v>
      </c>
      <c r="C15" s="34"/>
      <c r="D15" s="2" t="s">
        <v>16</v>
      </c>
      <c r="E15" s="3" t="s">
        <v>16</v>
      </c>
      <c r="F15" s="3" t="s">
        <v>16</v>
      </c>
      <c r="G15" s="4" t="s">
        <v>16</v>
      </c>
      <c r="H15" s="30" t="str">
        <f t="shared" si="1"/>
        <v>Standard</v>
      </c>
      <c r="I15" s="40" t="b">
        <v>0</v>
      </c>
      <c r="K15" s="2">
        <v>0</v>
      </c>
      <c r="L15" s="3">
        <v>0</v>
      </c>
      <c r="M15" s="3">
        <v>0</v>
      </c>
      <c r="N15" s="3">
        <v>0</v>
      </c>
      <c r="O15" s="3" t="str">
        <f t="shared" si="2"/>
        <v>Glastyp wählen</v>
      </c>
      <c r="P15" s="4"/>
      <c r="Q15" s="2" t="s">
        <v>243</v>
      </c>
      <c r="R15" s="3">
        <v>0.33</v>
      </c>
      <c r="S15" s="3">
        <v>0.39</v>
      </c>
      <c r="T15" s="3">
        <v>0.56999999999999995</v>
      </c>
      <c r="U15" s="4" t="s">
        <v>653</v>
      </c>
      <c r="V15" s="2">
        <f t="shared" si="0"/>
        <v>0</v>
      </c>
      <c r="W15" s="3">
        <f t="shared" si="0"/>
        <v>0</v>
      </c>
      <c r="X15" s="3">
        <f t="shared" si="0"/>
        <v>0</v>
      </c>
      <c r="Y15" s="3">
        <f t="shared" si="0"/>
        <v>0</v>
      </c>
      <c r="Z15" s="3" t="str">
        <f t="shared" si="0"/>
        <v>Glastyp wählen</v>
      </c>
      <c r="AA15" s="4"/>
      <c r="AB15" s="537"/>
      <c r="AC15" s="208"/>
      <c r="AD15" s="208"/>
      <c r="AE15" s="208"/>
      <c r="AF15" s="32"/>
    </row>
    <row r="16" spans="1:32" x14ac:dyDescent="0.2">
      <c r="A16" s="30" t="s">
        <v>227</v>
      </c>
      <c r="B16" s="86" t="s">
        <v>198</v>
      </c>
      <c r="C16" s="35">
        <f>IF(AND($I$20=TRUE,OR('Pos. 1'!$F$10='Sprachen &amp; Rückgabewerte'!$B$10,'Pos. 1'!$F$10='Sprachen &amp; Rückgabewerte'!$B$11)),1,0)</f>
        <v>0</v>
      </c>
      <c r="D16" s="2" t="s">
        <v>17</v>
      </c>
      <c r="E16" s="3" t="s">
        <v>18</v>
      </c>
      <c r="F16" s="3" t="s">
        <v>19</v>
      </c>
      <c r="G16" s="4" t="s">
        <v>343</v>
      </c>
      <c r="H16" s="30" t="str">
        <f t="shared" si="1"/>
        <v>Einbruchschutz RC2</v>
      </c>
      <c r="I16" s="40" t="b">
        <v>0</v>
      </c>
      <c r="K16" s="2">
        <v>0</v>
      </c>
      <c r="L16" s="3">
        <v>0</v>
      </c>
      <c r="M16" s="3">
        <v>0</v>
      </c>
      <c r="N16" s="3">
        <v>0</v>
      </c>
      <c r="O16" s="3" t="str">
        <f t="shared" si="2"/>
        <v>Glastyp wählen</v>
      </c>
      <c r="P16" s="4"/>
      <c r="Q16" s="2">
        <v>0</v>
      </c>
      <c r="R16" s="3">
        <v>0</v>
      </c>
      <c r="S16" s="3">
        <v>0</v>
      </c>
      <c r="T16" s="3">
        <v>0</v>
      </c>
      <c r="U16" s="4" t="str">
        <f t="shared" ref="U16:U23" si="3">$H$54</f>
        <v>Glastyp wählen</v>
      </c>
      <c r="V16" s="2">
        <f t="shared" si="0"/>
        <v>0</v>
      </c>
      <c r="W16" s="3">
        <f t="shared" si="0"/>
        <v>0</v>
      </c>
      <c r="X16" s="3">
        <f t="shared" si="0"/>
        <v>0</v>
      </c>
      <c r="Y16" s="3">
        <f t="shared" si="0"/>
        <v>0</v>
      </c>
      <c r="Z16" s="3" t="str">
        <f t="shared" si="0"/>
        <v>Glastyp wählen</v>
      </c>
      <c r="AA16" s="4"/>
      <c r="AB16" s="537"/>
      <c r="AC16" s="208"/>
      <c r="AD16" s="208"/>
      <c r="AE16" s="208"/>
      <c r="AF16" s="32"/>
    </row>
    <row r="17" spans="1:32" x14ac:dyDescent="0.2">
      <c r="A17" s="30" t="s">
        <v>228</v>
      </c>
      <c r="B17" s="41" t="s">
        <v>199</v>
      </c>
      <c r="C17" s="36">
        <f>IF(AND($I$20=TRUE,OR('Pos. 1'!$J$10='Sprachen &amp; Rückgabewerte'!$B$10,'Pos. 1'!$J$10='Sprachen &amp; Rückgabewerte'!$B$11)),1,0)</f>
        <v>0</v>
      </c>
      <c r="D17" s="2" t="s">
        <v>334</v>
      </c>
      <c r="E17" s="3" t="s">
        <v>20</v>
      </c>
      <c r="F17" s="3" t="s">
        <v>21</v>
      </c>
      <c r="G17" s="4" t="s">
        <v>125</v>
      </c>
      <c r="H17" s="30" t="str">
        <f t="shared" si="1"/>
        <v>Positionsüberwachung (P)</v>
      </c>
      <c r="I17" s="40" t="b">
        <v>0</v>
      </c>
      <c r="K17" s="2">
        <v>0</v>
      </c>
      <c r="L17" s="3">
        <v>0</v>
      </c>
      <c r="M17" s="3">
        <v>0</v>
      </c>
      <c r="N17" s="3">
        <v>0</v>
      </c>
      <c r="O17" s="3" t="str">
        <f t="shared" si="2"/>
        <v>Glastyp wählen</v>
      </c>
      <c r="P17" s="4"/>
      <c r="Q17" s="2" t="s">
        <v>244</v>
      </c>
      <c r="R17" s="3">
        <v>0.34</v>
      </c>
      <c r="S17" s="3">
        <v>0.26</v>
      </c>
      <c r="T17" s="3">
        <v>0.53</v>
      </c>
      <c r="U17" s="4" t="s">
        <v>654</v>
      </c>
      <c r="V17" s="2">
        <f t="shared" si="0"/>
        <v>0</v>
      </c>
      <c r="W17" s="3">
        <f t="shared" si="0"/>
        <v>0</v>
      </c>
      <c r="X17" s="3">
        <f t="shared" si="0"/>
        <v>0</v>
      </c>
      <c r="Y17" s="3">
        <f t="shared" si="0"/>
        <v>0</v>
      </c>
      <c r="Z17" s="3" t="str">
        <f t="shared" si="0"/>
        <v>Glastyp wählen</v>
      </c>
      <c r="AA17" s="4"/>
      <c r="AB17" s="537"/>
      <c r="AC17" s="208"/>
      <c r="AD17" s="208"/>
      <c r="AE17" s="208"/>
      <c r="AF17" s="32"/>
    </row>
    <row r="18" spans="1:32" x14ac:dyDescent="0.2">
      <c r="A18" s="30" t="s">
        <v>229</v>
      </c>
      <c r="B18" s="41" t="s">
        <v>200</v>
      </c>
      <c r="C18" s="36">
        <f>IF(AND($I$20=TRUE,OR('Pos. 1'!$N$10='Sprachen &amp; Rückgabewerte'!$B$10,'Pos. 1'!$N$10='Sprachen &amp; Rückgabewerte'!$B$11)),1,0)</f>
        <v>0</v>
      </c>
      <c r="D18" s="2" t="s">
        <v>335</v>
      </c>
      <c r="E18" s="3" t="s">
        <v>22</v>
      </c>
      <c r="F18" s="3" t="s">
        <v>336</v>
      </c>
      <c r="G18" s="4" t="s">
        <v>126</v>
      </c>
      <c r="H18" s="30" t="str">
        <f t="shared" si="1"/>
        <v xml:space="preserve">Riegelüberwachung (R) </v>
      </c>
      <c r="I18" s="40" t="b">
        <v>0</v>
      </c>
      <c r="K18" s="2">
        <v>0</v>
      </c>
      <c r="L18" s="3">
        <v>0</v>
      </c>
      <c r="M18" s="3">
        <v>0</v>
      </c>
      <c r="N18" s="3">
        <v>0</v>
      </c>
      <c r="O18" s="3" t="str">
        <f t="shared" si="2"/>
        <v>Glastyp wählen</v>
      </c>
      <c r="P18" s="4"/>
      <c r="Q18" s="2" t="s">
        <v>245</v>
      </c>
      <c r="R18" s="3">
        <v>0.33</v>
      </c>
      <c r="S18" s="3">
        <v>0.26</v>
      </c>
      <c r="T18" s="3">
        <v>0.52</v>
      </c>
      <c r="U18" s="4" t="s">
        <v>655</v>
      </c>
      <c r="V18" s="2">
        <f t="shared" si="0"/>
        <v>0</v>
      </c>
      <c r="W18" s="3">
        <f t="shared" si="0"/>
        <v>0</v>
      </c>
      <c r="X18" s="3">
        <f t="shared" si="0"/>
        <v>0</v>
      </c>
      <c r="Y18" s="3">
        <f t="shared" si="0"/>
        <v>0</v>
      </c>
      <c r="Z18" s="3" t="str">
        <f t="shared" si="0"/>
        <v>Glastyp wählen</v>
      </c>
      <c r="AA18" s="4"/>
      <c r="AB18" s="537"/>
      <c r="AC18" s="208"/>
      <c r="AD18" s="208"/>
      <c r="AE18" s="208"/>
      <c r="AF18" s="32"/>
    </row>
    <row r="19" spans="1:32" x14ac:dyDescent="0.2">
      <c r="A19" s="30"/>
      <c r="B19" s="41" t="s">
        <v>201</v>
      </c>
      <c r="C19" s="36">
        <f>IF(AND($I$20=TRUE,OR('Pos. 1'!$R$10='Sprachen &amp; Rückgabewerte'!$B$10,'Pos. 1'!$R$10='Sprachen &amp; Rückgabewerte'!$B$11)),1,0)</f>
        <v>0</v>
      </c>
      <c r="D19" s="2" t="s">
        <v>337</v>
      </c>
      <c r="E19" s="3" t="s">
        <v>23</v>
      </c>
      <c r="F19" s="3" t="s">
        <v>24</v>
      </c>
      <c r="G19" s="4" t="s">
        <v>124</v>
      </c>
      <c r="H19" s="30" t="str">
        <f t="shared" si="1"/>
        <v>Glasbruchüberwachung (G)</v>
      </c>
      <c r="I19" s="40" t="b">
        <v>0</v>
      </c>
      <c r="K19" s="2">
        <v>0</v>
      </c>
      <c r="L19" s="3">
        <v>0</v>
      </c>
      <c r="M19" s="3">
        <v>0</v>
      </c>
      <c r="N19" s="3">
        <v>0</v>
      </c>
      <c r="O19" s="3" t="str">
        <f t="shared" si="2"/>
        <v>Glastyp wählen</v>
      </c>
      <c r="P19" s="4"/>
      <c r="Q19" s="2" t="s">
        <v>246</v>
      </c>
      <c r="R19" s="3">
        <v>0.34</v>
      </c>
      <c r="S19" s="3">
        <v>0.26</v>
      </c>
      <c r="T19" s="3">
        <v>0.52</v>
      </c>
      <c r="U19" s="4" t="s">
        <v>656</v>
      </c>
      <c r="V19" s="2">
        <f t="shared" si="0"/>
        <v>0</v>
      </c>
      <c r="W19" s="3">
        <f t="shared" si="0"/>
        <v>0</v>
      </c>
      <c r="X19" s="3">
        <f t="shared" si="0"/>
        <v>0</v>
      </c>
      <c r="Y19" s="3">
        <f t="shared" si="0"/>
        <v>0</v>
      </c>
      <c r="Z19" s="3" t="str">
        <f t="shared" si="0"/>
        <v>Glastyp wählen</v>
      </c>
      <c r="AA19" s="4"/>
      <c r="AB19" s="32"/>
      <c r="AC19" s="32"/>
      <c r="AD19" s="32"/>
      <c r="AE19" s="32"/>
      <c r="AF19" s="32"/>
    </row>
    <row r="20" spans="1:32" x14ac:dyDescent="0.2">
      <c r="A20" s="30" t="s">
        <v>230</v>
      </c>
      <c r="B20" s="41" t="s">
        <v>202</v>
      </c>
      <c r="C20" s="36">
        <f>IF(AND($I$20=TRUE,OR('Pos. 1'!$V$10='Sprachen &amp; Rückgabewerte'!$B$10,'Pos. 1'!$V$10='Sprachen &amp; Rückgabewerte'!$B$11)),1,0)</f>
        <v>0</v>
      </c>
      <c r="D20" s="2" t="s">
        <v>25</v>
      </c>
      <c r="E20" s="3" t="s">
        <v>195</v>
      </c>
      <c r="F20" s="3" t="s">
        <v>26</v>
      </c>
      <c r="G20" s="4" t="s">
        <v>127</v>
      </c>
      <c r="H20" s="30" t="str">
        <f t="shared" si="1"/>
        <v>Elektrischer Antrieb, Anzahl</v>
      </c>
      <c r="I20" s="40" t="b">
        <v>0</v>
      </c>
      <c r="K20" s="2">
        <v>0</v>
      </c>
      <c r="L20" s="3">
        <v>0</v>
      </c>
      <c r="M20" s="3">
        <v>0</v>
      </c>
      <c r="N20" s="3">
        <v>0</v>
      </c>
      <c r="O20" s="3" t="str">
        <f t="shared" si="2"/>
        <v>Glastyp wählen</v>
      </c>
      <c r="P20" s="4"/>
      <c r="Q20" s="2" t="s">
        <v>247</v>
      </c>
      <c r="R20" s="3">
        <v>0.33</v>
      </c>
      <c r="S20" s="3">
        <v>0.26</v>
      </c>
      <c r="T20" s="3">
        <v>0.52</v>
      </c>
      <c r="U20" s="4" t="s">
        <v>657</v>
      </c>
      <c r="V20" s="2">
        <f t="shared" si="0"/>
        <v>0</v>
      </c>
      <c r="W20" s="3">
        <f t="shared" si="0"/>
        <v>0</v>
      </c>
      <c r="X20" s="3">
        <f t="shared" si="0"/>
        <v>0</v>
      </c>
      <c r="Y20" s="3">
        <f t="shared" si="0"/>
        <v>0</v>
      </c>
      <c r="Z20" s="3" t="str">
        <f t="shared" si="0"/>
        <v>Glastyp wählen</v>
      </c>
      <c r="AA20" s="4"/>
      <c r="AB20" s="32"/>
      <c r="AC20" s="32"/>
      <c r="AD20" s="32"/>
      <c r="AE20" s="32"/>
      <c r="AF20" s="32"/>
    </row>
    <row r="21" spans="1:32" x14ac:dyDescent="0.2">
      <c r="A21" s="30" t="s">
        <v>231</v>
      </c>
      <c r="B21" s="41" t="s">
        <v>203</v>
      </c>
      <c r="C21" s="36">
        <f>IF(AND($I$20=TRUE,OR('Pos. 1'!$Z$10='Sprachen &amp; Rückgabewerte'!$B$10,'Pos. 1'!$Z$10='Sprachen &amp; Rückgabewerte'!$B$11)),1,0)</f>
        <v>0</v>
      </c>
      <c r="D21" s="2" t="s">
        <v>27</v>
      </c>
      <c r="E21" s="316" t="s">
        <v>752</v>
      </c>
      <c r="F21" s="3" t="s">
        <v>28</v>
      </c>
      <c r="G21" s="4" t="s">
        <v>128</v>
      </c>
      <c r="H21" s="30" t="str">
        <f t="shared" si="1"/>
        <v>Stk.</v>
      </c>
      <c r="I21" s="40"/>
      <c r="K21" s="2">
        <v>0</v>
      </c>
      <c r="L21" s="3">
        <v>0</v>
      </c>
      <c r="M21" s="3">
        <v>0</v>
      </c>
      <c r="N21" s="3">
        <v>0</v>
      </c>
      <c r="O21" s="3" t="str">
        <f t="shared" si="2"/>
        <v>Glastyp wählen</v>
      </c>
      <c r="P21" s="4"/>
      <c r="Q21" s="2" t="s">
        <v>248</v>
      </c>
      <c r="R21" s="3">
        <v>0.33</v>
      </c>
      <c r="S21" s="3">
        <v>0.26</v>
      </c>
      <c r="T21" s="3">
        <v>0.52</v>
      </c>
      <c r="U21" s="4" t="s">
        <v>658</v>
      </c>
      <c r="V21" s="2">
        <f t="shared" si="0"/>
        <v>0</v>
      </c>
      <c r="W21" s="3">
        <f t="shared" si="0"/>
        <v>0</v>
      </c>
      <c r="X21" s="3">
        <f t="shared" si="0"/>
        <v>0</v>
      </c>
      <c r="Y21" s="3">
        <f t="shared" si="0"/>
        <v>0</v>
      </c>
      <c r="Z21" s="3" t="str">
        <f t="shared" si="0"/>
        <v>Glastyp wählen</v>
      </c>
      <c r="AA21" s="4"/>
      <c r="AB21" s="32"/>
      <c r="AC21" s="32"/>
      <c r="AD21" s="32"/>
      <c r="AE21" s="32"/>
      <c r="AF21" s="32"/>
    </row>
    <row r="22" spans="1:32" x14ac:dyDescent="0.2">
      <c r="A22" s="30"/>
      <c r="B22" s="41" t="s">
        <v>204</v>
      </c>
      <c r="C22" s="36">
        <f>IF(AND($I$20=TRUE,OR('Pos. 1'!$AD$10='Sprachen &amp; Rückgabewerte'!$B$10,'Pos. 1'!$AD$10='Sprachen &amp; Rückgabewerte'!$B$11)),1,0)</f>
        <v>0</v>
      </c>
      <c r="D22" s="2" t="s">
        <v>29</v>
      </c>
      <c r="E22" s="3" t="s">
        <v>333</v>
      </c>
      <c r="F22" s="3" t="s">
        <v>332</v>
      </c>
      <c r="G22" s="4" t="s">
        <v>494</v>
      </c>
      <c r="H22" s="30" t="str">
        <f t="shared" si="1"/>
        <v>geforderte Klassen:</v>
      </c>
      <c r="I22" s="40" t="b">
        <v>0</v>
      </c>
      <c r="K22" s="2">
        <v>0</v>
      </c>
      <c r="L22" s="3">
        <v>0</v>
      </c>
      <c r="M22" s="3">
        <v>0</v>
      </c>
      <c r="N22" s="3">
        <v>0</v>
      </c>
      <c r="O22" s="3" t="str">
        <f t="shared" si="2"/>
        <v>Glastyp wählen</v>
      </c>
      <c r="P22" s="4"/>
      <c r="Q22" s="2" t="s">
        <v>249</v>
      </c>
      <c r="R22" s="3">
        <v>0.33</v>
      </c>
      <c r="S22" s="3">
        <v>0.26</v>
      </c>
      <c r="T22" s="3">
        <v>0.51</v>
      </c>
      <c r="U22" s="4" t="s">
        <v>659</v>
      </c>
      <c r="V22" s="2">
        <f t="shared" si="0"/>
        <v>0</v>
      </c>
      <c r="W22" s="3">
        <f t="shared" si="0"/>
        <v>0</v>
      </c>
      <c r="X22" s="3">
        <f t="shared" si="0"/>
        <v>0</v>
      </c>
      <c r="Y22" s="3">
        <f t="shared" si="0"/>
        <v>0</v>
      </c>
      <c r="Z22" s="3" t="str">
        <f t="shared" si="0"/>
        <v>Glastyp wählen</v>
      </c>
      <c r="AA22" s="4"/>
      <c r="AB22" s="32"/>
      <c r="AC22" s="32"/>
      <c r="AD22" s="32"/>
      <c r="AE22" s="32"/>
      <c r="AF22" s="32"/>
    </row>
    <row r="23" spans="1:32" x14ac:dyDescent="0.2">
      <c r="A23" s="54">
        <v>1</v>
      </c>
      <c r="B23" s="41" t="s">
        <v>205</v>
      </c>
      <c r="C23" s="36">
        <f>IF(AND($I$20=TRUE,OR('Pos. 1'!$AH$10='Sprachen &amp; Rückgabewerte'!$B$10,'Pos. 1'!$AH$10='Sprachen &amp; Rückgabewerte'!$B$11)),1,0)</f>
        <v>0</v>
      </c>
      <c r="D23" s="6" t="s">
        <v>119</v>
      </c>
      <c r="E23" s="7" t="s">
        <v>121</v>
      </c>
      <c r="F23" s="7" t="s">
        <v>122</v>
      </c>
      <c r="G23" s="8" t="s">
        <v>344</v>
      </c>
      <c r="H23" s="30" t="str">
        <f t="shared" si="1"/>
        <v>(Schlagregen, Luftdurchlässigkeit)</v>
      </c>
      <c r="I23" s="40"/>
      <c r="K23" s="2">
        <v>0</v>
      </c>
      <c r="L23" s="3">
        <v>0</v>
      </c>
      <c r="M23" s="3">
        <v>0</v>
      </c>
      <c r="N23" s="3">
        <v>0</v>
      </c>
      <c r="O23" s="3" t="str">
        <f t="shared" si="2"/>
        <v>Glastyp wählen</v>
      </c>
      <c r="P23" s="4"/>
      <c r="Q23" s="2">
        <v>0</v>
      </c>
      <c r="R23" s="3">
        <v>0</v>
      </c>
      <c r="S23" s="3">
        <v>0</v>
      </c>
      <c r="T23" s="3">
        <v>0</v>
      </c>
      <c r="U23" s="4" t="str">
        <f t="shared" si="3"/>
        <v>Glastyp wählen</v>
      </c>
      <c r="V23" s="2">
        <f t="shared" si="0"/>
        <v>0</v>
      </c>
      <c r="W23" s="3">
        <f t="shared" si="0"/>
        <v>0</v>
      </c>
      <c r="X23" s="3">
        <f t="shared" si="0"/>
        <v>0</v>
      </c>
      <c r="Y23" s="3">
        <f t="shared" si="0"/>
        <v>0</v>
      </c>
      <c r="Z23" s="3" t="str">
        <f t="shared" si="0"/>
        <v>Glastyp wählen</v>
      </c>
      <c r="AA23" s="4"/>
      <c r="AB23" s="32"/>
      <c r="AC23" s="32"/>
      <c r="AD23" s="32"/>
      <c r="AE23" s="32"/>
      <c r="AF23" s="32"/>
    </row>
    <row r="24" spans="1:32" ht="13.5" thickBot="1" x14ac:dyDescent="0.25">
      <c r="A24" s="55">
        <v>2</v>
      </c>
      <c r="B24" s="41" t="s">
        <v>206</v>
      </c>
      <c r="C24" s="36">
        <f>IF(AND($I$20=TRUE,OR('Pos. 1'!$AL$10='Sprachen &amp; Rückgabewerte'!$B$10,'Pos. 1'!$AL$10='Sprachen &amp; Rückgabewerte'!$B$11)),1,0)</f>
        <v>0</v>
      </c>
      <c r="D24" s="2" t="s">
        <v>111</v>
      </c>
      <c r="E24" s="3" t="s">
        <v>112</v>
      </c>
      <c r="F24" s="3" t="s">
        <v>113</v>
      </c>
      <c r="G24" s="4" t="s">
        <v>114</v>
      </c>
      <c r="H24" s="30" t="str">
        <f t="shared" si="1"/>
        <v>Speziell:</v>
      </c>
      <c r="I24" s="40"/>
      <c r="K24" s="2">
        <v>0</v>
      </c>
      <c r="L24" s="3">
        <v>0</v>
      </c>
      <c r="M24" s="3">
        <v>0</v>
      </c>
      <c r="N24" s="3">
        <v>0</v>
      </c>
      <c r="O24" s="3" t="str">
        <f t="shared" si="2"/>
        <v>Glastyp wählen</v>
      </c>
      <c r="P24" s="4"/>
      <c r="Q24" s="2" t="s">
        <v>660</v>
      </c>
      <c r="R24" s="3">
        <v>0.34</v>
      </c>
      <c r="S24" s="3">
        <v>0.22</v>
      </c>
      <c r="T24" s="3">
        <v>0.43</v>
      </c>
      <c r="U24" s="4" t="s">
        <v>661</v>
      </c>
      <c r="V24" s="2">
        <f t="shared" si="0"/>
        <v>0</v>
      </c>
      <c r="W24" s="3">
        <f t="shared" si="0"/>
        <v>0</v>
      </c>
      <c r="X24" s="3">
        <f t="shared" si="0"/>
        <v>0</v>
      </c>
      <c r="Y24" s="3">
        <f t="shared" si="0"/>
        <v>0</v>
      </c>
      <c r="Z24" s="3" t="str">
        <f t="shared" si="0"/>
        <v>Glastyp wählen</v>
      </c>
      <c r="AA24" s="4"/>
      <c r="AB24" s="32"/>
      <c r="AC24" s="32"/>
      <c r="AD24" s="32"/>
      <c r="AE24" s="32"/>
      <c r="AF24" s="32"/>
    </row>
    <row r="25" spans="1:32" ht="13.5" thickBot="1" x14ac:dyDescent="0.25">
      <c r="B25" s="31" t="s">
        <v>207</v>
      </c>
      <c r="C25" s="37">
        <f>IF(AND($I$20=TRUE,OR('Pos. 1'!$AP$10='Sprachen &amp; Rückgabewerte'!$B$10,'Pos. 1'!$AP$10='Sprachen &amp; Rückgabewerte'!$B$11)),1,0)</f>
        <v>0</v>
      </c>
      <c r="D25" s="2" t="s">
        <v>30</v>
      </c>
      <c r="E25" s="3" t="s">
        <v>30</v>
      </c>
      <c r="F25" s="3" t="s">
        <v>30</v>
      </c>
      <c r="G25" s="4" t="s">
        <v>30</v>
      </c>
      <c r="H25" s="30" t="str">
        <f t="shared" si="1"/>
        <v>Pool</v>
      </c>
      <c r="I25" s="40" t="b">
        <v>0</v>
      </c>
      <c r="K25" s="2">
        <v>0</v>
      </c>
      <c r="L25" s="3">
        <v>0</v>
      </c>
      <c r="M25" s="3">
        <v>0</v>
      </c>
      <c r="N25" s="3">
        <v>0</v>
      </c>
      <c r="O25" s="3" t="str">
        <f t="shared" si="2"/>
        <v>Glastyp wählen</v>
      </c>
      <c r="P25" s="4"/>
      <c r="Q25" s="2" t="s">
        <v>662</v>
      </c>
      <c r="R25" s="3">
        <v>0.33</v>
      </c>
      <c r="S25" s="3">
        <v>0.22</v>
      </c>
      <c r="T25" s="3">
        <v>0.42</v>
      </c>
      <c r="U25" s="4" t="s">
        <v>663</v>
      </c>
      <c r="V25" s="233">
        <f t="shared" si="0"/>
        <v>0</v>
      </c>
      <c r="W25" s="234">
        <f t="shared" si="0"/>
        <v>0</v>
      </c>
      <c r="X25" s="234">
        <f t="shared" si="0"/>
        <v>0</v>
      </c>
      <c r="Y25" s="234">
        <f t="shared" si="0"/>
        <v>0</v>
      </c>
      <c r="Z25" s="234" t="str">
        <f t="shared" si="0"/>
        <v>Glastyp wählen</v>
      </c>
      <c r="AA25" s="235"/>
      <c r="AB25" s="32"/>
      <c r="AC25" s="32"/>
      <c r="AD25" s="32"/>
      <c r="AE25" s="32"/>
      <c r="AF25" s="32"/>
    </row>
    <row r="26" spans="1:32" ht="13.5" thickBot="1" x14ac:dyDescent="0.25">
      <c r="D26" s="2" t="s">
        <v>115</v>
      </c>
      <c r="E26" s="3" t="s">
        <v>120</v>
      </c>
      <c r="F26" s="3" t="s">
        <v>123</v>
      </c>
      <c r="G26" s="4" t="s">
        <v>345</v>
      </c>
      <c r="H26" s="30" t="str">
        <f t="shared" si="1"/>
        <v>Schallschutz</v>
      </c>
      <c r="I26" s="40"/>
      <c r="K26" s="2">
        <v>0</v>
      </c>
      <c r="L26" s="3">
        <v>0</v>
      </c>
      <c r="M26" s="3">
        <v>0</v>
      </c>
      <c r="N26" s="3">
        <v>0</v>
      </c>
      <c r="O26" s="3" t="str">
        <f t="shared" ref="O26:O35" si="4">$H$54</f>
        <v>Glastyp wählen</v>
      </c>
      <c r="P26" s="4"/>
      <c r="Q26" s="229" t="s">
        <v>664</v>
      </c>
      <c r="R26" s="230">
        <v>0.34</v>
      </c>
      <c r="S26" s="230">
        <v>0.22</v>
      </c>
      <c r="T26" s="230">
        <v>0.43</v>
      </c>
      <c r="U26" s="4" t="s">
        <v>665</v>
      </c>
      <c r="V26" s="2">
        <f t="shared" ref="V26:V35" si="5">IF($I$125=TRUE,Q26,K26)</f>
        <v>0</v>
      </c>
      <c r="W26" s="3">
        <f t="shared" ref="W26:W35" si="6">IF($I$125=TRUE,R26,L26)</f>
        <v>0</v>
      </c>
      <c r="X26" s="3">
        <f t="shared" ref="X26:X35" si="7">IF($I$125=TRUE,S26,M26)</f>
        <v>0</v>
      </c>
      <c r="Y26" s="3">
        <f t="shared" ref="Y26:Y35" si="8">IF($I$125=TRUE,T26,N26)</f>
        <v>0</v>
      </c>
      <c r="Z26" s="3" t="str">
        <f t="shared" ref="Z26:Z35" si="9">IF($I$125=TRUE,U26,O26)</f>
        <v>Glastyp wählen</v>
      </c>
      <c r="AA26" s="4"/>
      <c r="AB26" s="32"/>
      <c r="AC26" s="32"/>
      <c r="AD26" s="32"/>
      <c r="AE26" s="32"/>
      <c r="AF26" s="32"/>
    </row>
    <row r="27" spans="1:32" x14ac:dyDescent="0.2">
      <c r="A27" s="56" t="s">
        <v>860</v>
      </c>
      <c r="B27" s="33" t="s">
        <v>208</v>
      </c>
      <c r="C27" s="38"/>
      <c r="D27" s="2" t="s">
        <v>116</v>
      </c>
      <c r="E27" s="3" t="s">
        <v>116</v>
      </c>
      <c r="F27" s="3" t="s">
        <v>116</v>
      </c>
      <c r="G27" s="4" t="s">
        <v>116</v>
      </c>
      <c r="H27" s="30" t="str">
        <f t="shared" si="1"/>
        <v>MINERGIE Modul</v>
      </c>
      <c r="I27" s="40"/>
      <c r="K27" s="2">
        <v>0</v>
      </c>
      <c r="L27" s="3">
        <v>0</v>
      </c>
      <c r="M27" s="3">
        <v>0</v>
      </c>
      <c r="N27" s="3">
        <v>0</v>
      </c>
      <c r="O27" s="3" t="str">
        <f t="shared" si="4"/>
        <v>Glastyp wählen</v>
      </c>
      <c r="P27" s="4"/>
      <c r="Q27" s="229" t="s">
        <v>666</v>
      </c>
      <c r="R27" s="230">
        <v>0.33</v>
      </c>
      <c r="S27" s="230">
        <v>0.22</v>
      </c>
      <c r="T27" s="230">
        <v>0.42</v>
      </c>
      <c r="U27" s="4" t="s">
        <v>667</v>
      </c>
      <c r="V27" s="2">
        <f t="shared" si="5"/>
        <v>0</v>
      </c>
      <c r="W27" s="3">
        <f t="shared" si="6"/>
        <v>0</v>
      </c>
      <c r="X27" s="3">
        <f t="shared" si="7"/>
        <v>0</v>
      </c>
      <c r="Y27" s="3">
        <f t="shared" si="8"/>
        <v>0</v>
      </c>
      <c r="Z27" s="3" t="str">
        <f t="shared" si="9"/>
        <v>Glastyp wählen</v>
      </c>
      <c r="AA27" s="4"/>
      <c r="AB27" s="32"/>
      <c r="AC27" s="32"/>
      <c r="AD27" s="32"/>
      <c r="AE27" s="32"/>
      <c r="AF27" s="32"/>
    </row>
    <row r="28" spans="1:32" x14ac:dyDescent="0.2">
      <c r="A28" s="369"/>
      <c r="B28" s="22" t="s">
        <v>209</v>
      </c>
      <c r="C28" s="39" t="str">
        <f>IF($I$17=TRUE,"P","")</f>
        <v/>
      </c>
      <c r="D28" s="2" t="s">
        <v>117</v>
      </c>
      <c r="E28" s="3" t="s">
        <v>117</v>
      </c>
      <c r="F28" s="3" t="s">
        <v>117</v>
      </c>
      <c r="G28" s="4" t="s">
        <v>117</v>
      </c>
      <c r="H28" s="30" t="str">
        <f t="shared" si="1"/>
        <v>MINERGIE-P Modul</v>
      </c>
      <c r="I28" s="40"/>
      <c r="K28" s="2">
        <v>0</v>
      </c>
      <c r="L28" s="3">
        <v>0</v>
      </c>
      <c r="M28" s="3">
        <v>0</v>
      </c>
      <c r="N28" s="3">
        <v>0</v>
      </c>
      <c r="O28" s="3" t="str">
        <f t="shared" si="4"/>
        <v>Glastyp wählen</v>
      </c>
      <c r="P28" s="4"/>
      <c r="Q28" s="229" t="s">
        <v>668</v>
      </c>
      <c r="R28" s="230">
        <v>0.33</v>
      </c>
      <c r="S28" s="230">
        <v>0.22</v>
      </c>
      <c r="T28" s="230">
        <v>0.42</v>
      </c>
      <c r="U28" s="4" t="s">
        <v>669</v>
      </c>
      <c r="V28" s="2">
        <f t="shared" si="5"/>
        <v>0</v>
      </c>
      <c r="W28" s="3">
        <f t="shared" si="6"/>
        <v>0</v>
      </c>
      <c r="X28" s="3">
        <f t="shared" si="7"/>
        <v>0</v>
      </c>
      <c r="Y28" s="3">
        <f t="shared" si="8"/>
        <v>0</v>
      </c>
      <c r="Z28" s="3" t="str">
        <f t="shared" si="9"/>
        <v>Glastyp wählen</v>
      </c>
      <c r="AA28" s="4"/>
      <c r="AB28" s="32"/>
      <c r="AC28" s="32"/>
      <c r="AD28" s="32"/>
      <c r="AE28" s="32"/>
      <c r="AF28" s="32"/>
    </row>
    <row r="29" spans="1:32" x14ac:dyDescent="0.2">
      <c r="A29" s="370" t="s">
        <v>862</v>
      </c>
      <c r="B29" s="2" t="s">
        <v>210</v>
      </c>
      <c r="C29" s="36" t="str">
        <f>IF($I$18=TRUE,"R","")</f>
        <v/>
      </c>
      <c r="D29" s="2" t="s">
        <v>118</v>
      </c>
      <c r="E29" s="3" t="s">
        <v>118</v>
      </c>
      <c r="F29" s="3" t="s">
        <v>118</v>
      </c>
      <c r="G29" s="4" t="s">
        <v>118</v>
      </c>
      <c r="H29" s="30" t="str">
        <f t="shared" si="1"/>
        <v>Gun</v>
      </c>
      <c r="I29" s="40"/>
      <c r="K29" s="2">
        <v>0</v>
      </c>
      <c r="L29" s="3">
        <v>0</v>
      </c>
      <c r="M29" s="3">
        <v>0</v>
      </c>
      <c r="N29" s="3">
        <v>0</v>
      </c>
      <c r="O29" s="3" t="str">
        <f t="shared" si="4"/>
        <v>Glastyp wählen</v>
      </c>
      <c r="P29" s="4"/>
      <c r="Q29" s="229" t="s">
        <v>670</v>
      </c>
      <c r="R29" s="230">
        <v>0.33</v>
      </c>
      <c r="S29" s="230">
        <v>0.22</v>
      </c>
      <c r="T29" s="230">
        <v>0.42</v>
      </c>
      <c r="U29" s="4" t="s">
        <v>671</v>
      </c>
      <c r="V29" s="2">
        <f t="shared" si="5"/>
        <v>0</v>
      </c>
      <c r="W29" s="3">
        <f t="shared" si="6"/>
        <v>0</v>
      </c>
      <c r="X29" s="3">
        <f t="shared" si="7"/>
        <v>0</v>
      </c>
      <c r="Y29" s="3">
        <f t="shared" si="8"/>
        <v>0</v>
      </c>
      <c r="Z29" s="3" t="str">
        <f t="shared" si="9"/>
        <v>Glastyp wählen</v>
      </c>
      <c r="AA29" s="4"/>
      <c r="AB29" s="32"/>
      <c r="AC29" s="32"/>
      <c r="AD29" s="32"/>
      <c r="AE29" s="32"/>
      <c r="AF29" s="32"/>
    </row>
    <row r="30" spans="1:32" ht="13.5" thickBot="1" x14ac:dyDescent="0.25">
      <c r="A30" s="371" t="s">
        <v>861</v>
      </c>
      <c r="B30" s="31" t="s">
        <v>211</v>
      </c>
      <c r="C30" s="37" t="str">
        <f>IF($I$19=TRUE,"G","")</f>
        <v/>
      </c>
      <c r="D30" s="2" t="s">
        <v>31</v>
      </c>
      <c r="E30" s="3" t="s">
        <v>32</v>
      </c>
      <c r="F30" s="3" t="s">
        <v>33</v>
      </c>
      <c r="G30" s="4" t="s">
        <v>686</v>
      </c>
      <c r="H30" s="30" t="str">
        <f t="shared" si="1"/>
        <v>nach rechts</v>
      </c>
      <c r="I30" s="40" t="b">
        <v>0</v>
      </c>
      <c r="K30" s="2">
        <v>0</v>
      </c>
      <c r="L30" s="3">
        <v>0</v>
      </c>
      <c r="M30" s="3">
        <v>0</v>
      </c>
      <c r="N30" s="3">
        <v>0</v>
      </c>
      <c r="O30" s="3" t="str">
        <f t="shared" si="4"/>
        <v>Glastyp wählen</v>
      </c>
      <c r="P30" s="4"/>
      <c r="Q30" s="2">
        <v>0</v>
      </c>
      <c r="R30" s="3">
        <v>0</v>
      </c>
      <c r="S30" s="3">
        <v>0</v>
      </c>
      <c r="T30" s="3">
        <v>0</v>
      </c>
      <c r="U30" s="4" t="str">
        <f t="shared" ref="U30" si="10">$H$54</f>
        <v>Glastyp wählen</v>
      </c>
      <c r="V30" s="2">
        <f t="shared" si="5"/>
        <v>0</v>
      </c>
      <c r="W30" s="3">
        <f t="shared" si="6"/>
        <v>0</v>
      </c>
      <c r="X30" s="3">
        <f t="shared" si="7"/>
        <v>0</v>
      </c>
      <c r="Y30" s="3">
        <f t="shared" si="8"/>
        <v>0</v>
      </c>
      <c r="Z30" s="3" t="str">
        <f t="shared" si="9"/>
        <v>Glastyp wählen</v>
      </c>
      <c r="AA30" s="4"/>
      <c r="AB30" s="32"/>
      <c r="AC30" s="32"/>
      <c r="AD30" s="32"/>
      <c r="AE30" s="32"/>
      <c r="AF30" s="32"/>
    </row>
    <row r="31" spans="1:32" ht="13.5" thickBot="1" x14ac:dyDescent="0.25">
      <c r="B31" s="32"/>
      <c r="C31" s="43"/>
      <c r="D31" s="41" t="s">
        <v>34</v>
      </c>
      <c r="E31" s="3" t="s">
        <v>35</v>
      </c>
      <c r="F31" s="3" t="s">
        <v>36</v>
      </c>
      <c r="G31" s="4" t="s">
        <v>687</v>
      </c>
      <c r="H31" s="30" t="str">
        <f t="shared" si="1"/>
        <v>nach links</v>
      </c>
      <c r="I31" s="40" t="b">
        <v>0</v>
      </c>
      <c r="K31" s="2">
        <v>0</v>
      </c>
      <c r="L31" s="3">
        <v>0</v>
      </c>
      <c r="M31" s="3">
        <v>0</v>
      </c>
      <c r="N31" s="3">
        <v>0</v>
      </c>
      <c r="O31" s="3" t="str">
        <f t="shared" si="4"/>
        <v>Glastyp wählen</v>
      </c>
      <c r="P31" s="4"/>
      <c r="Q31" s="229" t="s">
        <v>672</v>
      </c>
      <c r="R31" s="230">
        <v>0.33</v>
      </c>
      <c r="S31" s="230">
        <v>0.46</v>
      </c>
      <c r="T31" s="230">
        <v>0.66</v>
      </c>
      <c r="U31" s="4" t="s">
        <v>676</v>
      </c>
      <c r="V31" s="2">
        <f t="shared" si="5"/>
        <v>0</v>
      </c>
      <c r="W31" s="3">
        <f t="shared" si="6"/>
        <v>0</v>
      </c>
      <c r="X31" s="3">
        <f t="shared" si="7"/>
        <v>0</v>
      </c>
      <c r="Y31" s="3">
        <f t="shared" si="8"/>
        <v>0</v>
      </c>
      <c r="Z31" s="3" t="str">
        <f t="shared" si="9"/>
        <v>Glastyp wählen</v>
      </c>
      <c r="AA31" s="4"/>
      <c r="AB31" s="32"/>
      <c r="AC31" s="32"/>
      <c r="AD31" s="32"/>
      <c r="AE31" s="32"/>
      <c r="AF31" s="32"/>
    </row>
    <row r="32" spans="1:32" x14ac:dyDescent="0.2">
      <c r="B32" s="33" t="s">
        <v>217</v>
      </c>
      <c r="C32" s="33"/>
      <c r="D32" s="41" t="s">
        <v>37</v>
      </c>
      <c r="E32" s="3" t="s">
        <v>38</v>
      </c>
      <c r="F32" s="3" t="s">
        <v>39</v>
      </c>
      <c r="G32" s="4" t="s">
        <v>129</v>
      </c>
      <c r="H32" s="30" t="str">
        <f t="shared" si="1"/>
        <v>Breite =</v>
      </c>
      <c r="I32" s="40"/>
      <c r="K32" s="2">
        <v>0</v>
      </c>
      <c r="L32" s="3">
        <v>0</v>
      </c>
      <c r="M32" s="3">
        <v>0</v>
      </c>
      <c r="N32" s="3">
        <v>0</v>
      </c>
      <c r="O32" s="3" t="str">
        <f t="shared" si="4"/>
        <v>Glastyp wählen</v>
      </c>
      <c r="P32" s="4"/>
      <c r="Q32" s="229" t="s">
        <v>673</v>
      </c>
      <c r="R32" s="230">
        <v>0.32</v>
      </c>
      <c r="S32" s="230">
        <v>0.39</v>
      </c>
      <c r="T32" s="230">
        <v>0.57999999999999996</v>
      </c>
      <c r="U32" s="4" t="s">
        <v>677</v>
      </c>
      <c r="V32" s="2">
        <f t="shared" si="5"/>
        <v>0</v>
      </c>
      <c r="W32" s="3">
        <f t="shared" si="6"/>
        <v>0</v>
      </c>
      <c r="X32" s="3">
        <f t="shared" si="7"/>
        <v>0</v>
      </c>
      <c r="Y32" s="3">
        <f t="shared" si="8"/>
        <v>0</v>
      </c>
      <c r="Z32" s="3" t="str">
        <f t="shared" si="9"/>
        <v>Glastyp wählen</v>
      </c>
      <c r="AA32" s="4"/>
      <c r="AB32" s="32"/>
      <c r="AC32" s="32"/>
      <c r="AD32" s="32"/>
      <c r="AE32" s="32"/>
      <c r="AF32" s="32"/>
    </row>
    <row r="33" spans="1:32" x14ac:dyDescent="0.2">
      <c r="B33" s="22"/>
      <c r="C33" s="44"/>
      <c r="D33" s="2" t="s">
        <v>132</v>
      </c>
      <c r="E33" s="3" t="s">
        <v>131</v>
      </c>
      <c r="F33" s="3" t="s">
        <v>40</v>
      </c>
      <c r="G33" s="4" t="s">
        <v>130</v>
      </c>
      <c r="H33" s="30" t="str">
        <f t="shared" si="1"/>
        <v>Griffhöhe:</v>
      </c>
      <c r="I33" s="40"/>
      <c r="K33" s="2">
        <v>0</v>
      </c>
      <c r="L33" s="3">
        <v>0</v>
      </c>
      <c r="M33" s="3">
        <v>0</v>
      </c>
      <c r="N33" s="3">
        <v>0</v>
      </c>
      <c r="O33" s="3" t="str">
        <f t="shared" si="4"/>
        <v>Glastyp wählen</v>
      </c>
      <c r="P33" s="4"/>
      <c r="Q33" s="229" t="s">
        <v>674</v>
      </c>
      <c r="R33" s="230">
        <v>0.32</v>
      </c>
      <c r="S33" s="230">
        <v>0.26</v>
      </c>
      <c r="T33" s="230">
        <v>0.52</v>
      </c>
      <c r="U33" s="4" t="s">
        <v>675</v>
      </c>
      <c r="V33" s="2">
        <f t="shared" si="5"/>
        <v>0</v>
      </c>
      <c r="W33" s="3">
        <f t="shared" si="6"/>
        <v>0</v>
      </c>
      <c r="X33" s="3">
        <f t="shared" si="7"/>
        <v>0</v>
      </c>
      <c r="Y33" s="3">
        <f t="shared" si="8"/>
        <v>0</v>
      </c>
      <c r="Z33" s="3" t="str">
        <f t="shared" si="9"/>
        <v>Glastyp wählen</v>
      </c>
      <c r="AA33" s="4"/>
      <c r="AB33" s="32"/>
      <c r="AC33" s="32"/>
      <c r="AD33" s="32"/>
      <c r="AE33" s="32"/>
      <c r="AF33" s="32"/>
    </row>
    <row r="34" spans="1:32" ht="13.5" thickBot="1" x14ac:dyDescent="0.25">
      <c r="A34" s="279"/>
      <c r="B34" s="47" t="s">
        <v>218</v>
      </c>
      <c r="C34" s="46"/>
      <c r="D34" s="2" t="s">
        <v>41</v>
      </c>
      <c r="E34" s="3" t="s">
        <v>42</v>
      </c>
      <c r="F34" s="3" t="s">
        <v>43</v>
      </c>
      <c r="G34" s="4" t="s">
        <v>133</v>
      </c>
      <c r="H34" s="30" t="str">
        <f t="shared" si="1"/>
        <v xml:space="preserve">Höhe = </v>
      </c>
      <c r="I34" s="40"/>
      <c r="K34" s="2">
        <v>0</v>
      </c>
      <c r="L34" s="3">
        <v>0</v>
      </c>
      <c r="M34" s="3">
        <v>0</v>
      </c>
      <c r="N34" s="3">
        <v>0</v>
      </c>
      <c r="O34" s="3" t="str">
        <f t="shared" si="4"/>
        <v>Glastyp wählen</v>
      </c>
      <c r="P34" s="228"/>
      <c r="Q34" s="2">
        <v>0</v>
      </c>
      <c r="R34" s="3">
        <v>0</v>
      </c>
      <c r="S34" s="3">
        <v>0</v>
      </c>
      <c r="T34" s="3">
        <v>0</v>
      </c>
      <c r="U34" s="4" t="str">
        <f t="shared" ref="U34" si="11">$H$54</f>
        <v>Glastyp wählen</v>
      </c>
      <c r="V34" s="2">
        <f t="shared" si="5"/>
        <v>0</v>
      </c>
      <c r="W34" s="3">
        <f t="shared" si="6"/>
        <v>0</v>
      </c>
      <c r="X34" s="3">
        <f t="shared" si="7"/>
        <v>0</v>
      </c>
      <c r="Y34" s="3">
        <f t="shared" si="8"/>
        <v>0</v>
      </c>
      <c r="Z34" s="3" t="str">
        <f t="shared" si="9"/>
        <v>Glastyp wählen</v>
      </c>
      <c r="AA34" s="4"/>
      <c r="AB34" s="32"/>
      <c r="AC34" s="32"/>
      <c r="AD34" s="32"/>
      <c r="AE34" s="32"/>
      <c r="AF34" s="32"/>
    </row>
    <row r="35" spans="1:32" ht="13.5" thickBot="1" x14ac:dyDescent="0.25">
      <c r="D35" s="2" t="s">
        <v>44</v>
      </c>
      <c r="E35" s="3" t="s">
        <v>45</v>
      </c>
      <c r="F35" s="3" t="s">
        <v>45</v>
      </c>
      <c r="G35" s="4" t="s">
        <v>134</v>
      </c>
      <c r="H35" s="30" t="str">
        <f t="shared" si="1"/>
        <v>Oberfläche:</v>
      </c>
      <c r="I35" s="40"/>
      <c r="K35" s="31">
        <v>0</v>
      </c>
      <c r="L35" s="52">
        <v>0</v>
      </c>
      <c r="M35" s="52">
        <v>0</v>
      </c>
      <c r="N35" s="52">
        <v>0</v>
      </c>
      <c r="O35" s="52" t="str">
        <f t="shared" si="4"/>
        <v>Glastyp wählen</v>
      </c>
      <c r="P35" s="46"/>
      <c r="Q35" s="231" t="s">
        <v>678</v>
      </c>
      <c r="R35" s="232">
        <v>0.32</v>
      </c>
      <c r="S35" s="232">
        <v>0.22</v>
      </c>
      <c r="T35" s="232">
        <v>0.42</v>
      </c>
      <c r="U35" s="46" t="s">
        <v>679</v>
      </c>
      <c r="V35" s="31">
        <f t="shared" si="5"/>
        <v>0</v>
      </c>
      <c r="W35" s="52">
        <f t="shared" si="6"/>
        <v>0</v>
      </c>
      <c r="X35" s="52">
        <f t="shared" si="7"/>
        <v>0</v>
      </c>
      <c r="Y35" s="52">
        <f t="shared" si="8"/>
        <v>0</v>
      </c>
      <c r="Z35" s="52" t="str">
        <f t="shared" si="9"/>
        <v>Glastyp wählen</v>
      </c>
      <c r="AA35" s="46"/>
      <c r="AB35" s="32"/>
      <c r="AC35" s="32"/>
      <c r="AD35" s="32"/>
      <c r="AE35" s="32"/>
      <c r="AF35" s="32"/>
    </row>
    <row r="36" spans="1:32" x14ac:dyDescent="0.2">
      <c r="B36" s="33" t="s">
        <v>219</v>
      </c>
      <c r="C36" s="33"/>
      <c r="D36" s="2" t="s">
        <v>46</v>
      </c>
      <c r="E36" s="3" t="s">
        <v>47</v>
      </c>
      <c r="F36" s="3" t="s">
        <v>136</v>
      </c>
      <c r="G36" s="4" t="s">
        <v>135</v>
      </c>
      <c r="H36" s="30" t="str">
        <f t="shared" si="1"/>
        <v>eloxiert (Qualanod):</v>
      </c>
      <c r="I36" s="40" t="b">
        <v>0</v>
      </c>
      <c r="AB36" s="32"/>
      <c r="AC36" s="32"/>
      <c r="AD36" s="32"/>
      <c r="AE36" s="32"/>
      <c r="AF36" s="32"/>
    </row>
    <row r="37" spans="1:32" x14ac:dyDescent="0.2">
      <c r="B37" s="22" t="s">
        <v>221</v>
      </c>
      <c r="C37" s="44" t="b">
        <v>1</v>
      </c>
      <c r="D37" s="2" t="s">
        <v>48</v>
      </c>
      <c r="E37" s="3" t="s">
        <v>137</v>
      </c>
      <c r="F37" s="3" t="s">
        <v>137</v>
      </c>
      <c r="G37" s="4" t="s">
        <v>137</v>
      </c>
      <c r="H37" s="30" t="str">
        <f t="shared" si="1"/>
        <v>20 my (Standard)</v>
      </c>
      <c r="I37" s="40"/>
    </row>
    <row r="38" spans="1:32" x14ac:dyDescent="0.2">
      <c r="B38" s="2" t="s">
        <v>220</v>
      </c>
      <c r="C38" s="4" t="b">
        <v>1</v>
      </c>
      <c r="D38" s="2" t="s">
        <v>49</v>
      </c>
      <c r="E38" s="3" t="s">
        <v>50</v>
      </c>
      <c r="F38" s="3" t="s">
        <v>51</v>
      </c>
      <c r="G38" s="4" t="s">
        <v>346</v>
      </c>
      <c r="H38" s="30" t="str">
        <f t="shared" si="1"/>
        <v>25 my (Pool/Meer)</v>
      </c>
      <c r="I38" s="40"/>
    </row>
    <row r="39" spans="1:32" ht="13.5" thickBot="1" x14ac:dyDescent="0.25">
      <c r="B39" s="2" t="s">
        <v>222</v>
      </c>
      <c r="C39" s="4" t="b">
        <v>0</v>
      </c>
      <c r="D39" s="2" t="s">
        <v>369</v>
      </c>
      <c r="E39" s="3" t="s">
        <v>370</v>
      </c>
      <c r="F39" s="3" t="s">
        <v>371</v>
      </c>
      <c r="G39" s="4" t="s">
        <v>372</v>
      </c>
      <c r="H39" s="30" t="str">
        <f t="shared" si="1"/>
        <v>pulverbeschichtet:</v>
      </c>
      <c r="I39" s="40" t="b">
        <v>0</v>
      </c>
    </row>
    <row r="40" spans="1:32" x14ac:dyDescent="0.2">
      <c r="A40" s="281" t="s">
        <v>744</v>
      </c>
      <c r="B40" s="2" t="s">
        <v>223</v>
      </c>
      <c r="C40" s="4" t="b">
        <v>0</v>
      </c>
      <c r="D40" s="280" t="s">
        <v>850</v>
      </c>
      <c r="E40" s="316" t="s">
        <v>851</v>
      </c>
      <c r="F40" s="316" t="s">
        <v>852</v>
      </c>
      <c r="G40" s="317" t="s">
        <v>858</v>
      </c>
      <c r="H40" s="30" t="str">
        <f t="shared" si="1"/>
        <v>Vorbehandlung:</v>
      </c>
      <c r="I40" s="40"/>
      <c r="K40" s="56" t="s">
        <v>454</v>
      </c>
      <c r="L40" s="49"/>
      <c r="M40" s="38"/>
      <c r="N40" s="534" t="s">
        <v>606</v>
      </c>
      <c r="O40" s="535"/>
      <c r="P40" s="536"/>
      <c r="Q40" s="56" t="s">
        <v>309</v>
      </c>
      <c r="R40" s="56" t="s">
        <v>514</v>
      </c>
      <c r="S40" s="56" t="s">
        <v>518</v>
      </c>
      <c r="U40" s="33" t="s">
        <v>742</v>
      </c>
      <c r="V40" s="34"/>
    </row>
    <row r="41" spans="1:32" x14ac:dyDescent="0.2">
      <c r="A41" s="87" t="b">
        <f>IF(C41=FALSE,TRUE,(IF(AND(C41=TRUE,'Pos. 1'!F72=""),FALSE,TRUE)))</f>
        <v>1</v>
      </c>
      <c r="B41" s="2" t="s">
        <v>376</v>
      </c>
      <c r="C41" s="4" t="b">
        <v>0</v>
      </c>
      <c r="D41" s="367" t="s">
        <v>52</v>
      </c>
      <c r="E41" s="368" t="s">
        <v>53</v>
      </c>
      <c r="F41" s="368" t="s">
        <v>54</v>
      </c>
      <c r="G41" s="366" t="s">
        <v>138</v>
      </c>
      <c r="H41" s="30" t="str">
        <f t="shared" si="1"/>
        <v>+Voranodisieren</v>
      </c>
      <c r="I41" s="40"/>
      <c r="K41" s="282" t="s">
        <v>455</v>
      </c>
      <c r="L41" s="283">
        <f>IF(OR($I$5=TRUE,$I$6=TRUE),1,0)</f>
        <v>0</v>
      </c>
      <c r="M41" s="284"/>
      <c r="N41" s="192" t="str">
        <f>CONCATENATE("Pos. ",'Pos. 1'!$B$2,".1")</f>
        <v>Pos. 1.1</v>
      </c>
      <c r="O41" s="193" t="b">
        <f>IF(AND('Pos. 1'!AW32&lt;&gt;"",'Pos. 1'!AX32&lt;&gt;""),TRUE,FALSE)</f>
        <v>0</v>
      </c>
      <c r="P41" s="194"/>
      <c r="Q41" s="53"/>
      <c r="R41" s="53"/>
      <c r="S41" s="1">
        <f>COUNTA('Pos. 1'!G20:AP20)</f>
        <v>0</v>
      </c>
      <c r="U41" s="312" t="b">
        <f>IF(L41=0,FALSE,TRUE)</f>
        <v>0</v>
      </c>
      <c r="V41" s="313">
        <f>IF(U41=FALSE,1,0)</f>
        <v>1</v>
      </c>
    </row>
    <row r="42" spans="1:32" x14ac:dyDescent="0.2">
      <c r="A42" s="30" t="b">
        <f>IF(C42=FALSE,TRUE,(IF(AND(C42=TRUE,'Pos. 1'!L72=""),FALSE,TRUE)))</f>
        <v>1</v>
      </c>
      <c r="B42" s="2" t="s">
        <v>377</v>
      </c>
      <c r="C42" s="4" t="b">
        <v>0</v>
      </c>
      <c r="D42" s="2" t="s">
        <v>55</v>
      </c>
      <c r="E42" s="3" t="s">
        <v>56</v>
      </c>
      <c r="F42" s="3" t="s">
        <v>57</v>
      </c>
      <c r="G42" s="4" t="s">
        <v>139</v>
      </c>
      <c r="H42" s="30" t="str">
        <f t="shared" si="1"/>
        <v>Glas-Typ: SG = "Sky-Glass"</v>
      </c>
      <c r="I42" s="40"/>
      <c r="K42" s="285" t="s">
        <v>456</v>
      </c>
      <c r="L42" s="286">
        <f>IF(AND('Pos. 1'!$Y$5&lt;&gt;"",'Pos. 1'!$Y$7&lt;&gt;"",'Pos. 1'!$Y$6&lt;&gt;""),1,0)</f>
        <v>0</v>
      </c>
      <c r="M42" s="287"/>
      <c r="N42" s="192" t="str">
        <f>CONCATENATE("Pos. ",'Pos. 1'!$B$2,".2")</f>
        <v>Pos. 1.2</v>
      </c>
      <c r="O42" s="193" t="b">
        <f>IF(AND('Pos. 1'!AW33&lt;&gt;"",'Pos. 1'!AX33&lt;&gt;""),TRUE,FALSE)</f>
        <v>0</v>
      </c>
      <c r="P42" s="196"/>
      <c r="Q42" s="57">
        <v>1</v>
      </c>
      <c r="R42" s="161" t="s">
        <v>512</v>
      </c>
      <c r="U42" s="285" t="b">
        <f t="shared" ref="U42:U47" si="12">IF(L42=0,FALSE,TRUE)</f>
        <v>0</v>
      </c>
      <c r="V42" s="306">
        <f t="shared" ref="V42:V77" si="13">IF(U42=FALSE,1,0)</f>
        <v>1</v>
      </c>
    </row>
    <row r="43" spans="1:32" x14ac:dyDescent="0.2">
      <c r="A43" s="30" t="b">
        <f>IF(C43=FALSE,TRUE,(IF(AND(C43=TRUE,'Pos. 1'!R72=""),FALSE,TRUE)))</f>
        <v>1</v>
      </c>
      <c r="B43" s="2" t="s">
        <v>378</v>
      </c>
      <c r="C43" s="4" t="b">
        <v>0</v>
      </c>
      <c r="D43" s="2" t="s">
        <v>58</v>
      </c>
      <c r="E43" s="3" t="s">
        <v>59</v>
      </c>
      <c r="F43" s="3" t="s">
        <v>60</v>
      </c>
      <c r="G43" s="4" t="s">
        <v>140</v>
      </c>
      <c r="H43" s="30" t="str">
        <f t="shared" si="1"/>
        <v>Swisspacer-U schwarz</v>
      </c>
      <c r="I43" s="40" t="b">
        <v>0</v>
      </c>
      <c r="K43" s="285" t="s">
        <v>457</v>
      </c>
      <c r="L43" s="286">
        <f>IF(AND('Pos. 1'!$AJ$5&lt;&gt;"",'Pos. 1'!$AJ$6&lt;&gt;"",'Pos. 1'!$AJ$7&lt;&gt;""),1,0)</f>
        <v>0</v>
      </c>
      <c r="M43" s="287"/>
      <c r="N43" s="192" t="str">
        <f>CONCATENATE("Pos. ",'Pos. 1'!$B$2,".3")</f>
        <v>Pos. 1.3</v>
      </c>
      <c r="O43" s="193" t="b">
        <f>IF(AND('Pos. 1'!AW34&lt;&gt;"",'Pos. 1'!AX34&lt;&gt;""),TRUE,FALSE)</f>
        <v>0</v>
      </c>
      <c r="P43" s="196"/>
      <c r="Q43" s="54">
        <v>2</v>
      </c>
      <c r="R43" s="161" t="s">
        <v>513</v>
      </c>
      <c r="U43" s="285" t="b">
        <f t="shared" si="12"/>
        <v>0</v>
      </c>
      <c r="V43" s="306">
        <f t="shared" si="13"/>
        <v>1</v>
      </c>
    </row>
    <row r="44" spans="1:32" x14ac:dyDescent="0.2">
      <c r="A44" s="30" t="b">
        <f>IF(C44=FALSE,TRUE,(IF(AND(C44=TRUE,'Pos. 1'!X72=""),FALSE,TRUE)))</f>
        <v>1</v>
      </c>
      <c r="B44" s="2" t="str">
        <f>IF('Pos. 1'!AB62="","121101/121101","121401/121401")</f>
        <v>121101/121101</v>
      </c>
      <c r="C44" s="4" t="b">
        <v>0</v>
      </c>
      <c r="D44" s="2" t="s">
        <v>61</v>
      </c>
      <c r="E44" s="3" t="s">
        <v>62</v>
      </c>
      <c r="F44" s="3" t="s">
        <v>63</v>
      </c>
      <c r="G44" s="4" t="s">
        <v>141</v>
      </c>
      <c r="H44" s="30" t="str">
        <f t="shared" si="1"/>
        <v>Swisspacer-U grau</v>
      </c>
      <c r="I44" s="40" t="b">
        <v>0</v>
      </c>
      <c r="K44" s="285" t="s">
        <v>458</v>
      </c>
      <c r="L44" s="286">
        <f>IF(OR($I$10=TRUE,$I$11=TRUE,$I$12=TRUE),1,0)</f>
        <v>0</v>
      </c>
      <c r="M44" s="287"/>
      <c r="N44" s="192" t="str">
        <f>CONCATENATE("Pos. ",'Pos. 1'!$B$2,".4")</f>
        <v>Pos. 1.4</v>
      </c>
      <c r="O44" s="193" t="b">
        <f>IF(AND('Pos. 1'!AW35&lt;&gt;"",'Pos. 1'!AX35&lt;&gt;""),TRUE,FALSE)</f>
        <v>0</v>
      </c>
      <c r="P44" s="196"/>
      <c r="Q44" s="54">
        <v>3</v>
      </c>
      <c r="U44" s="285" t="b">
        <f t="shared" si="12"/>
        <v>0</v>
      </c>
      <c r="V44" s="306">
        <f t="shared" si="13"/>
        <v>1</v>
      </c>
    </row>
    <row r="45" spans="1:32" x14ac:dyDescent="0.2">
      <c r="A45" s="30" t="b">
        <f>IF(C45=FALSE,TRUE,(IF(AND(C45=TRUE,'Pos. 1'!H85=""),FALSE,TRUE)))</f>
        <v>1</v>
      </c>
      <c r="B45" s="2" t="s">
        <v>393</v>
      </c>
      <c r="C45" s="4" t="b">
        <v>0</v>
      </c>
      <c r="D45" s="2" t="s">
        <v>111</v>
      </c>
      <c r="E45" s="3" t="s">
        <v>112</v>
      </c>
      <c r="F45" s="3" t="s">
        <v>113</v>
      </c>
      <c r="G45" s="4" t="s">
        <v>114</v>
      </c>
      <c r="H45" s="30" t="str">
        <f t="shared" si="1"/>
        <v>Speziell:</v>
      </c>
      <c r="I45" s="40" t="b">
        <v>0</v>
      </c>
      <c r="K45" s="285" t="s">
        <v>459</v>
      </c>
      <c r="L45" s="286">
        <f>IF(AND('Pos. 1'!$F$10&lt;&gt;"",OR('Pos. 1'!$E$23&lt;&gt;"",'Pos. 1'!$E$24&lt;&gt;"",'Pos. 1'!$E$25&lt;&gt;"",'Pos. 1'!$E$26&lt;&gt;"")),1,0)</f>
        <v>0</v>
      </c>
      <c r="M45" s="287"/>
      <c r="N45" s="192" t="str">
        <f>CONCATENATE("Pos. ",'Pos. 1'!$B$2,".5")</f>
        <v>Pos. 1.5</v>
      </c>
      <c r="O45" s="193" t="b">
        <f>IF(AND('Pos. 1'!AW36&lt;&gt;"",'Pos. 1'!AX36&lt;&gt;""),TRUE,FALSE)</f>
        <v>0</v>
      </c>
      <c r="P45" s="196"/>
      <c r="Q45" s="54">
        <v>4</v>
      </c>
      <c r="U45" s="285" t="b">
        <f t="shared" si="12"/>
        <v>0</v>
      </c>
      <c r="V45" s="306">
        <f t="shared" si="13"/>
        <v>1</v>
      </c>
    </row>
    <row r="46" spans="1:32" x14ac:dyDescent="0.2">
      <c r="A46" s="30" t="b">
        <f>IF(C46=FALSE,TRUE,(IF(AND(C46=TRUE,'Pos. 1'!O85=""),FALSE,TRUE)))</f>
        <v>1</v>
      </c>
      <c r="B46" s="2" t="s">
        <v>394</v>
      </c>
      <c r="C46" s="4" t="b">
        <v>0</v>
      </c>
      <c r="D46" s="2" t="s">
        <v>64</v>
      </c>
      <c r="E46" s="3" t="s">
        <v>65</v>
      </c>
      <c r="F46" s="3" t="s">
        <v>66</v>
      </c>
      <c r="G46" s="4" t="s">
        <v>142</v>
      </c>
      <c r="H46" s="30" t="str">
        <f t="shared" si="1"/>
        <v>Statik:</v>
      </c>
      <c r="I46" s="40"/>
      <c r="K46" s="285" t="s">
        <v>460</v>
      </c>
      <c r="L46" s="286">
        <f>IF(AND($I$13=TRUE,'Pos. 1'!$E$28=""),0,1)</f>
        <v>1</v>
      </c>
      <c r="M46" s="287"/>
      <c r="N46" s="192" t="str">
        <f>CONCATENATE("Pos. ",'Pos. 1'!$B$2,".6")</f>
        <v>Pos. 1.6</v>
      </c>
      <c r="O46" s="193" t="b">
        <f>IF(AND('Pos. 1'!AW37&lt;&gt;"",'Pos. 1'!AX37&lt;&gt;""),TRUE,FALSE)</f>
        <v>0</v>
      </c>
      <c r="P46" s="196"/>
      <c r="Q46" s="54">
        <v>5</v>
      </c>
      <c r="U46" s="285" t="b">
        <f t="shared" si="12"/>
        <v>1</v>
      </c>
      <c r="V46" s="306">
        <f t="shared" si="13"/>
        <v>0</v>
      </c>
    </row>
    <row r="47" spans="1:32" x14ac:dyDescent="0.2">
      <c r="A47" s="30" t="b">
        <f>IF(C47=FALSE,TRUE,(IF(AND(C47=TRUE,'Pos. 1'!V85=""),FALSE,TRUE)))</f>
        <v>1</v>
      </c>
      <c r="B47" s="2" t="str">
        <f>IF('Pos. 1'!AB73="","322301/322301","400419/400419")</f>
        <v>322301/322301</v>
      </c>
      <c r="C47" s="4" t="b">
        <v>0</v>
      </c>
      <c r="D47" s="2" t="s">
        <v>67</v>
      </c>
      <c r="E47" s="3" t="s">
        <v>68</v>
      </c>
      <c r="F47" s="3" t="s">
        <v>69</v>
      </c>
      <c r="G47" s="4" t="s">
        <v>347</v>
      </c>
      <c r="H47" s="30" t="str">
        <f t="shared" si="1"/>
        <v>Windlast:</v>
      </c>
      <c r="I47" s="40"/>
      <c r="K47" s="285" t="s">
        <v>461</v>
      </c>
      <c r="L47" s="288">
        <f>IF(AND($I$13=FALSE,$I$14=FALSE),0,1)</f>
        <v>0</v>
      </c>
      <c r="M47" s="287"/>
      <c r="N47" s="192" t="str">
        <f>CONCATENATE("Pos. ",'Pos. 1'!$B$2,".7")</f>
        <v>Pos. 1.7</v>
      </c>
      <c r="O47" s="193" t="b">
        <f>IF(AND('Pos. 1'!AW38&lt;&gt;"",'Pos. 1'!AX38&lt;&gt;""),TRUE,FALSE)</f>
        <v>0</v>
      </c>
      <c r="P47" s="196"/>
      <c r="Q47" s="54">
        <v>6</v>
      </c>
      <c r="U47" s="285" t="b">
        <f t="shared" si="12"/>
        <v>0</v>
      </c>
      <c r="V47" s="306">
        <f t="shared" si="13"/>
        <v>1</v>
      </c>
    </row>
    <row r="48" spans="1:32" x14ac:dyDescent="0.2">
      <c r="A48" s="30" t="b">
        <f>IF(C48=FALSE,TRUE,(IF(AND(C48=TRUE,'Pos. 1'!H96=""),FALSE,TRUE)))</f>
        <v>1</v>
      </c>
      <c r="B48" s="2" t="s">
        <v>406</v>
      </c>
      <c r="C48" s="4" t="b">
        <v>0</v>
      </c>
      <c r="D48" s="2" t="s">
        <v>70</v>
      </c>
      <c r="E48" s="3" t="s">
        <v>71</v>
      </c>
      <c r="F48" s="3" t="s">
        <v>72</v>
      </c>
      <c r="G48" s="4" t="s">
        <v>348</v>
      </c>
      <c r="H48" s="30" t="str">
        <f t="shared" si="1"/>
        <v>Bemerkung:</v>
      </c>
      <c r="I48" s="40"/>
      <c r="K48" s="285" t="s">
        <v>463</v>
      </c>
      <c r="L48" s="289">
        <f>IF(OR(AND($C$37=FALSE,$C$39=FALSE),(AND($C$38=FALSE,$C$40=FALSE))),0,1)</f>
        <v>1</v>
      </c>
      <c r="M48" s="290">
        <f>IF($L$49=0,0,L48)</f>
        <v>0</v>
      </c>
      <c r="N48" s="192" t="str">
        <f>CONCATENATE("Pos. ",'Pos. 1'!$B$2,".8")</f>
        <v>Pos. 1.8</v>
      </c>
      <c r="O48" s="193" t="b">
        <f>IF(AND('Pos. 1'!AW39&lt;&gt;"",'Pos. 1'!AX39&lt;&gt;""),TRUE,FALSE)</f>
        <v>0</v>
      </c>
      <c r="P48" s="196"/>
      <c r="Q48" s="54">
        <v>7</v>
      </c>
      <c r="U48" s="285" t="b">
        <f>IF(M49=0,FALSE,TRUE)</f>
        <v>0</v>
      </c>
      <c r="V48" s="306">
        <f t="shared" si="13"/>
        <v>1</v>
      </c>
    </row>
    <row r="49" spans="1:22" ht="13.5" thickBot="1" x14ac:dyDescent="0.25">
      <c r="A49" s="185" t="b">
        <f>IF(C49=FALSE,TRUE,(IF(AND(C49=TRUE,'Pos. 1'!O96=""),FALSE,TRUE)))</f>
        <v>1</v>
      </c>
      <c r="B49" s="2" t="s">
        <v>407</v>
      </c>
      <c r="C49" s="4" t="b">
        <v>0</v>
      </c>
      <c r="D49" s="2" t="s">
        <v>73</v>
      </c>
      <c r="E49" s="3" t="s">
        <v>74</v>
      </c>
      <c r="F49" s="3" t="s">
        <v>331</v>
      </c>
      <c r="G49" s="4" t="s">
        <v>349</v>
      </c>
      <c r="H49" s="30" t="str">
        <f t="shared" si="1"/>
        <v>Zubehör:</v>
      </c>
      <c r="I49" s="40"/>
      <c r="K49" s="285" t="s">
        <v>462</v>
      </c>
      <c r="L49" s="291">
        <f>IF(L48=0,0,IF('Pos. 1'!$I$49&gt;0,1,0))</f>
        <v>0</v>
      </c>
      <c r="M49" s="292">
        <f>SUM(L49,M48)</f>
        <v>0</v>
      </c>
      <c r="N49" s="192" t="str">
        <f>CONCATENATE("Pos. ",'Pos. 1'!$B$2,".9")</f>
        <v>Pos. 1.9</v>
      </c>
      <c r="O49" s="193" t="b">
        <f>IF(AND('Pos. 1'!AW40&lt;&gt;"",'Pos. 1'!AX40&lt;&gt;""),TRUE,FALSE)</f>
        <v>0</v>
      </c>
      <c r="P49" s="196"/>
      <c r="Q49" s="54">
        <v>8</v>
      </c>
      <c r="T49" s="315" t="s">
        <v>845</v>
      </c>
      <c r="U49" s="285" t="b">
        <f>IF(AND(L44=1,AND('Pos. 1'!E23="",'Pos. 1'!E24="",'Pos. 1'!E25="")),FALSE,TRUE)</f>
        <v>1</v>
      </c>
      <c r="V49" s="306">
        <f t="shared" si="13"/>
        <v>0</v>
      </c>
    </row>
    <row r="50" spans="1:22" x14ac:dyDescent="0.2">
      <c r="A50" s="1">
        <f>COUNTIF(A41:A49,FALSE)</f>
        <v>0</v>
      </c>
      <c r="B50" s="2" t="s">
        <v>395</v>
      </c>
      <c r="C50" s="4" t="b">
        <v>0</v>
      </c>
      <c r="D50" s="2" t="s">
        <v>730</v>
      </c>
      <c r="E50" s="3" t="s">
        <v>731</v>
      </c>
      <c r="F50" s="3" t="s">
        <v>733</v>
      </c>
      <c r="G50" s="4" t="s">
        <v>732</v>
      </c>
      <c r="H50" s="30" t="str">
        <f t="shared" si="1"/>
        <v>Rinne (siehe unten)</v>
      </c>
      <c r="I50" s="40" t="b">
        <v>0</v>
      </c>
      <c r="K50" s="285" t="s">
        <v>464</v>
      </c>
      <c r="L50" s="293">
        <f>IF(AND(OR($C$53=TRUE,$C$54=TRUE),'Pos. 1'!$Z$42&lt;&gt;"",'Pos. 1'!$T$45&lt;&gt;""),1,0)</f>
        <v>0</v>
      </c>
      <c r="M50" s="287"/>
      <c r="N50" s="192" t="str">
        <f>CONCATENATE("Pos. ",'Pos. 1'!$B$2,".10")</f>
        <v>Pos. 1.10</v>
      </c>
      <c r="O50" s="193" t="b">
        <f>IF(AND('Pos. 1'!AW41&lt;&gt;"",'Pos. 1'!AX41&lt;&gt;""),TRUE,FALSE)</f>
        <v>0</v>
      </c>
      <c r="P50" s="196"/>
      <c r="Q50" s="54">
        <v>9</v>
      </c>
      <c r="U50" s="285" t="b">
        <f>IF(L50=0,FALSE,TRUE)</f>
        <v>0</v>
      </c>
      <c r="V50" s="306">
        <f t="shared" si="13"/>
        <v>1</v>
      </c>
    </row>
    <row r="51" spans="1:22" ht="13.5" thickBot="1" x14ac:dyDescent="0.25">
      <c r="B51" s="2" t="s">
        <v>416</v>
      </c>
      <c r="C51" s="4" t="b">
        <v>0</v>
      </c>
      <c r="D51" s="2" t="s">
        <v>327</v>
      </c>
      <c r="E51" s="3" t="s">
        <v>328</v>
      </c>
      <c r="F51" s="3" t="s">
        <v>329</v>
      </c>
      <c r="G51" s="4" t="s">
        <v>350</v>
      </c>
      <c r="H51" s="30" t="str">
        <f t="shared" si="1"/>
        <v>Wetterschenkel</v>
      </c>
      <c r="I51" s="40" t="b">
        <v>0</v>
      </c>
      <c r="K51" s="285" t="s">
        <v>465</v>
      </c>
      <c r="L51" s="286">
        <f>IF(OR($I$15=TRUE,$I$16=TRUE,$I$17=TRUE,$I$18=TRUE,$I$19=TRUE,$I$20=TRUE,$I$22=TRUE,$I$25=TRUE,$I$125=TRUE),1,0)</f>
        <v>0</v>
      </c>
      <c r="M51" s="287"/>
      <c r="N51" s="195" t="s">
        <v>607</v>
      </c>
      <c r="O51" s="197">
        <f>IF(P51=O52,1,0)</f>
        <v>0</v>
      </c>
      <c r="P51" s="198" t="str">
        <f>CONCATENATE("(",COUNTBLANK('Pos. 1'!AW32:AW41),")")</f>
        <v>(10)</v>
      </c>
      <c r="Q51" s="55">
        <v>10</v>
      </c>
      <c r="U51" s="285" t="b">
        <f t="shared" ref="U51:U55" si="14">IF(L51=0,FALSE,TRUE)</f>
        <v>0</v>
      </c>
      <c r="V51" s="306">
        <f t="shared" si="13"/>
        <v>1</v>
      </c>
    </row>
    <row r="52" spans="1:22" ht="13.5" thickBot="1" x14ac:dyDescent="0.25">
      <c r="B52" s="2"/>
      <c r="C52" s="4"/>
      <c r="D52" s="2" t="s">
        <v>319</v>
      </c>
      <c r="E52" s="3" t="s">
        <v>320</v>
      </c>
      <c r="F52" s="3" t="s">
        <v>321</v>
      </c>
      <c r="G52" s="4" t="s">
        <v>351</v>
      </c>
      <c r="H52" s="30" t="str">
        <f t="shared" si="1"/>
        <v>Standardgrundplatten:</v>
      </c>
      <c r="I52" s="40" t="b">
        <v>0</v>
      </c>
      <c r="K52" s="285" t="s">
        <v>466</v>
      </c>
      <c r="L52" s="286">
        <f>IF(OR(AND($I$36=TRUE,'Pos. 1'!$AM$43&lt;&gt;0,'Pos. 1'!$AR$43&lt;&gt;0,'Pos. 1'!$AM$49&lt;&gt;""),AND($I$39=TRUE,'Pos. 1'!$AM$45&lt;&gt;"",'Pos. 1'!$AM$49&lt;&gt;"",'Pos. 1'!$AM$46&lt;&gt;"",'Pos. 1'!$AM$47&lt;&gt;"")),1,0)</f>
        <v>0</v>
      </c>
      <c r="M52" s="287"/>
      <c r="N52" s="199"/>
      <c r="O52" s="200" t="str">
        <f>CONCATENATE("(",IF(I19=TRUE,COUNTIF(O41:O50,FALSE),""),")")</f>
        <v>()</v>
      </c>
      <c r="P52" s="201"/>
      <c r="U52" s="285" t="b">
        <f t="shared" si="14"/>
        <v>0</v>
      </c>
      <c r="V52" s="306">
        <f t="shared" si="13"/>
        <v>1</v>
      </c>
    </row>
    <row r="53" spans="1:22" x14ac:dyDescent="0.2">
      <c r="B53" s="2" t="s">
        <v>427</v>
      </c>
      <c r="C53" s="4" t="b">
        <v>0</v>
      </c>
      <c r="D53" s="2" t="s">
        <v>75</v>
      </c>
      <c r="E53" s="3" t="s">
        <v>75</v>
      </c>
      <c r="F53" s="3" t="s">
        <v>75</v>
      </c>
      <c r="G53" s="4" t="s">
        <v>75</v>
      </c>
      <c r="H53" s="30" t="str">
        <f t="shared" si="1"/>
        <v>Sun-Box</v>
      </c>
      <c r="I53" s="40"/>
      <c r="K53" s="285" t="s">
        <v>470</v>
      </c>
      <c r="L53" s="286">
        <f>IF('Pos. 1'!AT52=1,1,IF('Pos. 1'!$AE$53&lt;&gt;0,1,0))</f>
        <v>0</v>
      </c>
      <c r="M53" s="287"/>
      <c r="U53" s="285" t="b">
        <f t="shared" si="14"/>
        <v>0</v>
      </c>
      <c r="V53" s="306">
        <f t="shared" si="13"/>
        <v>1</v>
      </c>
    </row>
    <row r="54" spans="1:22" x14ac:dyDescent="0.2">
      <c r="B54" s="2" t="s">
        <v>428</v>
      </c>
      <c r="C54" s="4" t="b">
        <v>0</v>
      </c>
      <c r="D54" s="2" t="s">
        <v>76</v>
      </c>
      <c r="E54" s="3" t="s">
        <v>77</v>
      </c>
      <c r="F54" s="3" t="s">
        <v>78</v>
      </c>
      <c r="G54" s="4" t="s">
        <v>352</v>
      </c>
      <c r="H54" s="30" t="str">
        <f t="shared" si="1"/>
        <v>Glastyp wählen</v>
      </c>
      <c r="I54" s="40"/>
      <c r="K54" s="285" t="s">
        <v>471</v>
      </c>
      <c r="L54" s="286">
        <f>SUM(IF(AND('Pos. 1'!$AE$70&lt;&gt;"",'Pos. 1'!$AN$70&lt;&gt;"",OR($C$60=TRUE,$C$61=TRUE,$C$62=TRUE,$C$63=TRUE)),1,0),M54)</f>
        <v>1</v>
      </c>
      <c r="M54" s="287">
        <f>IF(AND(OR('Pos. 1'!F10="F",'Pos. 1'!F10=""),OR('Pos. 1'!N10="F",'Pos. 1'!N10=""),OR('Pos. 1'!R10="F",'Pos. 1'!R10=""),OR('Pos. 1'!V10="F",'Pos. 1'!V10=""),OR('Pos. 1'!Z10="F",'Pos. 1'!Z10=""),OR('Pos. 1'!AD10="F",'Pos. 1'!AD10=""),OR('Pos. 1'!AH10="F",'Pos. 1'!AH10=""),OR('Pos. 1'!AL10="F",'Pos. 1'!AL10=""),OR('Pos. 1'!AP10="F",'Pos. 1'!AP10="")),1,0)</f>
        <v>1</v>
      </c>
      <c r="U54" s="285" t="b">
        <f t="shared" si="14"/>
        <v>1</v>
      </c>
      <c r="V54" s="306">
        <f t="shared" si="13"/>
        <v>0</v>
      </c>
    </row>
    <row r="55" spans="1:22" x14ac:dyDescent="0.2">
      <c r="B55" s="2" t="s">
        <v>479</v>
      </c>
      <c r="C55" s="4" t="b">
        <v>0</v>
      </c>
      <c r="D55" s="2" t="s">
        <v>79</v>
      </c>
      <c r="E55" s="3" t="s">
        <v>80</v>
      </c>
      <c r="F55" s="3" t="s">
        <v>79</v>
      </c>
      <c r="G55" s="4" t="s">
        <v>79</v>
      </c>
      <c r="H55" s="30" t="str">
        <f t="shared" si="1"/>
        <v>Pos:</v>
      </c>
      <c r="I55" s="40"/>
      <c r="K55" s="285" t="s">
        <v>472</v>
      </c>
      <c r="L55" s="288">
        <f>IF(AND('Pos. 1'!$AM$88&lt;&gt;"",'Pos. 1'!$AE$84&lt;&gt;"",'Pos. 1'!$AM$87&lt;&gt;""),1,0)</f>
        <v>0</v>
      </c>
      <c r="M55" s="287"/>
      <c r="U55" s="285" t="b">
        <f t="shared" si="14"/>
        <v>0</v>
      </c>
      <c r="V55" s="306">
        <f t="shared" si="13"/>
        <v>1</v>
      </c>
    </row>
    <row r="56" spans="1:22" ht="15" customHeight="1" thickBot="1" x14ac:dyDescent="0.25">
      <c r="B56" s="2" t="s">
        <v>480</v>
      </c>
      <c r="C56" s="4" t="b">
        <v>0</v>
      </c>
      <c r="D56" s="2" t="s">
        <v>81</v>
      </c>
      <c r="E56" s="3" t="s">
        <v>82</v>
      </c>
      <c r="F56" s="3" t="s">
        <v>83</v>
      </c>
      <c r="G56" s="4" t="s">
        <v>150</v>
      </c>
      <c r="H56" s="30" t="str">
        <f t="shared" si="1"/>
        <v>Stück:</v>
      </c>
      <c r="I56" s="40"/>
      <c r="K56" s="285" t="s">
        <v>477</v>
      </c>
      <c r="L56" s="289">
        <f>IF(OR($C$41=TRUE,$C$43=TRUE,$C$44=TRUE,AND('Pos. 1'!F10="F",'Pos. 1'!J10="")),1,0)</f>
        <v>0</v>
      </c>
      <c r="M56" s="294">
        <f>SUM(L56:L57)</f>
        <v>0</v>
      </c>
      <c r="U56" s="285" t="b">
        <f>IF(M56=0,FALSE,TRUE)</f>
        <v>0</v>
      </c>
      <c r="V56" s="306">
        <f t="shared" si="13"/>
        <v>1</v>
      </c>
    </row>
    <row r="57" spans="1:22" x14ac:dyDescent="0.2">
      <c r="B57" s="2" t="s">
        <v>481</v>
      </c>
      <c r="C57" s="4" t="b">
        <v>0</v>
      </c>
      <c r="D57" s="2" t="s">
        <v>84</v>
      </c>
      <c r="E57" s="3" t="s">
        <v>85</v>
      </c>
      <c r="F57" s="3" t="s">
        <v>85</v>
      </c>
      <c r="G57" s="4" t="s">
        <v>196</v>
      </c>
      <c r="H57" s="30" t="str">
        <f t="shared" si="1"/>
        <v>Seite:</v>
      </c>
      <c r="I57" s="40"/>
      <c r="K57" s="285" t="s">
        <v>478</v>
      </c>
      <c r="L57" s="291">
        <f>IF(AND($C$42=TRUE,OR($C$55=TRUE,$C$56=TRUE)),1,0)</f>
        <v>0</v>
      </c>
      <c r="M57" s="295"/>
      <c r="O57" s="33" t="s">
        <v>865</v>
      </c>
      <c r="P57" s="49"/>
      <c r="Q57" s="49"/>
      <c r="R57" s="38"/>
      <c r="T57" s="315"/>
      <c r="U57" s="285"/>
      <c r="V57" s="306"/>
    </row>
    <row r="58" spans="1:22" x14ac:dyDescent="0.2">
      <c r="B58" s="2" t="s">
        <v>482</v>
      </c>
      <c r="C58" s="4" t="b">
        <v>0</v>
      </c>
      <c r="D58" s="2" t="s">
        <v>449</v>
      </c>
      <c r="E58" s="3" t="s">
        <v>450</v>
      </c>
      <c r="F58" s="3" t="s">
        <v>451</v>
      </c>
      <c r="G58" s="4" t="s">
        <v>452</v>
      </c>
      <c r="H58" s="30" t="str">
        <f t="shared" si="1"/>
        <v>Achsmass →</v>
      </c>
      <c r="I58" s="40"/>
      <c r="K58" s="285" t="s">
        <v>483</v>
      </c>
      <c r="L58" s="293">
        <f>IF(AND('Pos. 1'!$G$20=0,'Pos. 1'!$K$20=0,'Pos. 1'!$O$20=0,'Pos. 1'!$S$20=0,'Pos. 1'!$W$20=0,'Pos. 1'!$AA$20=0,'Pos. 1'!$AE$20=0,'Pos. 1'!$AI$20=0,'Pos. 1'!$AM$20=0),1,0)</f>
        <v>1</v>
      </c>
      <c r="M58" s="287"/>
      <c r="O58" s="374" t="s">
        <v>866</v>
      </c>
      <c r="P58" s="375" t="s">
        <v>867</v>
      </c>
      <c r="Q58" s="375" t="s">
        <v>869</v>
      </c>
      <c r="R58" s="376" t="s">
        <v>868</v>
      </c>
      <c r="T58" s="315" t="s">
        <v>750</v>
      </c>
      <c r="U58" s="285" t="b">
        <f>IF(AND(L62=1,'Pos. 1'!C11&gt;35),FALSE,TRUE)</f>
        <v>1</v>
      </c>
      <c r="V58" s="306">
        <f t="shared" si="13"/>
        <v>0</v>
      </c>
    </row>
    <row r="59" spans="1:22" x14ac:dyDescent="0.2">
      <c r="B59" s="2"/>
      <c r="C59" s="4"/>
      <c r="D59" s="2" t="s">
        <v>86</v>
      </c>
      <c r="E59" s="3" t="s">
        <v>87</v>
      </c>
      <c r="F59" s="3" t="s">
        <v>88</v>
      </c>
      <c r="G59" s="4" t="s">
        <v>149</v>
      </c>
      <c r="H59" s="30" t="str">
        <f t="shared" si="1"/>
        <v>VSG mit P4A</v>
      </c>
      <c r="I59" s="40"/>
      <c r="K59" s="285" t="s">
        <v>484</v>
      </c>
      <c r="L59" s="296">
        <f>IF(AND($C$49=FALSE,$C$50=FALSE,$C$51=FALSE),0,1)</f>
        <v>0</v>
      </c>
      <c r="M59" s="297">
        <f>SUM(L58:L59)</f>
        <v>1</v>
      </c>
      <c r="O59" s="329" t="s">
        <v>198</v>
      </c>
      <c r="P59" s="372">
        <f>IF(OR('Pos. 1'!$F$10='Sprachen &amp; Rückgabewerte'!$B$10,'Pos. 1'!$F$10='Sprachen &amp; Rückgabewerte'!B11),1,0)</f>
        <v>0</v>
      </c>
      <c r="Q59" s="50">
        <f>IF(P59=1,0,1)</f>
        <v>1</v>
      </c>
      <c r="R59" s="44">
        <f>IF(AND(P59=1,'Pos. 1'!$F$16=""),1,0)</f>
        <v>0</v>
      </c>
      <c r="U59" s="285" t="b">
        <f>IF(M59=0,FALSE,TRUE)</f>
        <v>1</v>
      </c>
      <c r="V59" s="306">
        <f t="shared" si="13"/>
        <v>0</v>
      </c>
    </row>
    <row r="60" spans="1:22" ht="15" customHeight="1" x14ac:dyDescent="0.2">
      <c r="B60" s="2" t="s">
        <v>250</v>
      </c>
      <c r="C60" s="4" t="b">
        <v>0</v>
      </c>
      <c r="D60" s="2" t="s">
        <v>89</v>
      </c>
      <c r="E60" s="3" t="s">
        <v>90</v>
      </c>
      <c r="F60" s="3" t="s">
        <v>310</v>
      </c>
      <c r="G60" s="4" t="s">
        <v>353</v>
      </c>
      <c r="H60" s="30" t="str">
        <f t="shared" si="1"/>
        <v>Insektenschutz</v>
      </c>
      <c r="I60" s="40"/>
      <c r="K60" s="285" t="s">
        <v>485</v>
      </c>
      <c r="L60" s="289">
        <f>IF(AND($C$46=TRUE,OR($C$57=TRUE,$C$58=TRUE)),1,0)</f>
        <v>0</v>
      </c>
      <c r="M60" s="538">
        <f>SUM(L60:L61)</f>
        <v>1</v>
      </c>
      <c r="O60" s="280" t="s">
        <v>199</v>
      </c>
      <c r="P60" s="373">
        <f>IF(OR('Pos. 1'!$J$10='Sprachen &amp; Rückgabewerte'!$B$10,'Pos. 1'!$J$10='Sprachen &amp; Rückgabewerte'!B11),1,0)</f>
        <v>0</v>
      </c>
      <c r="Q60" s="3">
        <f t="shared" ref="Q60:Q68" si="15">IF(P60=1,0,1)</f>
        <v>1</v>
      </c>
      <c r="R60" s="4">
        <f>IF(AND(P60=1,'Pos. 1'!$J$16=""),1,0)</f>
        <v>0</v>
      </c>
      <c r="U60" s="310" t="b">
        <f>IF(M60=0,FALSE,TRUE)</f>
        <v>1</v>
      </c>
      <c r="V60" s="306">
        <f t="shared" si="13"/>
        <v>0</v>
      </c>
    </row>
    <row r="61" spans="1:22" ht="12.75" customHeight="1" x14ac:dyDescent="0.2">
      <c r="B61" s="2" t="s">
        <v>251</v>
      </c>
      <c r="C61" s="4" t="b">
        <v>0</v>
      </c>
      <c r="D61" s="9" t="s">
        <v>148</v>
      </c>
      <c r="E61" s="10" t="s">
        <v>148</v>
      </c>
      <c r="F61" s="10" t="s">
        <v>148</v>
      </c>
      <c r="G61" s="11" t="s">
        <v>148</v>
      </c>
      <c r="H61" s="30" t="str">
        <f t="shared" si="1"/>
        <v>Standard = 1050mm</v>
      </c>
      <c r="I61" s="40"/>
      <c r="K61" s="285"/>
      <c r="L61" s="291">
        <f>IF(C46=FALSE,1,0)</f>
        <v>1</v>
      </c>
      <c r="M61" s="539"/>
      <c r="O61" s="280" t="s">
        <v>200</v>
      </c>
      <c r="P61" s="373">
        <f>IF(OR('Pos. 1'!$N$10='Sprachen &amp; Rückgabewerte'!$B$10,'Pos. 1'!$N$10='Sprachen &amp; Rückgabewerte'!B11),1,0)</f>
        <v>0</v>
      </c>
      <c r="Q61" s="3">
        <f t="shared" si="15"/>
        <v>1</v>
      </c>
      <c r="R61" s="4">
        <f>IF(AND(P61=1,'Pos. 1'!$N$16=""),1,0)</f>
        <v>0</v>
      </c>
      <c r="U61" s="285"/>
      <c r="V61" s="306"/>
    </row>
    <row r="62" spans="1:22" x14ac:dyDescent="0.2">
      <c r="B62" s="2" t="s">
        <v>252</v>
      </c>
      <c r="C62" s="4" t="b">
        <v>0</v>
      </c>
      <c r="D62" s="2" t="s">
        <v>143</v>
      </c>
      <c r="E62" s="3" t="s">
        <v>144</v>
      </c>
      <c r="F62" s="3" t="s">
        <v>145</v>
      </c>
      <c r="G62" s="4" t="s">
        <v>146</v>
      </c>
      <c r="H62" s="30" t="str">
        <f t="shared" si="1"/>
        <v>RC2: zwingend 1050mm</v>
      </c>
      <c r="I62" s="40"/>
      <c r="K62" s="285" t="s">
        <v>510</v>
      </c>
      <c r="L62" s="289">
        <f>IF(OR(AND('Pos. 1'!$F$10="L",'Pos. 1'!$J$10="R"),AND('Pos. 1'!$J$10="L",'Pos. 1'!$N$10="R"),AND('Pos. 1'!$N$10="L",'Pos. 1'!$R$10="R"),AND('Pos. 1'!$R$10="L",'Pos. 1'!$V$10="R"),AND('Pos. 1'!$V$10="L",'Pos. 1'!$Z$10="R"),AND('Pos. 1'!$Z$10="L",'Pos. 1'!$AD$10="R"),AND('Pos. 1'!$AD$10="L",'Pos. 1'!$AH$10="R"),AND('Pos. 1'!$AH$10="L",'Pos. 1'!$AL$10="R"),AND('Pos. 1'!$AL$10="L",'Pos. 1'!$AP$10="R"),AND('Pos. 1'!F10="F",'Pos. 1'!J10="R"),AND('Pos. 1'!J10="F",'Pos. 1'!N10="R"),AND('Pos. 1'!N10="F",'Pos. 1'!R10="R"),AND('Pos. 1'!R10="F",'Pos. 1'!V10="R"),AND('Pos. 1'!V10="F",'Pos. 1'!Z10="R"),AND('Pos. 1'!Z10="F",'Pos. 1'!AD10="R"),AND('Pos. 1'!AD10="F",'Pos. 1'!AH10="R"),AND('Pos. 1'!AH10="F",'Pos. 1'!AL10="R"),AND('Pos. 1'!AL10="F",'Pos. 1'!AP10="R"),AND('Pos. 1'!F10="L",'Pos. 1'!J10="F"),AND('Pos. 1'!J10="L",'Pos. 1'!N10="F"),AND('Pos. 1'!N10="L",'Pos. 1'!R10="F"),AND('Pos. 1'!R10="L",'Pos. 1'!V10="F"),AND('Pos. 1'!V10="L",'Pos. 1'!Z10="F"),AND('Pos. 1'!Z10="L",'Pos. 1'!AD10="F"),AND('Pos. 1'!AD10="L",'Pos. 1'!AH10="F"),AND('Pos. 1'!AH10="L",'Pos. 1'!AL10="F"),AND('Pos. 1'!AL10="L",'Pos. 1'!AP10="F")),1,0)</f>
        <v>0</v>
      </c>
      <c r="M62" s="294">
        <f>IF(AND(L58=0,SUM(L62:L65)=2),0,SUM(L62:L65))</f>
        <v>1</v>
      </c>
      <c r="O62" s="280" t="s">
        <v>201</v>
      </c>
      <c r="P62" s="373">
        <f>IF(OR('Pos. 1'!$R$10='Sprachen &amp; Rückgabewerte'!$B$10,'Pos. 1'!$R$10='Sprachen &amp; Rückgabewerte'!B11),1,0)</f>
        <v>0</v>
      </c>
      <c r="Q62" s="3">
        <f t="shared" si="15"/>
        <v>1</v>
      </c>
      <c r="R62" s="4">
        <f>IF(AND(P62=1,'Pos. 1'!$R$16=""),1,0)</f>
        <v>0</v>
      </c>
      <c r="U62" s="285" t="b">
        <f>IF(OR(M62=2,M62=3),FALSE,TRUE)</f>
        <v>1</v>
      </c>
      <c r="V62" s="306">
        <f t="shared" si="13"/>
        <v>0</v>
      </c>
    </row>
    <row r="63" spans="1:22" ht="15.75" customHeight="1" thickBot="1" x14ac:dyDescent="0.25">
      <c r="B63" s="31" t="s">
        <v>253</v>
      </c>
      <c r="C63" s="46" t="b">
        <v>0</v>
      </c>
      <c r="D63" s="2" t="s">
        <v>147</v>
      </c>
      <c r="E63" s="3" t="s">
        <v>147</v>
      </c>
      <c r="F63" s="3" t="s">
        <v>147</v>
      </c>
      <c r="G63" s="4" t="s">
        <v>147</v>
      </c>
      <c r="H63" s="30" t="str">
        <f t="shared" si="1"/>
        <v>min: RV=200 MVv=750</v>
      </c>
      <c r="I63" s="40"/>
      <c r="K63" s="285"/>
      <c r="L63" s="298">
        <f>IF(AND('Pos. 1'!G20="",'Pos. 1'!K20="",'Pos. 1'!O20="",'Pos. 1'!S20="",'Pos. 1'!W20="",'Pos. 1'!AA20="",'Pos. 1'!AE20="",'Pos. 1'!AI20="",'Pos. 1'!AM20=""),1,2)</f>
        <v>1</v>
      </c>
      <c r="M63" s="299"/>
      <c r="O63" s="280" t="s">
        <v>202</v>
      </c>
      <c r="P63" s="373">
        <f>IF(OR('Pos. 1'!$V$10='Sprachen &amp; Rückgabewerte'!$B$10,'Pos. 1'!$V$10='Sprachen &amp; Rückgabewerte'!B11),1,0)</f>
        <v>0</v>
      </c>
      <c r="Q63" s="3">
        <f t="shared" si="15"/>
        <v>1</v>
      </c>
      <c r="R63" s="4">
        <f>IF(AND(P63=1,'Pos. 1'!$V$16=""),1,0)</f>
        <v>0</v>
      </c>
      <c r="T63" s="315" t="s">
        <v>758</v>
      </c>
      <c r="U63" s="285" t="b">
        <f>IF('Pos. 1'!AX25="",FALSE,TRUE)</f>
        <v>0</v>
      </c>
      <c r="V63" s="306">
        <f>IF(U63=FALSE,1,0)</f>
        <v>1</v>
      </c>
    </row>
    <row r="64" spans="1:22" ht="15" customHeight="1" x14ac:dyDescent="0.2">
      <c r="B64" s="181" t="s">
        <v>575</v>
      </c>
      <c r="C64" s="182">
        <f>IF(OR($C$60=TRUE,$C$61=TRUE,$C$62=TRUE,$C$63=TRUE),1,0)</f>
        <v>0</v>
      </c>
      <c r="D64" s="2" t="s">
        <v>151</v>
      </c>
      <c r="E64" s="3" t="s">
        <v>255</v>
      </c>
      <c r="F64" s="3" t="s">
        <v>279</v>
      </c>
      <c r="G64" s="4" t="s">
        <v>293</v>
      </c>
      <c r="H64" s="30" t="str">
        <f t="shared" si="1"/>
        <v>Verschlussgriffe:</v>
      </c>
      <c r="I64" s="40"/>
      <c r="K64" s="285"/>
      <c r="L64" s="298">
        <f>IF(AND($C$45=FALSE,$C$46=FALSE,$C$47=FALSE,$C$48=FALSE),0,1)</f>
        <v>0</v>
      </c>
      <c r="M64" s="299"/>
      <c r="O64" s="280" t="s">
        <v>203</v>
      </c>
      <c r="P64" s="373">
        <f>IF(OR('Pos. 1'!$Z$10='Sprachen &amp; Rückgabewerte'!$B$10,'Pos. 1'!$Z$10='Sprachen &amp; Rückgabewerte'!B11),1,0)</f>
        <v>0</v>
      </c>
      <c r="Q64" s="3">
        <f t="shared" si="15"/>
        <v>1</v>
      </c>
      <c r="R64" s="4">
        <f>IF(AND(P64=1,'Pos. 1'!$Z$16=""),1,0)</f>
        <v>0</v>
      </c>
      <c r="T64" s="315" t="s">
        <v>765</v>
      </c>
      <c r="U64" s="285" t="b">
        <f>IF('Pos. 1'!AM87="",FALSE,TRUE)</f>
        <v>0</v>
      </c>
      <c r="V64" s="306">
        <f>IF(U64=FALSE,1,0)</f>
        <v>1</v>
      </c>
    </row>
    <row r="65" spans="2:23" ht="15.75" customHeight="1" thickBot="1" x14ac:dyDescent="0.25">
      <c r="B65" s="89"/>
      <c r="C65" s="88"/>
      <c r="D65" s="2" t="s">
        <v>155</v>
      </c>
      <c r="E65" s="3" t="s">
        <v>256</v>
      </c>
      <c r="F65" s="3" t="s">
        <v>311</v>
      </c>
      <c r="G65" s="317" t="s">
        <v>793</v>
      </c>
      <c r="H65" s="30" t="str">
        <f t="shared" si="1"/>
        <v>mit Verschlussraster (Druckknopf)</v>
      </c>
      <c r="I65" s="40"/>
      <c r="K65" s="285"/>
      <c r="L65" s="291">
        <f>IF(AND('Pos. 1'!H11="",'Pos. 1'!I11="",'Pos. 1'!L11="",'Pos. 1'!M11="",'Pos. 1'!P11="",'Pos. 1'!Q11="",'Pos. 1'!T11="",'Pos. 1'!U11="",'Pos. 1'!X11="",'Pos. 1'!Y11="",'Pos. 1'!AB11="",'Pos. 1'!AC11="",'Pos. 1'!AF11="",'Pos. 1'!AG11="",'Pos. 1'!AJ11="",'Pos. 1'!AK11="",'Pos. 1'!AN11="",'Pos. 1'!AO11=""),0,1)</f>
        <v>0</v>
      </c>
      <c r="M65" s="295"/>
      <c r="O65" s="280" t="s">
        <v>204</v>
      </c>
      <c r="P65" s="373">
        <f>IF(OR('Pos. 1'!$AD$10='Sprachen &amp; Rückgabewerte'!$B$10,'Pos. 1'!$AD$10='Sprachen &amp; Rückgabewerte'!B11),1,0)</f>
        <v>0</v>
      </c>
      <c r="Q65" s="3">
        <f t="shared" si="15"/>
        <v>1</v>
      </c>
      <c r="R65" s="4">
        <f>IF(AND(P65=1,'Pos. 1'!$AD$16=""),1,0)</f>
        <v>0</v>
      </c>
      <c r="U65" s="285"/>
      <c r="V65" s="306"/>
    </row>
    <row r="66" spans="2:23" ht="25.5" x14ac:dyDescent="0.2">
      <c r="B66" s="187" t="s">
        <v>576</v>
      </c>
      <c r="C66" s="88"/>
      <c r="D66" s="2" t="s">
        <v>430</v>
      </c>
      <c r="E66" s="3" t="s">
        <v>431</v>
      </c>
      <c r="F66" s="3" t="s">
        <v>433</v>
      </c>
      <c r="G66" s="4" t="s">
        <v>432</v>
      </c>
      <c r="H66" s="30" t="str">
        <f t="shared" si="1"/>
        <v>mit Verschlussraster (Zylinder)</v>
      </c>
      <c r="I66" s="40"/>
      <c r="K66" s="300" t="s">
        <v>579</v>
      </c>
      <c r="L66" s="289" t="b">
        <f>IF(AND($I$71=TRUE,'Pos. 1'!$AP$74="",'Pos. 1'!$AP$75="",'Pos. 1'!$AP$76=""),FALSE,TRUE)</f>
        <v>1</v>
      </c>
      <c r="M66" s="294" t="b">
        <f>IF(OR($L$66=FALSE,$L$67=FALSE,$L$68=FALSE,L69=FALSE),FALSE,TRUE)</f>
        <v>0</v>
      </c>
      <c r="O66" s="280" t="s">
        <v>205</v>
      </c>
      <c r="P66" s="373">
        <f>IF(OR('Pos. 1'!$AH$10='Sprachen &amp; Rückgabewerte'!$B$10,'Pos. 1'!$AH$10='Sprachen &amp; Rückgabewerte'!B11),1,0)</f>
        <v>0</v>
      </c>
      <c r="Q66" s="3">
        <f t="shared" si="15"/>
        <v>1</v>
      </c>
      <c r="R66" s="4">
        <f>IF(AND(P66=1,'Pos. 1'!$AH$16=""),1,0)</f>
        <v>0</v>
      </c>
      <c r="U66" s="285" t="b">
        <f>M66</f>
        <v>0</v>
      </c>
      <c r="V66" s="306">
        <f t="shared" si="13"/>
        <v>1</v>
      </c>
    </row>
    <row r="67" spans="2:23" ht="15" customHeight="1" x14ac:dyDescent="0.2">
      <c r="B67" s="186"/>
      <c r="C67" s="88"/>
      <c r="D67" s="2" t="s">
        <v>152</v>
      </c>
      <c r="E67" s="3" t="s">
        <v>257</v>
      </c>
      <c r="F67" s="3" t="s">
        <v>312</v>
      </c>
      <c r="G67" s="4" t="s">
        <v>354</v>
      </c>
      <c r="H67" s="30" t="str">
        <f t="shared" si="1"/>
        <v>ohne Verschlussraster</v>
      </c>
      <c r="I67" s="40"/>
      <c r="K67" s="300" t="s">
        <v>580</v>
      </c>
      <c r="L67" s="301" t="b">
        <f>IF('Pos. 1'!AN78="",FALSE,TRUE)</f>
        <v>0</v>
      </c>
      <c r="M67" s="299"/>
      <c r="O67" s="280" t="s">
        <v>206</v>
      </c>
      <c r="P67" s="373">
        <f>IF(OR('Pos. 1'!$AL$10='Sprachen &amp; Rückgabewerte'!$B$10,'Pos. 1'!$AL$10='Sprachen &amp; Rückgabewerte'!B11),1,0)</f>
        <v>0</v>
      </c>
      <c r="Q67" s="3">
        <f t="shared" si="15"/>
        <v>1</v>
      </c>
      <c r="R67" s="4">
        <f>IF(AND(P67=1,'Pos. 1'!$AL$16=""),1,0)</f>
        <v>0</v>
      </c>
      <c r="T67" s="315" t="s">
        <v>864</v>
      </c>
      <c r="U67" s="285" t="b">
        <f>IF(R69&gt;0,FALSE,TRUE)</f>
        <v>1</v>
      </c>
      <c r="V67" s="306">
        <f>IF(U67=FALSE,1,0)</f>
        <v>0</v>
      </c>
      <c r="W67" s="410"/>
    </row>
    <row r="68" spans="2:23" ht="15" customHeight="1" x14ac:dyDescent="0.2">
      <c r="B68" s="30" t="str">
        <f>$H$112</f>
        <v>mit CFK</v>
      </c>
      <c r="C68" s="88"/>
      <c r="D68" s="2" t="s">
        <v>153</v>
      </c>
      <c r="E68" s="3" t="s">
        <v>258</v>
      </c>
      <c r="F68" s="3" t="s">
        <v>281</v>
      </c>
      <c r="G68" s="4" t="s">
        <v>355</v>
      </c>
      <c r="H68" s="30" t="str">
        <f t="shared" si="1"/>
        <v>2-Punkt Verriegelung</v>
      </c>
      <c r="I68" s="40"/>
      <c r="J68" s="1" t="str">
        <f>H68</f>
        <v>2-Punkt Verriegelung</v>
      </c>
      <c r="K68" s="300" t="s">
        <v>581</v>
      </c>
      <c r="L68" s="301" t="b">
        <f>IF('Pos. 1'!AN79="",FALSE,TRUE)</f>
        <v>0</v>
      </c>
      <c r="M68" s="299"/>
      <c r="O68" s="280" t="s">
        <v>207</v>
      </c>
      <c r="P68" s="373">
        <f>IF(OR('Pos. 1'!$AP$10='Sprachen &amp; Rückgabewerte'!$B$10,'Pos. 1'!$AP$10='Sprachen &amp; Rückgabewerte'!B11),1,0)</f>
        <v>0</v>
      </c>
      <c r="Q68" s="3">
        <f t="shared" si="15"/>
        <v>1</v>
      </c>
      <c r="R68" s="4">
        <f>IF(AND(P68=1,'Pos. 1'!$AP$16=""),1,0)</f>
        <v>0</v>
      </c>
      <c r="T68" s="315" t="s">
        <v>910</v>
      </c>
      <c r="U68" s="285" t="b">
        <f>IF('Pos. 1'!AQ96="",FALSE,TRUE)</f>
        <v>0</v>
      </c>
      <c r="V68" s="306">
        <f t="shared" ref="V68:V69" si="16">IF(U68=FALSE,1,0)</f>
        <v>1</v>
      </c>
      <c r="W68" s="410">
        <f>SUM(V68:V69)</f>
        <v>1</v>
      </c>
    </row>
    <row r="69" spans="2:23" ht="15" customHeight="1" thickBot="1" x14ac:dyDescent="0.25">
      <c r="B69" s="30" t="str">
        <f>$H$113</f>
        <v>ohne CFK</v>
      </c>
      <c r="C69" s="88"/>
      <c r="D69" s="2" t="s">
        <v>154</v>
      </c>
      <c r="E69" s="3" t="s">
        <v>259</v>
      </c>
      <c r="F69" s="3" t="s">
        <v>280</v>
      </c>
      <c r="G69" s="4" t="s">
        <v>356</v>
      </c>
      <c r="H69" s="30" t="str">
        <f t="shared" si="1"/>
        <v>3-Punkt Verriegelung</v>
      </c>
      <c r="I69" s="40"/>
      <c r="J69" s="1" t="str">
        <f>H69</f>
        <v>3-Punkt Verriegelung</v>
      </c>
      <c r="K69" s="300" t="s">
        <v>582</v>
      </c>
      <c r="L69" s="302" t="b">
        <f>IF('Pos. 1'!$AN$80&lt;&gt;"",TRUE,FALSE)</f>
        <v>0</v>
      </c>
      <c r="M69" s="295"/>
      <c r="O69" s="377"/>
      <c r="P69" s="104"/>
      <c r="Q69" s="378" t="s">
        <v>870</v>
      </c>
      <c r="R69" s="46">
        <f>IF(I20=TRUE,SUM(R59:R68),0)</f>
        <v>0</v>
      </c>
      <c r="T69" s="315" t="s">
        <v>911</v>
      </c>
      <c r="U69" s="285" t="b">
        <f>IF(AND('Pos. 1'!AQ96='Sprachen &amp; Rückgabewerte'!H95,'Pos. 1'!AW96=""),FALSE,TRUE)</f>
        <v>1</v>
      </c>
      <c r="V69" s="306">
        <f t="shared" si="16"/>
        <v>0</v>
      </c>
    </row>
    <row r="70" spans="2:23" x14ac:dyDescent="0.2">
      <c r="B70" s="30"/>
      <c r="C70" s="88"/>
      <c r="D70" s="2" t="s">
        <v>254</v>
      </c>
      <c r="E70" s="3" t="s">
        <v>260</v>
      </c>
      <c r="F70" s="3" t="s">
        <v>282</v>
      </c>
      <c r="G70" s="4" t="s">
        <v>294</v>
      </c>
      <c r="H70" s="30" t="str">
        <f t="shared" si="1"/>
        <v>Befestigung:</v>
      </c>
      <c r="I70" s="40"/>
      <c r="K70" s="285" t="s">
        <v>605</v>
      </c>
      <c r="L70" s="303">
        <f>IF(AND(I19=TRUE,O51=1),1,0)</f>
        <v>0</v>
      </c>
      <c r="M70" s="297"/>
      <c r="O70" s="279"/>
      <c r="U70" s="285" t="b">
        <f>IF(AND(I19=TRUE,O51&lt;&gt;1),FALSE,TRUE)</f>
        <v>1</v>
      </c>
      <c r="V70" s="306">
        <f t="shared" si="13"/>
        <v>0</v>
      </c>
    </row>
    <row r="71" spans="2:23" x14ac:dyDescent="0.2">
      <c r="B71" s="30" t="str">
        <f>$H$114</f>
        <v>mit Stahl</v>
      </c>
      <c r="C71" s="88"/>
      <c r="D71" s="2" t="s">
        <v>306</v>
      </c>
      <c r="E71" s="3" t="s">
        <v>307</v>
      </c>
      <c r="F71" s="3" t="s">
        <v>308</v>
      </c>
      <c r="G71" s="4" t="s">
        <v>295</v>
      </c>
      <c r="H71" s="30" t="str">
        <f t="shared" si="1"/>
        <v>Universalschrauben (A2):</v>
      </c>
      <c r="I71" s="40" t="b">
        <v>0</v>
      </c>
      <c r="K71" s="285" t="s">
        <v>683</v>
      </c>
      <c r="L71" s="303">
        <f>IF(OR('Pos. 1'!$F$10='Sprachen &amp; Rückgabewerte'!$B$14,'Pos. 1'!$J$10='Sprachen &amp; Rückgabewerte'!$B$14,'Pos. 1'!$N$10='Sprachen &amp; Rückgabewerte'!B14,'Pos. 1'!$R$10='Sprachen &amp; Rückgabewerte'!$B$14,'Pos. 1'!$V$10='Sprachen &amp; Rückgabewerte'!$B$14,'Pos. 1'!$Z$10='Sprachen &amp; Rückgabewerte'!$B$14,'Pos. 1'!$AD$10='Sprachen &amp; Rückgabewerte'!$B$14,'Pos. 1'!$AH$10='Sprachen &amp; Rückgabewerte'!$B$14,'Pos. 1'!$AL$10='Sprachen &amp; Rückgabewerte'!$B$14,'Pos. 1'!$AP$10='Sprachen &amp; Rückgabewerte'!$B$14),0,1)</f>
        <v>1</v>
      </c>
      <c r="M71" s="297">
        <f>IF(AND(L71=0,'Pos. 1'!AW48=""),0,1)</f>
        <v>1</v>
      </c>
      <c r="U71" s="285" t="b">
        <f>IF(M71=1,TRUE,FALSE)</f>
        <v>1</v>
      </c>
      <c r="V71" s="306">
        <f t="shared" si="13"/>
        <v>0</v>
      </c>
    </row>
    <row r="72" spans="2:23" x14ac:dyDescent="0.2">
      <c r="B72" s="30" t="str">
        <f>$H$115</f>
        <v>ohne Stahl</v>
      </c>
      <c r="C72" s="88"/>
      <c r="D72" s="2" t="s">
        <v>156</v>
      </c>
      <c r="E72" s="3" t="s">
        <v>156</v>
      </c>
      <c r="F72" s="3" t="s">
        <v>156</v>
      </c>
      <c r="G72" s="3" t="s">
        <v>156</v>
      </c>
      <c r="H72" s="30" t="str">
        <f t="shared" ref="H72:H88" si="17">IF($B$3=$A$3,D72,IF($B$3=$A$4,E72,IF($B$3=$A$5,F72,IF($B$3=$A$6,G72,""))))</f>
        <v>L=52mm</v>
      </c>
      <c r="I72" s="40"/>
      <c r="J72" s="1" t="str">
        <f>H72</f>
        <v>L=52mm</v>
      </c>
      <c r="K72" s="304" t="s">
        <v>743</v>
      </c>
      <c r="L72" s="305">
        <f>C95</f>
        <v>6</v>
      </c>
      <c r="M72" s="306"/>
      <c r="U72" s="285" t="b">
        <f>IF(AND(L72&gt;0,I50=TRUE),FALSE,TRUE)</f>
        <v>1</v>
      </c>
      <c r="V72" s="306">
        <f t="shared" si="13"/>
        <v>0</v>
      </c>
    </row>
    <row r="73" spans="2:23" x14ac:dyDescent="0.2">
      <c r="B73" s="30"/>
      <c r="C73" s="88"/>
      <c r="D73" s="2" t="s">
        <v>157</v>
      </c>
      <c r="E73" s="3" t="s">
        <v>157</v>
      </c>
      <c r="F73" s="3" t="s">
        <v>157</v>
      </c>
      <c r="G73" s="3" t="s">
        <v>157</v>
      </c>
      <c r="H73" s="30" t="str">
        <f t="shared" si="17"/>
        <v>L=82mm</v>
      </c>
      <c r="I73" s="40"/>
      <c r="J73" s="1" t="str">
        <f>H73</f>
        <v>L=82mm</v>
      </c>
      <c r="K73" s="304" t="s">
        <v>745</v>
      </c>
      <c r="L73" s="305">
        <f>A50</f>
        <v>0</v>
      </c>
      <c r="M73" s="306"/>
      <c r="T73" s="279"/>
      <c r="U73" s="285" t="b">
        <f>IF(L73=0,TRUE,FALSE)</f>
        <v>1</v>
      </c>
      <c r="V73" s="306">
        <f t="shared" si="13"/>
        <v>0</v>
      </c>
    </row>
    <row r="74" spans="2:23" x14ac:dyDescent="0.2">
      <c r="B74" s="30" t="str">
        <f>$H$120</f>
        <v>mit AL.</v>
      </c>
      <c r="C74" s="88"/>
      <c r="D74" s="2" t="s">
        <v>158</v>
      </c>
      <c r="E74" s="3" t="s">
        <v>158</v>
      </c>
      <c r="F74" s="3" t="s">
        <v>158</v>
      </c>
      <c r="G74" s="3" t="s">
        <v>158</v>
      </c>
      <c r="H74" s="30" t="str">
        <f t="shared" si="17"/>
        <v>L=112mm</v>
      </c>
      <c r="I74" s="40"/>
      <c r="J74" s="1" t="str">
        <f>H74</f>
        <v>L=112mm</v>
      </c>
      <c r="K74" s="304" t="s">
        <v>327</v>
      </c>
      <c r="L74" s="305" t="b">
        <f>IF(AND(I51=TRUE,'Pos. 1'!AP86=""),FALSE,TRUE)</f>
        <v>1</v>
      </c>
      <c r="M74" s="306"/>
      <c r="U74" s="285" t="b">
        <f>L74</f>
        <v>1</v>
      </c>
      <c r="V74" s="306">
        <f t="shared" si="13"/>
        <v>0</v>
      </c>
    </row>
    <row r="75" spans="2:23" x14ac:dyDescent="0.2">
      <c r="B75" s="30" t="str">
        <f>$H$121</f>
        <v>ohne AL.</v>
      </c>
      <c r="C75" s="88"/>
      <c r="D75" s="280" t="s">
        <v>871</v>
      </c>
      <c r="E75" s="316" t="s">
        <v>872</v>
      </c>
      <c r="F75" s="316" t="s">
        <v>873</v>
      </c>
      <c r="G75" s="317" t="s">
        <v>874</v>
      </c>
      <c r="H75" s="30" t="str">
        <f t="shared" si="17"/>
        <v>(VE à 100 Stk.)</v>
      </c>
      <c r="I75" s="40"/>
      <c r="K75" s="304" t="s">
        <v>746</v>
      </c>
      <c r="L75" s="305" t="b">
        <f>IF(AND(I22=TRUE,'Pos. 1'!AL39=""),FALSE,TRUE)</f>
        <v>1</v>
      </c>
      <c r="M75" s="306"/>
      <c r="U75" s="285" t="b">
        <f>L75</f>
        <v>1</v>
      </c>
      <c r="V75" s="306">
        <f t="shared" si="13"/>
        <v>0</v>
      </c>
    </row>
    <row r="76" spans="2:23" x14ac:dyDescent="0.2">
      <c r="B76" s="30"/>
      <c r="D76" s="2" t="s">
        <v>159</v>
      </c>
      <c r="E76" s="3" t="s">
        <v>261</v>
      </c>
      <c r="F76" s="3" t="s">
        <v>283</v>
      </c>
      <c r="G76" s="4" t="s">
        <v>296</v>
      </c>
      <c r="H76" s="30" t="str">
        <f t="shared" si="17"/>
        <v>Sockelbefestigung:</v>
      </c>
      <c r="I76" s="40"/>
      <c r="K76" s="304" t="s">
        <v>747</v>
      </c>
      <c r="L76" s="305" t="b">
        <f>IF(AND(I45=TRUE,'Pos. 1'!AI57=""),FALSE,TRUE)</f>
        <v>1</v>
      </c>
      <c r="M76" s="306"/>
      <c r="U76" s="285" t="b">
        <f t="shared" ref="U76:U77" si="18">L76</f>
        <v>1</v>
      </c>
      <c r="V76" s="306">
        <f t="shared" si="13"/>
        <v>0</v>
      </c>
    </row>
    <row r="77" spans="2:23" ht="13.5" thickBot="1" x14ac:dyDescent="0.25">
      <c r="B77" s="30" t="str">
        <f>$H$122</f>
        <v>mit Stahl (&gt;2.5m)</v>
      </c>
      <c r="D77" s="2" t="s">
        <v>160</v>
      </c>
      <c r="E77" s="3" t="s">
        <v>262</v>
      </c>
      <c r="F77" s="3" t="s">
        <v>284</v>
      </c>
      <c r="G77" s="4" t="s">
        <v>297</v>
      </c>
      <c r="H77" s="30" t="str">
        <f t="shared" si="17"/>
        <v>Verstellschrauben M10 x</v>
      </c>
      <c r="I77" s="40"/>
      <c r="J77" s="1" t="str">
        <f>H80</f>
        <v>ohne</v>
      </c>
      <c r="K77" s="307" t="s">
        <v>748</v>
      </c>
      <c r="L77" s="308" t="b">
        <f>IF(OR('Pos. 1'!AE84='Sprachen &amp; Rückgabewerte'!H88,AND('Pos. 1'!AE84='Sprachen &amp; Rückgabewerte'!H89,'Pos. 1'!AE85&lt;&gt;"")),TRUE,FALSE)</f>
        <v>0</v>
      </c>
      <c r="M77" s="309"/>
      <c r="U77" s="285" t="b">
        <f t="shared" si="18"/>
        <v>0</v>
      </c>
      <c r="V77" s="306">
        <f t="shared" si="13"/>
        <v>1</v>
      </c>
    </row>
    <row r="78" spans="2:23" ht="13.5" thickBot="1" x14ac:dyDescent="0.25">
      <c r="B78" s="185" t="str">
        <f>$H$123</f>
        <v>ohne Stahl (&lt;2.5m)</v>
      </c>
      <c r="D78" s="2" t="s">
        <v>161</v>
      </c>
      <c r="E78" s="3" t="s">
        <v>161</v>
      </c>
      <c r="F78" s="3" t="s">
        <v>161</v>
      </c>
      <c r="G78" s="3" t="s">
        <v>161</v>
      </c>
      <c r="H78" s="30" t="str">
        <f t="shared" si="17"/>
        <v>L=70mm</v>
      </c>
      <c r="I78" s="40"/>
      <c r="J78" s="1" t="str">
        <f>H78</f>
        <v>L=70mm</v>
      </c>
      <c r="K78" s="33" t="s">
        <v>429</v>
      </c>
      <c r="L78" s="49"/>
      <c r="M78" s="49"/>
      <c r="N78" s="49"/>
      <c r="O78" s="38"/>
      <c r="T78" s="315" t="s">
        <v>935</v>
      </c>
      <c r="U78" s="285" t="b">
        <f>IF('Pos. 1'!AZ9="",FALSE,TRUE)</f>
        <v>0</v>
      </c>
      <c r="V78" s="306">
        <f t="shared" ref="V78:V79" si="19">IF(U78=FALSE,1,0)</f>
        <v>1</v>
      </c>
      <c r="W78" s="410">
        <f>SUM(V78:V79)</f>
        <v>2</v>
      </c>
    </row>
    <row r="79" spans="2:23" ht="13.5" thickBot="1" x14ac:dyDescent="0.25">
      <c r="D79" s="2" t="s">
        <v>162</v>
      </c>
      <c r="E79" s="3" t="s">
        <v>162</v>
      </c>
      <c r="F79" s="3" t="s">
        <v>162</v>
      </c>
      <c r="G79" s="3" t="s">
        <v>162</v>
      </c>
      <c r="H79" s="30" t="str">
        <f t="shared" si="17"/>
        <v>L=100mm</v>
      </c>
      <c r="I79" s="40"/>
      <c r="J79" s="1" t="str">
        <f>H79</f>
        <v>L=100mm</v>
      </c>
      <c r="K79" s="98" t="str">
        <f>H65</f>
        <v>mit Verschlussraster (Druckknopf)</v>
      </c>
      <c r="L79" s="99"/>
      <c r="M79" s="100"/>
      <c r="N79" s="105" t="str">
        <f>IF(OR(C62=TRUE,C63=TRUE),K81,K79)</f>
        <v>mit Verschlussraster (Druckknopf)</v>
      </c>
      <c r="O79" s="106"/>
      <c r="T79" s="315" t="s">
        <v>936</v>
      </c>
      <c r="U79" s="285" t="b">
        <f>IF('Pos. 1'!AZ10="",FALSE,TRUE)</f>
        <v>0</v>
      </c>
      <c r="V79" s="306">
        <f t="shared" si="19"/>
        <v>1</v>
      </c>
    </row>
    <row r="80" spans="2:23" ht="13.5" thickBot="1" x14ac:dyDescent="0.25">
      <c r="B80" s="56" t="s">
        <v>604</v>
      </c>
      <c r="D80" s="2" t="s">
        <v>163</v>
      </c>
      <c r="E80" s="3" t="s">
        <v>263</v>
      </c>
      <c r="F80" s="3" t="s">
        <v>285</v>
      </c>
      <c r="G80" s="4" t="s">
        <v>298</v>
      </c>
      <c r="H80" s="30" t="str">
        <f t="shared" si="17"/>
        <v>ohne</v>
      </c>
      <c r="I80" s="40"/>
      <c r="J80" s="1" t="str">
        <f>H80</f>
        <v>ohne</v>
      </c>
      <c r="K80" s="101" t="str">
        <f>H67</f>
        <v>ohne Verschlussraster</v>
      </c>
      <c r="L80" s="102"/>
      <c r="M80" s="41"/>
      <c r="N80" s="107" t="str">
        <f>IF(OR(C62=TRUE,C63=TRUE),K82,K80)</f>
        <v>ohne Verschlussraster</v>
      </c>
      <c r="O80" s="21"/>
      <c r="U80" s="285"/>
      <c r="V80" s="306"/>
    </row>
    <row r="81" spans="1:22" ht="13.5" thickBot="1" x14ac:dyDescent="0.25">
      <c r="A81" s="219">
        <v>280</v>
      </c>
      <c r="B81" s="216" t="str">
        <f>""</f>
        <v/>
      </c>
      <c r="C81" s="222">
        <v>214</v>
      </c>
      <c r="D81" s="2" t="s">
        <v>164</v>
      </c>
      <c r="E81" s="3" t="s">
        <v>264</v>
      </c>
      <c r="F81" s="3" t="s">
        <v>286</v>
      </c>
      <c r="G81" s="4" t="s">
        <v>299</v>
      </c>
      <c r="H81" s="30" t="str">
        <f t="shared" si="17"/>
        <v>inklusive</v>
      </c>
      <c r="I81" s="40"/>
      <c r="J81" s="1" t="str">
        <f>H81</f>
        <v>inklusive</v>
      </c>
      <c r="K81" s="103" t="str">
        <f>H66</f>
        <v>mit Verschlussraster (Zylinder)</v>
      </c>
      <c r="L81" s="104"/>
      <c r="M81" s="84"/>
      <c r="N81" s="108"/>
      <c r="O81" s="23"/>
      <c r="U81" s="285"/>
      <c r="V81" s="306"/>
    </row>
    <row r="82" spans="1:22" x14ac:dyDescent="0.2">
      <c r="A82" s="220">
        <v>254</v>
      </c>
      <c r="B82" s="217">
        <v>85</v>
      </c>
      <c r="C82" s="223">
        <f>IF('Pos. 1'!$T$114='Sprachen &amp; Rückgabewerte'!$J$146,130,144)</f>
        <v>144</v>
      </c>
      <c r="D82" s="2" t="s">
        <v>265</v>
      </c>
      <c r="E82" s="3" t="s">
        <v>266</v>
      </c>
      <c r="F82" s="3" t="s">
        <v>287</v>
      </c>
      <c r="G82" s="4" t="s">
        <v>266</v>
      </c>
      <c r="H82" s="30" t="str">
        <f t="shared" si="17"/>
        <v>Sockel 75</v>
      </c>
      <c r="I82" s="40"/>
      <c r="J82" s="1" t="str">
        <f>H82</f>
        <v>Sockel 75</v>
      </c>
      <c r="K82" s="1" t="str">
        <f>H161</f>
        <v>ohne Verschlussraster (Zylinder)</v>
      </c>
      <c r="U82" s="285"/>
      <c r="V82" s="306"/>
    </row>
    <row r="83" spans="1:22" ht="13.5" thickBot="1" x14ac:dyDescent="0.25">
      <c r="A83" s="220">
        <v>254</v>
      </c>
      <c r="B83" s="217">
        <v>105</v>
      </c>
      <c r="C83" s="223">
        <f>IF('Pos. 1'!$T$114='Sprachen &amp; Rückgabewerte'!$J$146,158,172)</f>
        <v>172</v>
      </c>
      <c r="D83" s="2" t="s">
        <v>163</v>
      </c>
      <c r="E83" s="3" t="s">
        <v>263</v>
      </c>
      <c r="F83" s="3" t="s">
        <v>285</v>
      </c>
      <c r="G83" s="4" t="s">
        <v>298</v>
      </c>
      <c r="H83" s="30" t="str">
        <f t="shared" si="17"/>
        <v>ohne</v>
      </c>
      <c r="I83" s="40"/>
      <c r="S83" s="279" t="s">
        <v>934</v>
      </c>
      <c r="T83" s="314" t="s">
        <v>749</v>
      </c>
      <c r="U83" s="311" t="b">
        <f>IF(V83&gt;0,FALSE,TRUE)</f>
        <v>0</v>
      </c>
      <c r="V83" s="309">
        <f>SUM(V41:V82)</f>
        <v>20</v>
      </c>
    </row>
    <row r="84" spans="1:22" ht="13.5" thickBot="1" x14ac:dyDescent="0.25">
      <c r="A84" s="221">
        <v>228</v>
      </c>
      <c r="B84" s="218">
        <v>110</v>
      </c>
      <c r="C84" s="224">
        <f>IF('Pos. 1'!$T$114='Sprachen &amp; Rückgabewerte'!$J$146,186,200)</f>
        <v>200</v>
      </c>
      <c r="D84" s="2" t="s">
        <v>165</v>
      </c>
      <c r="E84" s="3" t="s">
        <v>267</v>
      </c>
      <c r="F84" s="3" t="s">
        <v>288</v>
      </c>
      <c r="G84" s="4" t="s">
        <v>300</v>
      </c>
      <c r="H84" s="30" t="str">
        <f t="shared" si="17"/>
        <v>Rahmenzusammenbau:</v>
      </c>
      <c r="I84" s="40"/>
    </row>
    <row r="85" spans="1:22" x14ac:dyDescent="0.2">
      <c r="D85" s="2" t="s">
        <v>166</v>
      </c>
      <c r="E85" s="3" t="s">
        <v>268</v>
      </c>
      <c r="F85" s="3" t="s">
        <v>289</v>
      </c>
      <c r="G85" s="4" t="s">
        <v>301</v>
      </c>
      <c r="H85" s="30" t="str">
        <f t="shared" si="17"/>
        <v>Gehrungsstoss (A)</v>
      </c>
      <c r="I85" s="40"/>
      <c r="J85" s="1" t="str">
        <f>H85</f>
        <v>Gehrungsstoss (A)</v>
      </c>
      <c r="L85" s="542" t="s">
        <v>696</v>
      </c>
      <c r="M85" s="543"/>
      <c r="N85" s="279"/>
    </row>
    <row r="86" spans="1:22" ht="13.5" thickBot="1" x14ac:dyDescent="0.25">
      <c r="D86" s="2" t="s">
        <v>322</v>
      </c>
      <c r="E86" s="3" t="s">
        <v>269</v>
      </c>
      <c r="F86" s="3" t="s">
        <v>290</v>
      </c>
      <c r="G86" s="4" t="s">
        <v>493</v>
      </c>
      <c r="H86" s="30" t="str">
        <f t="shared" si="17"/>
        <v>Montagestoss (B)</v>
      </c>
      <c r="I86" s="40"/>
      <c r="J86" s="1" t="str">
        <f>H86</f>
        <v>Montagestoss (B)</v>
      </c>
      <c r="L86" s="251"/>
      <c r="M86" s="44"/>
    </row>
    <row r="87" spans="1:22" x14ac:dyDescent="0.2">
      <c r="B87" s="540" t="s">
        <v>634</v>
      </c>
      <c r="C87" s="541"/>
      <c r="D87" s="2" t="s">
        <v>167</v>
      </c>
      <c r="E87" s="3" t="s">
        <v>270</v>
      </c>
      <c r="F87" s="3" t="s">
        <v>330</v>
      </c>
      <c r="G87" s="4" t="s">
        <v>302</v>
      </c>
      <c r="H87" s="30" t="str">
        <f t="shared" si="17"/>
        <v>Logistik:</v>
      </c>
      <c r="I87" s="40"/>
      <c r="L87" s="252">
        <v>1</v>
      </c>
      <c r="M87" s="4" t="str">
        <f>CONCATENATE($H$154," ",L87)</f>
        <v>Kalenderwoche 1</v>
      </c>
      <c r="N87" s="279"/>
    </row>
    <row r="88" spans="1:22" x14ac:dyDescent="0.2">
      <c r="B88" s="22" t="s">
        <v>635</v>
      </c>
      <c r="C88" s="39">
        <f>IF(AND(I50=TRUE,'Pos. 1'!T104&lt;&gt;""),0,1)</f>
        <v>1</v>
      </c>
      <c r="D88" s="2" t="s">
        <v>323</v>
      </c>
      <c r="E88" s="316" t="s">
        <v>753</v>
      </c>
      <c r="F88" s="3" t="s">
        <v>324</v>
      </c>
      <c r="G88" s="4" t="s">
        <v>508</v>
      </c>
      <c r="H88" s="30" t="str">
        <f t="shared" si="17"/>
        <v>ohne Glas-Sortierung</v>
      </c>
      <c r="I88" s="40"/>
      <c r="J88" s="1" t="str">
        <f>H88</f>
        <v>ohne Glas-Sortierung</v>
      </c>
      <c r="L88" s="252">
        <v>2</v>
      </c>
      <c r="M88" s="4" t="str">
        <f t="shared" ref="M88:M138" si="20">CONCATENATE($H$154," ",L88)</f>
        <v>Kalenderwoche 2</v>
      </c>
    </row>
    <row r="89" spans="1:22" x14ac:dyDescent="0.2">
      <c r="B89" s="2" t="s">
        <v>636</v>
      </c>
      <c r="C89" s="36">
        <f>IF(AND(I50=TRUE,'Pos. 1'!T106&lt;&gt;""),0,1)</f>
        <v>1</v>
      </c>
      <c r="D89" s="2" t="s">
        <v>168</v>
      </c>
      <c r="E89" s="3" t="s">
        <v>325</v>
      </c>
      <c r="F89" s="3" t="s">
        <v>326</v>
      </c>
      <c r="G89" s="4" t="s">
        <v>509</v>
      </c>
      <c r="H89" s="30" t="str">
        <f>IF($B$3=$A$3,D89,IF($B$3=$A$4,E89,IF($B$3=$A$5,F89,IF($B$3=$A$6,$G$89,""))))</f>
        <v>nach Stockwerk:</v>
      </c>
      <c r="I89" s="40"/>
      <c r="J89" s="1" t="str">
        <f>H89</f>
        <v>nach Stockwerk:</v>
      </c>
      <c r="L89" s="252">
        <v>3</v>
      </c>
      <c r="M89" s="4" t="str">
        <f t="shared" si="20"/>
        <v>Kalenderwoche 3</v>
      </c>
    </row>
    <row r="90" spans="1:22" x14ac:dyDescent="0.2">
      <c r="B90" s="2" t="s">
        <v>637</v>
      </c>
      <c r="C90" s="36">
        <f>IF(AND(I50=TRUE,'Pos. 1'!T108&lt;&gt;""),0,1)</f>
        <v>1</v>
      </c>
      <c r="D90" s="2" t="s">
        <v>272</v>
      </c>
      <c r="E90" s="3" t="s">
        <v>271</v>
      </c>
      <c r="F90" s="3" t="s">
        <v>291</v>
      </c>
      <c r="G90" s="4" t="s">
        <v>357</v>
      </c>
      <c r="H90" s="30" t="str">
        <f>IF($B$3=$A$3,D90,IF($B$3=$A$4,E90,IF($B$3=$A$5,F90,IF($B$3=$A$6,G90,""))))</f>
        <v>Wunschtermin:</v>
      </c>
      <c r="I90" s="40"/>
      <c r="L90" s="252">
        <v>4</v>
      </c>
      <c r="M90" s="4" t="str">
        <f t="shared" si="20"/>
        <v>Kalenderwoche 4</v>
      </c>
    </row>
    <row r="91" spans="1:22" x14ac:dyDescent="0.2">
      <c r="B91" s="2" t="s">
        <v>638</v>
      </c>
      <c r="C91" s="36">
        <f>IF(AND(I50=TRUE,'Pos. 1'!T110&lt;&gt;""),0,1)</f>
        <v>1</v>
      </c>
      <c r="D91" s="2" t="s">
        <v>373</v>
      </c>
      <c r="E91" s="3" t="s">
        <v>273</v>
      </c>
      <c r="F91" s="3" t="s">
        <v>374</v>
      </c>
      <c r="G91" s="4" t="s">
        <v>375</v>
      </c>
      <c r="H91" s="30" t="str">
        <f t="shared" ref="H91:H111" si="21">IF($B$3=$A$3,D91,IF($B$3=$A$4,E91,IF($B$3=$A$5,F91,IF($B$3=$A$6,G91,""))))</f>
        <v>Farbe Laufschiene + Schraubenarretierungen:</v>
      </c>
      <c r="I91" s="40"/>
      <c r="L91" s="252">
        <v>5</v>
      </c>
      <c r="M91" s="4" t="str">
        <f t="shared" si="20"/>
        <v>Kalenderwoche 5</v>
      </c>
    </row>
    <row r="92" spans="1:22" x14ac:dyDescent="0.2">
      <c r="B92" s="2" t="s">
        <v>639</v>
      </c>
      <c r="C92" s="36">
        <f>IF(AND(I50=TRUE,'Pos. 1'!T112&lt;&gt;""),0,1)</f>
        <v>1</v>
      </c>
      <c r="D92" s="2" t="s">
        <v>421</v>
      </c>
      <c r="E92" s="3" t="s">
        <v>422</v>
      </c>
      <c r="F92" s="3" t="s">
        <v>423</v>
      </c>
      <c r="G92" s="4" t="s">
        <v>424</v>
      </c>
      <c r="H92" s="30" t="str">
        <f t="shared" si="21"/>
        <v>Silber</v>
      </c>
      <c r="I92" s="40"/>
      <c r="J92" s="1" t="str">
        <f>H92</f>
        <v>Silber</v>
      </c>
      <c r="L92" s="252">
        <v>6</v>
      </c>
      <c r="M92" s="4" t="str">
        <f t="shared" si="20"/>
        <v>Kalenderwoche 6</v>
      </c>
    </row>
    <row r="93" spans="1:22" x14ac:dyDescent="0.2">
      <c r="B93" s="2" t="s">
        <v>640</v>
      </c>
      <c r="C93" s="36">
        <f>IF(AND(I50=TRUE,'Pos. 1'!T114&lt;&gt;""),0,1)</f>
        <v>1</v>
      </c>
      <c r="D93" s="2" t="s">
        <v>169</v>
      </c>
      <c r="E93" s="3" t="s">
        <v>274</v>
      </c>
      <c r="F93" s="3" t="s">
        <v>292</v>
      </c>
      <c r="G93" s="4" t="s">
        <v>303</v>
      </c>
      <c r="H93" s="30" t="str">
        <f t="shared" si="21"/>
        <v>Schwarz</v>
      </c>
      <c r="I93" s="40"/>
      <c r="J93" s="1" t="str">
        <f>H93</f>
        <v>Schwarz</v>
      </c>
      <c r="L93" s="252">
        <v>7</v>
      </c>
      <c r="M93" s="4" t="str">
        <f t="shared" si="20"/>
        <v>Kalenderwoche 7</v>
      </c>
      <c r="N93" s="322"/>
    </row>
    <row r="94" spans="1:22" x14ac:dyDescent="0.2">
      <c r="B94" s="2"/>
      <c r="C94" s="4"/>
      <c r="D94" s="2" t="s">
        <v>367</v>
      </c>
      <c r="E94" s="3" t="s">
        <v>578</v>
      </c>
      <c r="F94" s="3" t="s">
        <v>366</v>
      </c>
      <c r="G94" s="4" t="s">
        <v>368</v>
      </c>
      <c r="H94" s="30" t="str">
        <f t="shared" si="21"/>
        <v>Druckausgleichsventile :</v>
      </c>
      <c r="I94" s="40"/>
      <c r="L94" s="252">
        <v>8</v>
      </c>
      <c r="M94" s="4" t="str">
        <f t="shared" si="20"/>
        <v>Kalenderwoche 8</v>
      </c>
    </row>
    <row r="95" spans="1:22" ht="13.5" thickBot="1" x14ac:dyDescent="0.25">
      <c r="B95" s="225" t="s">
        <v>641</v>
      </c>
      <c r="C95" s="226">
        <f>SUM(C88:C93)</f>
        <v>6</v>
      </c>
      <c r="D95" s="2" t="s">
        <v>170</v>
      </c>
      <c r="E95" s="3" t="s">
        <v>175</v>
      </c>
      <c r="F95" s="3" t="s">
        <v>313</v>
      </c>
      <c r="G95" s="4" t="s">
        <v>304</v>
      </c>
      <c r="H95" s="30" t="str">
        <f t="shared" si="21"/>
        <v>Ja</v>
      </c>
      <c r="I95" s="40"/>
      <c r="J95" s="1" t="str">
        <f>H95</f>
        <v>Ja</v>
      </c>
      <c r="L95" s="252">
        <v>9</v>
      </c>
      <c r="M95" s="4" t="str">
        <f t="shared" si="20"/>
        <v>Kalenderwoche 9</v>
      </c>
    </row>
    <row r="96" spans="1:22" x14ac:dyDescent="0.2">
      <c r="D96" s="2" t="s">
        <v>171</v>
      </c>
      <c r="E96" s="3" t="s">
        <v>176</v>
      </c>
      <c r="F96" s="316" t="s">
        <v>798</v>
      </c>
      <c r="G96" s="4" t="s">
        <v>176</v>
      </c>
      <c r="H96" s="30" t="str">
        <f t="shared" si="21"/>
        <v>Nein</v>
      </c>
      <c r="I96" s="40"/>
      <c r="J96" s="1" t="str">
        <f>H96</f>
        <v>Nein</v>
      </c>
      <c r="L96" s="252">
        <v>10</v>
      </c>
      <c r="M96" s="4" t="str">
        <f t="shared" si="20"/>
        <v>Kalenderwoche 10</v>
      </c>
    </row>
    <row r="97" spans="4:14" x14ac:dyDescent="0.2">
      <c r="D97" s="2" t="s">
        <v>172</v>
      </c>
      <c r="E97" s="3" t="s">
        <v>177</v>
      </c>
      <c r="F97" s="3" t="s">
        <v>314</v>
      </c>
      <c r="G97" s="4" t="s">
        <v>305</v>
      </c>
      <c r="H97" s="30" t="str">
        <f t="shared" si="21"/>
        <v>Digitale Unterschrift:</v>
      </c>
      <c r="I97" s="40"/>
      <c r="L97" s="252">
        <v>11</v>
      </c>
      <c r="M97" s="4" t="str">
        <f t="shared" si="20"/>
        <v>Kalenderwoche 11</v>
      </c>
    </row>
    <row r="98" spans="4:14" x14ac:dyDescent="0.2">
      <c r="D98" s="2" t="s">
        <v>174</v>
      </c>
      <c r="E98" s="3" t="s">
        <v>275</v>
      </c>
      <c r="F98" s="3" t="s">
        <v>315</v>
      </c>
      <c r="G98" s="4" t="s">
        <v>358</v>
      </c>
      <c r="H98" s="30" t="str">
        <f t="shared" si="21"/>
        <v>Bestellung an:</v>
      </c>
      <c r="I98" s="40"/>
      <c r="L98" s="252">
        <v>12</v>
      </c>
      <c r="M98" s="4" t="str">
        <f t="shared" si="20"/>
        <v>Kalenderwoche 12</v>
      </c>
    </row>
    <row r="99" spans="4:14" x14ac:dyDescent="0.2">
      <c r="D99" s="2" t="s">
        <v>173</v>
      </c>
      <c r="E99" s="3" t="s">
        <v>173</v>
      </c>
      <c r="F99" s="3" t="s">
        <v>173</v>
      </c>
      <c r="G99" s="4" t="s">
        <v>173</v>
      </c>
      <c r="H99" s="30" t="str">
        <f t="shared" si="21"/>
        <v>orders@sky-frame.ch</v>
      </c>
      <c r="I99" s="40"/>
      <c r="L99" s="252">
        <v>13</v>
      </c>
      <c r="M99" s="4" t="str">
        <f t="shared" si="20"/>
        <v>Kalenderwoche 13</v>
      </c>
    </row>
    <row r="100" spans="4:14" x14ac:dyDescent="0.2">
      <c r="D100" s="2"/>
      <c r="E100" s="3"/>
      <c r="F100" s="3"/>
      <c r="G100" s="4"/>
      <c r="H100" s="30">
        <f t="shared" si="21"/>
        <v>0</v>
      </c>
      <c r="I100" s="40"/>
      <c r="L100" s="252">
        <v>14</v>
      </c>
      <c r="M100" s="4" t="str">
        <f t="shared" si="20"/>
        <v>Kalenderwoche 14</v>
      </c>
    </row>
    <row r="101" spans="4:14" x14ac:dyDescent="0.2">
      <c r="D101" s="2"/>
      <c r="E101" s="3"/>
      <c r="F101" s="3"/>
      <c r="G101" s="4"/>
      <c r="H101" s="30">
        <f t="shared" si="21"/>
        <v>0</v>
      </c>
      <c r="I101" s="40"/>
      <c r="L101" s="252">
        <v>15</v>
      </c>
      <c r="M101" s="4" t="str">
        <f t="shared" si="20"/>
        <v>Kalenderwoche 15</v>
      </c>
    </row>
    <row r="102" spans="4:14" ht="51" x14ac:dyDescent="0.2">
      <c r="D102" s="9" t="s">
        <v>496</v>
      </c>
      <c r="E102" s="10" t="s">
        <v>276</v>
      </c>
      <c r="F102" s="277" t="s">
        <v>734</v>
      </c>
      <c r="G102" s="11" t="s">
        <v>417</v>
      </c>
      <c r="H102" s="48" t="str">
        <f t="shared" si="21"/>
        <v>Diese Bestellung ist verbindlich und muss komplett ausgefüllt werden. Änderungen werden als Mehraufwand verrechnet.</v>
      </c>
      <c r="I102" s="40"/>
      <c r="L102" s="252">
        <v>16</v>
      </c>
      <c r="M102" s="4" t="str">
        <f t="shared" si="20"/>
        <v>Kalenderwoche 16</v>
      </c>
    </row>
    <row r="103" spans="4:14" ht="12.75" customHeight="1" x14ac:dyDescent="0.2">
      <c r="D103" s="9"/>
      <c r="E103" s="3"/>
      <c r="F103" s="3"/>
      <c r="G103" s="4"/>
      <c r="H103" s="30"/>
      <c r="I103" s="40"/>
      <c r="L103" s="252">
        <v>17</v>
      </c>
      <c r="M103" s="4" t="str">
        <f t="shared" si="20"/>
        <v>Kalenderwoche 17</v>
      </c>
      <c r="N103" s="322"/>
    </row>
    <row r="104" spans="4:14" ht="12.75" customHeight="1" x14ac:dyDescent="0.2">
      <c r="D104" s="2" t="s">
        <v>212</v>
      </c>
      <c r="E104" s="278" t="s">
        <v>741</v>
      </c>
      <c r="F104" s="3" t="s">
        <v>316</v>
      </c>
      <c r="G104" s="4" t="s">
        <v>359</v>
      </c>
      <c r="H104" s="30" t="str">
        <f t="shared" si="21"/>
        <v>A-Ecke 90°</v>
      </c>
      <c r="I104" s="40"/>
      <c r="L104" s="252">
        <v>18</v>
      </c>
      <c r="M104" s="4" t="str">
        <f t="shared" si="20"/>
        <v>Kalenderwoche 18</v>
      </c>
    </row>
    <row r="105" spans="4:14" ht="12.75" customHeight="1" x14ac:dyDescent="0.2">
      <c r="D105" s="2" t="s">
        <v>213</v>
      </c>
      <c r="E105" s="278" t="s">
        <v>740</v>
      </c>
      <c r="F105" s="3" t="s">
        <v>447</v>
      </c>
      <c r="G105" s="4" t="s">
        <v>360</v>
      </c>
      <c r="H105" s="30" t="str">
        <f t="shared" si="21"/>
        <v>I-Ecke 90°</v>
      </c>
      <c r="I105" s="40"/>
      <c r="L105" s="252">
        <v>19</v>
      </c>
      <c r="M105" s="4" t="str">
        <f t="shared" si="20"/>
        <v>Kalenderwoche 19</v>
      </c>
    </row>
    <row r="106" spans="4:14" ht="12.75" customHeight="1" x14ac:dyDescent="0.2">
      <c r="D106" s="2" t="s">
        <v>215</v>
      </c>
      <c r="E106" s="278" t="s">
        <v>739</v>
      </c>
      <c r="F106" s="3" t="s">
        <v>317</v>
      </c>
      <c r="G106" s="4" t="s">
        <v>361</v>
      </c>
      <c r="H106" s="30" t="str">
        <f t="shared" si="21"/>
        <v>A-Ecke≠90°</v>
      </c>
      <c r="I106" s="40"/>
      <c r="L106" s="252">
        <v>20</v>
      </c>
      <c r="M106" s="4" t="str">
        <f t="shared" si="20"/>
        <v>Kalenderwoche 20</v>
      </c>
    </row>
    <row r="107" spans="4:14" ht="12.75" customHeight="1" x14ac:dyDescent="0.2">
      <c r="D107" s="2" t="s">
        <v>216</v>
      </c>
      <c r="E107" s="278" t="s">
        <v>738</v>
      </c>
      <c r="F107" s="3" t="s">
        <v>448</v>
      </c>
      <c r="G107" s="4" t="s">
        <v>362</v>
      </c>
      <c r="H107" s="30" t="str">
        <f t="shared" si="21"/>
        <v>I-Ecke≠90°</v>
      </c>
      <c r="I107" s="40"/>
      <c r="L107" s="252">
        <v>21</v>
      </c>
      <c r="M107" s="4" t="str">
        <f t="shared" si="20"/>
        <v>Kalenderwoche 21</v>
      </c>
    </row>
    <row r="108" spans="4:14" ht="12.75" customHeight="1" x14ac:dyDescent="0.2">
      <c r="D108" s="2" t="s">
        <v>434</v>
      </c>
      <c r="E108" s="3" t="s">
        <v>435</v>
      </c>
      <c r="F108" s="3" t="s">
        <v>436</v>
      </c>
      <c r="G108" s="4" t="s">
        <v>437</v>
      </c>
      <c r="H108" s="30" t="str">
        <f t="shared" si="21"/>
        <v>Wert:</v>
      </c>
      <c r="I108" s="40"/>
      <c r="L108" s="252">
        <v>22</v>
      </c>
      <c r="M108" s="4" t="str">
        <f t="shared" si="20"/>
        <v>Kalenderwoche 22</v>
      </c>
    </row>
    <row r="109" spans="4:14" ht="12.75" customHeight="1" x14ac:dyDescent="0.2">
      <c r="D109" s="2" t="s">
        <v>278</v>
      </c>
      <c r="E109" s="3" t="s">
        <v>277</v>
      </c>
      <c r="F109" s="3" t="s">
        <v>318</v>
      </c>
      <c r="G109" s="3" t="s">
        <v>363</v>
      </c>
      <c r="H109" s="30" t="str">
        <f t="shared" si="21"/>
        <v>Bitte auswählen:</v>
      </c>
      <c r="I109" s="40"/>
      <c r="L109" s="252">
        <v>23</v>
      </c>
      <c r="M109" s="4" t="str">
        <f t="shared" si="20"/>
        <v>Kalenderwoche 23</v>
      </c>
    </row>
    <row r="110" spans="4:14" ht="12.75" customHeight="1" x14ac:dyDescent="0.2">
      <c r="D110" s="2" t="s">
        <v>338</v>
      </c>
      <c r="E110" s="3" t="s">
        <v>338</v>
      </c>
      <c r="F110" s="3" t="s">
        <v>338</v>
      </c>
      <c r="G110" s="3" t="s">
        <v>338</v>
      </c>
      <c r="H110" s="30" t="str">
        <f t="shared" si="21"/>
        <v>KABA (22)</v>
      </c>
      <c r="I110" s="40" t="b">
        <v>0</v>
      </c>
      <c r="L110" s="252">
        <v>24</v>
      </c>
      <c r="M110" s="4" t="str">
        <f t="shared" si="20"/>
        <v>Kalenderwoche 24</v>
      </c>
    </row>
    <row r="111" spans="4:14" ht="12.75" customHeight="1" x14ac:dyDescent="0.2">
      <c r="D111" s="2" t="s">
        <v>339</v>
      </c>
      <c r="E111" s="3" t="s">
        <v>339</v>
      </c>
      <c r="F111" s="3" t="s">
        <v>339</v>
      </c>
      <c r="G111" s="4" t="s">
        <v>339</v>
      </c>
      <c r="H111" s="30" t="str">
        <f t="shared" si="21"/>
        <v>PZ / Euro (17)</v>
      </c>
      <c r="I111" s="40" t="b">
        <v>0</v>
      </c>
      <c r="L111" s="252">
        <v>25</v>
      </c>
      <c r="M111" s="4" t="str">
        <f t="shared" si="20"/>
        <v>Kalenderwoche 25</v>
      </c>
    </row>
    <row r="112" spans="4:14" x14ac:dyDescent="0.2">
      <c r="D112" s="2" t="s">
        <v>379</v>
      </c>
      <c r="E112" s="3" t="s">
        <v>380</v>
      </c>
      <c r="F112" s="3" t="s">
        <v>381</v>
      </c>
      <c r="G112" s="4" t="s">
        <v>382</v>
      </c>
      <c r="H112" s="30" t="str">
        <f>IF($B$3=$A$3,D112,IF($B$3=$A$4,E112,IF($B$3=$A$5,F112,IF($B$3=$A$6,G112,""))))</f>
        <v>mit CFK</v>
      </c>
      <c r="I112" s="40"/>
      <c r="L112" s="252">
        <v>26</v>
      </c>
      <c r="M112" s="4" t="str">
        <f t="shared" si="20"/>
        <v>Kalenderwoche 26</v>
      </c>
    </row>
    <row r="113" spans="4:14" x14ac:dyDescent="0.2">
      <c r="D113" s="2" t="s">
        <v>383</v>
      </c>
      <c r="E113" s="3" t="s">
        <v>384</v>
      </c>
      <c r="F113" s="3" t="s">
        <v>385</v>
      </c>
      <c r="G113" s="4" t="s">
        <v>386</v>
      </c>
      <c r="H113" s="30" t="str">
        <f>IF($B$3=$A$3,D113,IF($B$3=$A$4,E113,IF($B$3=$A$5,F113,IF($B$3=$A$6,G113,""))))</f>
        <v>ohne CFK</v>
      </c>
      <c r="I113" s="40"/>
      <c r="L113" s="252">
        <v>27</v>
      </c>
      <c r="M113" s="4" t="str">
        <f t="shared" si="20"/>
        <v>Kalenderwoche 27</v>
      </c>
      <c r="N113" s="322"/>
    </row>
    <row r="114" spans="4:14" x14ac:dyDescent="0.2">
      <c r="D114" s="2" t="s">
        <v>387</v>
      </c>
      <c r="E114" s="3" t="s">
        <v>389</v>
      </c>
      <c r="F114" s="3" t="s">
        <v>391</v>
      </c>
      <c r="G114" s="4" t="s">
        <v>425</v>
      </c>
      <c r="H114" s="30" t="str">
        <f>IF($B$3=$A$3,D114,IF($B$3=$A$4,E114,IF($B$3=$A$5,F114,IF($B$3=$A$6,G114,""))))</f>
        <v>mit Stahl</v>
      </c>
      <c r="I114" s="40"/>
      <c r="L114" s="252">
        <v>28</v>
      </c>
      <c r="M114" s="4" t="str">
        <f t="shared" si="20"/>
        <v>Kalenderwoche 28</v>
      </c>
    </row>
    <row r="115" spans="4:14" x14ac:dyDescent="0.2">
      <c r="D115" s="2" t="s">
        <v>388</v>
      </c>
      <c r="E115" s="3" t="s">
        <v>390</v>
      </c>
      <c r="F115" s="3" t="s">
        <v>392</v>
      </c>
      <c r="G115" s="4" t="s">
        <v>426</v>
      </c>
      <c r="H115" s="30" t="str">
        <f>IF($B$3=$A$3,D115,IF($B$3=$A$4,E115,IF($B$3=$A$5,F115,IF($B$3=$A$6,G115,""))))</f>
        <v>ohne Stahl</v>
      </c>
      <c r="I115" s="40"/>
      <c r="L115" s="252">
        <v>29</v>
      </c>
      <c r="M115" s="4" t="str">
        <f t="shared" si="20"/>
        <v>Kalenderwoche 29</v>
      </c>
    </row>
    <row r="116" spans="4:14" x14ac:dyDescent="0.2">
      <c r="D116" s="2" t="s">
        <v>395</v>
      </c>
      <c r="E116" s="3" t="s">
        <v>398</v>
      </c>
      <c r="F116" s="3" t="s">
        <v>400</v>
      </c>
      <c r="G116" s="4" t="s">
        <v>403</v>
      </c>
      <c r="H116" s="30" t="str">
        <f>IF($B$3=$A$3,D116,IF($B$3=$A$4,E116,IF($B$3=$A$5,F116,IF($B$3=$A$6,G116,""))))</f>
        <v>Ganzglas-Ecke</v>
      </c>
      <c r="I116" s="40"/>
      <c r="L116" s="252">
        <v>30</v>
      </c>
      <c r="M116" s="4" t="str">
        <f t="shared" si="20"/>
        <v>Kalenderwoche 30</v>
      </c>
    </row>
    <row r="117" spans="4:14" x14ac:dyDescent="0.2">
      <c r="D117" s="2" t="s">
        <v>396</v>
      </c>
      <c r="E117" s="278" t="s">
        <v>737</v>
      </c>
      <c r="F117" s="3" t="s">
        <v>401</v>
      </c>
      <c r="G117" s="4" t="s">
        <v>404</v>
      </c>
      <c r="H117" s="30" t="str">
        <f t="shared" ref="H117:H133" si="22">IF($B$3=$A$3,D117,IF($B$3=$A$4,E117,IF($B$3=$A$5,F117,IF($B$3=$A$6,G117,""))))</f>
        <v>Ecke RC2 (WK2)</v>
      </c>
      <c r="I117" s="40"/>
      <c r="L117" s="252">
        <v>31</v>
      </c>
      <c r="M117" s="4" t="str">
        <f t="shared" si="20"/>
        <v>Kalenderwoche 31</v>
      </c>
    </row>
    <row r="118" spans="4:14" x14ac:dyDescent="0.2">
      <c r="D118" s="2" t="s">
        <v>397</v>
      </c>
      <c r="E118" s="3" t="s">
        <v>399</v>
      </c>
      <c r="F118" s="3" t="s">
        <v>402</v>
      </c>
      <c r="G118" s="4" t="s">
        <v>405</v>
      </c>
      <c r="H118" s="30" t="str">
        <f t="shared" si="22"/>
        <v>Standard (RC2 in Anlehnung)</v>
      </c>
      <c r="I118" s="40"/>
      <c r="L118" s="252">
        <v>32</v>
      </c>
      <c r="M118" s="4" t="str">
        <f t="shared" si="20"/>
        <v>Kalenderwoche 32</v>
      </c>
    </row>
    <row r="119" spans="4:14" x14ac:dyDescent="0.2">
      <c r="D119" s="280" t="s">
        <v>968</v>
      </c>
      <c r="E119" s="316" t="s">
        <v>969</v>
      </c>
      <c r="F119" s="316" t="s">
        <v>970</v>
      </c>
      <c r="G119" s="317" t="s">
        <v>971</v>
      </c>
      <c r="H119" s="30" t="str">
        <f t="shared" si="22"/>
        <v>RC2 mit Blech</v>
      </c>
      <c r="I119" s="40"/>
      <c r="L119" s="252">
        <v>33</v>
      </c>
      <c r="M119" s="4" t="str">
        <f t="shared" si="20"/>
        <v>Kalenderwoche 33</v>
      </c>
    </row>
    <row r="120" spans="4:14" x14ac:dyDescent="0.2">
      <c r="D120" s="2" t="s">
        <v>408</v>
      </c>
      <c r="E120" s="3" t="s">
        <v>411</v>
      </c>
      <c r="F120" s="3" t="s">
        <v>412</v>
      </c>
      <c r="G120" s="4" t="s">
        <v>414</v>
      </c>
      <c r="H120" s="30" t="str">
        <f t="shared" si="22"/>
        <v>mit AL.</v>
      </c>
      <c r="I120" s="40"/>
      <c r="L120" s="252">
        <v>34</v>
      </c>
      <c r="M120" s="4" t="str">
        <f t="shared" si="20"/>
        <v>Kalenderwoche 34</v>
      </c>
    </row>
    <row r="121" spans="4:14" x14ac:dyDescent="0.2">
      <c r="D121" s="2" t="s">
        <v>409</v>
      </c>
      <c r="E121" s="3" t="s">
        <v>410</v>
      </c>
      <c r="F121" s="3" t="s">
        <v>413</v>
      </c>
      <c r="G121" s="4" t="s">
        <v>415</v>
      </c>
      <c r="H121" s="30" t="str">
        <f t="shared" si="22"/>
        <v>ohne AL.</v>
      </c>
      <c r="I121" s="40"/>
      <c r="L121" s="252">
        <v>35</v>
      </c>
      <c r="M121" s="4" t="str">
        <f t="shared" si="20"/>
        <v>Kalenderwoche 35</v>
      </c>
    </row>
    <row r="122" spans="4:14" x14ac:dyDescent="0.2">
      <c r="D122" s="280" t="s">
        <v>837</v>
      </c>
      <c r="E122" s="316" t="s">
        <v>839</v>
      </c>
      <c r="F122" s="316" t="s">
        <v>841</v>
      </c>
      <c r="G122" s="317" t="s">
        <v>843</v>
      </c>
      <c r="H122" s="30" t="str">
        <f t="shared" si="22"/>
        <v>mit Stahl (&gt;2.5m)</v>
      </c>
      <c r="I122" s="40"/>
      <c r="L122" s="252">
        <v>36</v>
      </c>
      <c r="M122" s="4" t="str">
        <f t="shared" si="20"/>
        <v>Kalenderwoche 36</v>
      </c>
    </row>
    <row r="123" spans="4:14" x14ac:dyDescent="0.2">
      <c r="D123" s="280" t="s">
        <v>838</v>
      </c>
      <c r="E123" s="316" t="s">
        <v>840</v>
      </c>
      <c r="F123" s="316" t="s">
        <v>842</v>
      </c>
      <c r="G123" s="317" t="s">
        <v>844</v>
      </c>
      <c r="H123" s="30" t="str">
        <f t="shared" si="22"/>
        <v>ohne Stahl (&lt;2.5m)</v>
      </c>
      <c r="I123" s="40"/>
      <c r="L123" s="252">
        <v>37</v>
      </c>
      <c r="M123" s="4" t="str">
        <f t="shared" si="20"/>
        <v>Kalenderwoche 37</v>
      </c>
    </row>
    <row r="124" spans="4:14" x14ac:dyDescent="0.2">
      <c r="D124" s="2" t="s">
        <v>418</v>
      </c>
      <c r="E124" s="278" t="s">
        <v>736</v>
      </c>
      <c r="F124" s="3" t="s">
        <v>419</v>
      </c>
      <c r="G124" s="4" t="s">
        <v>420</v>
      </c>
      <c r="H124" s="30" t="str">
        <f t="shared" si="22"/>
        <v>Ecke:</v>
      </c>
      <c r="I124" s="40"/>
      <c r="L124" s="252">
        <v>38</v>
      </c>
      <c r="M124" s="4" t="str">
        <f t="shared" si="20"/>
        <v>Kalenderwoche 38</v>
      </c>
    </row>
    <row r="125" spans="4:14" x14ac:dyDescent="0.2">
      <c r="D125" s="2" t="s">
        <v>442</v>
      </c>
      <c r="E125" s="3" t="s">
        <v>442</v>
      </c>
      <c r="F125" s="3" t="s">
        <v>442</v>
      </c>
      <c r="G125" s="4" t="s">
        <v>442</v>
      </c>
      <c r="H125" s="30" t="str">
        <f t="shared" si="22"/>
        <v>NFRC (USA)</v>
      </c>
      <c r="I125" s="40" t="b">
        <v>0</v>
      </c>
      <c r="L125" s="252">
        <v>39</v>
      </c>
      <c r="M125" s="4" t="str">
        <f t="shared" si="20"/>
        <v>Kalenderwoche 39</v>
      </c>
    </row>
    <row r="126" spans="4:14" x14ac:dyDescent="0.2">
      <c r="D126" s="2" t="s">
        <v>453</v>
      </c>
      <c r="E126" s="3" t="s">
        <v>487</v>
      </c>
      <c r="F126" s="3" t="s">
        <v>490</v>
      </c>
      <c r="G126" s="4" t="s">
        <v>474</v>
      </c>
      <c r="H126" s="30" t="str">
        <f t="shared" si="22"/>
        <v>Bestellung vollständig ausfüllen.</v>
      </c>
      <c r="I126" s="40"/>
      <c r="L126" s="252">
        <v>40</v>
      </c>
      <c r="M126" s="4" t="str">
        <f t="shared" si="20"/>
        <v>Kalenderwoche 40</v>
      </c>
    </row>
    <row r="127" spans="4:14" x14ac:dyDescent="0.2">
      <c r="D127" s="2" t="s">
        <v>468</v>
      </c>
      <c r="E127" s="3" t="s">
        <v>488</v>
      </c>
      <c r="F127" s="3" t="s">
        <v>492</v>
      </c>
      <c r="G127" s="4" t="s">
        <v>475</v>
      </c>
      <c r="H127" s="30" t="str">
        <f t="shared" si="22"/>
        <v>Überprüfen ob keine roten Rahmen aufleuchten.</v>
      </c>
      <c r="I127" s="40"/>
      <c r="L127" s="252">
        <v>41</v>
      </c>
      <c r="M127" s="4" t="str">
        <f t="shared" si="20"/>
        <v>Kalenderwoche 41</v>
      </c>
    </row>
    <row r="128" spans="4:14" x14ac:dyDescent="0.2">
      <c r="D128" s="2" t="s">
        <v>469</v>
      </c>
      <c r="E128" s="3" t="s">
        <v>489</v>
      </c>
      <c r="F128" s="3" t="s">
        <v>491</v>
      </c>
      <c r="G128" s="4" t="s">
        <v>476</v>
      </c>
      <c r="H128" s="30" t="str">
        <f t="shared" si="22"/>
        <v>Bestellung senden an:</v>
      </c>
      <c r="I128" s="40"/>
      <c r="L128" s="252">
        <v>42</v>
      </c>
      <c r="M128" s="4" t="str">
        <f t="shared" si="20"/>
        <v>Kalenderwoche 42</v>
      </c>
    </row>
    <row r="129" spans="4:13" x14ac:dyDescent="0.2">
      <c r="D129" s="2" t="s">
        <v>467</v>
      </c>
      <c r="E129" s="3" t="s">
        <v>486</v>
      </c>
      <c r="F129" s="3" t="s">
        <v>486</v>
      </c>
      <c r="G129" s="4" t="s">
        <v>473</v>
      </c>
      <c r="H129" s="30" t="str">
        <f t="shared" si="22"/>
        <v>Anleitung:</v>
      </c>
      <c r="I129" s="40"/>
      <c r="L129" s="252">
        <v>43</v>
      </c>
      <c r="M129" s="4" t="str">
        <f t="shared" si="20"/>
        <v>Kalenderwoche 43</v>
      </c>
    </row>
    <row r="130" spans="4:13" x14ac:dyDescent="0.2">
      <c r="D130" s="2" t="s">
        <v>498</v>
      </c>
      <c r="E130" s="3" t="s">
        <v>497</v>
      </c>
      <c r="F130" s="3" t="s">
        <v>503</v>
      </c>
      <c r="G130" s="4" t="s">
        <v>685</v>
      </c>
      <c r="H130" s="30" t="str">
        <f t="shared" si="22"/>
        <v>Vertriebspartner:</v>
      </c>
      <c r="I130" s="40"/>
      <c r="L130" s="252">
        <v>44</v>
      </c>
      <c r="M130" s="4" t="str">
        <f t="shared" si="20"/>
        <v>Kalenderwoche 44</v>
      </c>
    </row>
    <row r="131" spans="4:13" x14ac:dyDescent="0.2">
      <c r="D131" s="2" t="s">
        <v>495</v>
      </c>
      <c r="E131" s="3" t="s">
        <v>505</v>
      </c>
      <c r="F131" s="3" t="s">
        <v>504</v>
      </c>
      <c r="G131" s="4" t="s">
        <v>507</v>
      </c>
      <c r="H131" s="30" t="str">
        <f t="shared" si="22"/>
        <v>Bemerkungen:</v>
      </c>
      <c r="I131" s="40"/>
      <c r="L131" s="252">
        <v>45</v>
      </c>
      <c r="M131" s="4" t="str">
        <f t="shared" si="20"/>
        <v>Kalenderwoche 45</v>
      </c>
    </row>
    <row r="132" spans="4:13" x14ac:dyDescent="0.2">
      <c r="D132" s="2" t="s">
        <v>511</v>
      </c>
      <c r="E132" s="3" t="s">
        <v>515</v>
      </c>
      <c r="F132" s="3" t="s">
        <v>516</v>
      </c>
      <c r="G132" s="4" t="s">
        <v>517</v>
      </c>
      <c r="H132" s="30" t="str">
        <f>IF($B$3=$A$3,D132,IF($B$3=$A$4,E132,IF($B$3=$A$5,F132,IF($B$3=$A$6,G132,""))))</f>
        <v>Öffnung angeben →</v>
      </c>
      <c r="I132" s="40"/>
      <c r="L132" s="252">
        <v>46</v>
      </c>
      <c r="M132" s="4" t="str">
        <f t="shared" si="20"/>
        <v>Kalenderwoche 46</v>
      </c>
    </row>
    <row r="133" spans="4:13" x14ac:dyDescent="0.2">
      <c r="D133" s="2" t="s">
        <v>567</v>
      </c>
      <c r="E133" s="3" t="s">
        <v>568</v>
      </c>
      <c r="F133" s="3" t="s">
        <v>570</v>
      </c>
      <c r="G133" s="4" t="s">
        <v>569</v>
      </c>
      <c r="H133" s="30" t="str">
        <f t="shared" si="22"/>
        <v>5-gleisig</v>
      </c>
      <c r="I133" s="40" t="b">
        <f>IF(AND(I12=TRUE,'Pos. 1'!AT5=1),TRUE,FALSE)</f>
        <v>0</v>
      </c>
      <c r="L133" s="252">
        <v>47</v>
      </c>
      <c r="M133" s="4" t="str">
        <f t="shared" si="20"/>
        <v>Kalenderwoche 47</v>
      </c>
    </row>
    <row r="134" spans="4:13" x14ac:dyDescent="0.2">
      <c r="D134" s="101" t="s">
        <v>572</v>
      </c>
      <c r="E134" s="3" t="s">
        <v>572</v>
      </c>
      <c r="F134" s="3" t="s">
        <v>572</v>
      </c>
      <c r="G134" s="4" t="s">
        <v>572</v>
      </c>
      <c r="H134" s="30" t="str">
        <f t="shared" ref="H134:H157" si="23">IF($B$3=$A$3,D134,IF($B$3=$A$4,E134,IF($B$3=$A$5,F134,IF($B$3=$A$6,G134,""))))</f>
        <v>Features</v>
      </c>
      <c r="I134" s="40"/>
      <c r="J134" s="1" t="str">
        <f>H159</f>
        <v>Keine</v>
      </c>
      <c r="L134" s="252">
        <v>48</v>
      </c>
      <c r="M134" s="4" t="str">
        <f t="shared" si="20"/>
        <v>Kalenderwoche 48</v>
      </c>
    </row>
    <row r="135" spans="4:13" x14ac:dyDescent="0.2">
      <c r="D135" s="2" t="s">
        <v>586</v>
      </c>
      <c r="E135" s="3" t="s">
        <v>588</v>
      </c>
      <c r="F135" s="3" t="s">
        <v>589</v>
      </c>
      <c r="G135" s="4" t="s">
        <v>590</v>
      </c>
      <c r="H135" s="30" t="str">
        <f t="shared" si="23"/>
        <v>Oben Links</v>
      </c>
      <c r="I135" s="40"/>
      <c r="J135" s="1" t="str">
        <f>H135</f>
        <v>Oben Links</v>
      </c>
      <c r="L135" s="252">
        <v>49</v>
      </c>
      <c r="M135" s="4" t="str">
        <f t="shared" si="20"/>
        <v>Kalenderwoche 49</v>
      </c>
    </row>
    <row r="136" spans="4:13" x14ac:dyDescent="0.2">
      <c r="D136" s="2" t="s">
        <v>587</v>
      </c>
      <c r="E136" s="3" t="s">
        <v>591</v>
      </c>
      <c r="F136" s="3" t="s">
        <v>592</v>
      </c>
      <c r="G136" s="4" t="s">
        <v>593</v>
      </c>
      <c r="H136" s="30" t="str">
        <f t="shared" si="23"/>
        <v>Oben Rechts</v>
      </c>
      <c r="I136" s="40"/>
      <c r="J136" s="1" t="str">
        <f>H136</f>
        <v>Oben Rechts</v>
      </c>
      <c r="L136" s="252">
        <v>50</v>
      </c>
      <c r="M136" s="4" t="str">
        <f t="shared" si="20"/>
        <v>Kalenderwoche 50</v>
      </c>
    </row>
    <row r="137" spans="4:13" x14ac:dyDescent="0.2">
      <c r="D137" s="2" t="s">
        <v>594</v>
      </c>
      <c r="E137" s="3" t="s">
        <v>595</v>
      </c>
      <c r="F137" s="3" t="s">
        <v>596</v>
      </c>
      <c r="G137" s="4" t="s">
        <v>597</v>
      </c>
      <c r="H137" s="30" t="str">
        <f t="shared" si="23"/>
        <v>Lage Glasspinne (Ansicht von Aussen)</v>
      </c>
      <c r="I137" s="40"/>
      <c r="L137" s="252">
        <v>51</v>
      </c>
      <c r="M137" s="4" t="str">
        <f t="shared" si="20"/>
        <v>Kalenderwoche 51</v>
      </c>
    </row>
    <row r="138" spans="4:13" ht="13.5" thickBot="1" x14ac:dyDescent="0.25">
      <c r="D138" s="2" t="s">
        <v>598</v>
      </c>
      <c r="E138" s="3" t="s">
        <v>715</v>
      </c>
      <c r="F138" s="3" t="s">
        <v>688</v>
      </c>
      <c r="G138" s="4" t="s">
        <v>697</v>
      </c>
      <c r="H138" s="30" t="str">
        <f t="shared" si="23"/>
        <v>Rinnenbestellung</v>
      </c>
      <c r="I138" s="40"/>
      <c r="L138" s="253">
        <v>52</v>
      </c>
      <c r="M138" s="46" t="str">
        <f t="shared" si="20"/>
        <v>Kalenderwoche 52</v>
      </c>
    </row>
    <row r="139" spans="4:13" x14ac:dyDescent="0.2">
      <c r="D139" s="2" t="s">
        <v>632</v>
      </c>
      <c r="E139" s="3" t="s">
        <v>716</v>
      </c>
      <c r="F139" s="3" t="s">
        <v>709</v>
      </c>
      <c r="G139" s="4" t="s">
        <v>698</v>
      </c>
      <c r="H139" s="30" t="str">
        <f t="shared" si="23"/>
        <v>Wahl des Rinnensystems:</v>
      </c>
      <c r="I139" s="40"/>
    </row>
    <row r="140" spans="4:13" x14ac:dyDescent="0.2">
      <c r="D140" s="2" t="s">
        <v>631</v>
      </c>
      <c r="E140" s="3" t="s">
        <v>717</v>
      </c>
      <c r="F140" s="3" t="s">
        <v>710</v>
      </c>
      <c r="G140" s="317" t="s">
        <v>833</v>
      </c>
      <c r="H140" s="30" t="str">
        <f t="shared" si="23"/>
        <v>Einzug an der linken Anlagenseite:</v>
      </c>
      <c r="I140" s="40"/>
    </row>
    <row r="141" spans="4:13" x14ac:dyDescent="0.2">
      <c r="D141" s="2" t="s">
        <v>630</v>
      </c>
      <c r="E141" s="3" t="s">
        <v>718</v>
      </c>
      <c r="F141" s="3" t="s">
        <v>711</v>
      </c>
      <c r="G141" s="317" t="s">
        <v>834</v>
      </c>
      <c r="H141" s="30" t="str">
        <f t="shared" si="23"/>
        <v>Einzug an der rechten Anlagenseite:</v>
      </c>
      <c r="I141" s="40"/>
    </row>
    <row r="142" spans="4:13" x14ac:dyDescent="0.2">
      <c r="D142" s="2" t="s">
        <v>629</v>
      </c>
      <c r="E142" s="3" t="s">
        <v>719</v>
      </c>
      <c r="F142" s="3" t="s">
        <v>712</v>
      </c>
      <c r="G142" s="4" t="s">
        <v>699</v>
      </c>
      <c r="H142" s="30" t="str">
        <f t="shared" si="23"/>
        <v>Anschlussstutzen:</v>
      </c>
      <c r="I142" s="40"/>
    </row>
    <row r="143" spans="4:13" x14ac:dyDescent="0.2">
      <c r="D143" s="2" t="s">
        <v>599</v>
      </c>
      <c r="E143" s="3" t="s">
        <v>720</v>
      </c>
      <c r="F143" s="3" t="s">
        <v>689</v>
      </c>
      <c r="G143" s="4" t="s">
        <v>700</v>
      </c>
      <c r="H143" s="30" t="str">
        <f t="shared" si="23"/>
        <v>lose mitliefern</v>
      </c>
      <c r="I143" s="40"/>
      <c r="J143" s="1" t="str">
        <f>H143</f>
        <v>lose mitliefern</v>
      </c>
    </row>
    <row r="144" spans="4:13" x14ac:dyDescent="0.2">
      <c r="D144" s="2" t="s">
        <v>600</v>
      </c>
      <c r="E144" s="3" t="s">
        <v>721</v>
      </c>
      <c r="F144" s="3" t="s">
        <v>690</v>
      </c>
      <c r="G144" s="4" t="s">
        <v>701</v>
      </c>
      <c r="H144" s="30" t="str">
        <f t="shared" si="23"/>
        <v>vordefiniert</v>
      </c>
      <c r="I144" s="40"/>
      <c r="J144" s="1" t="str">
        <f>H144</f>
        <v>vordefiniert</v>
      </c>
    </row>
    <row r="145" spans="4:10" x14ac:dyDescent="0.2">
      <c r="D145" s="2" t="s">
        <v>633</v>
      </c>
      <c r="E145" s="3" t="s">
        <v>722</v>
      </c>
      <c r="F145" s="3" t="s">
        <v>713</v>
      </c>
      <c r="G145" s="4" t="s">
        <v>702</v>
      </c>
      <c r="H145" s="30" t="str">
        <f t="shared" si="23"/>
        <v>Anzahl Anschlussstutzen:</v>
      </c>
      <c r="I145" s="40"/>
    </row>
    <row r="146" spans="4:10" x14ac:dyDescent="0.2">
      <c r="D146" s="2" t="s">
        <v>601</v>
      </c>
      <c r="E146" s="3" t="s">
        <v>691</v>
      </c>
      <c r="F146" s="3" t="s">
        <v>691</v>
      </c>
      <c r="G146" s="4" t="s">
        <v>703</v>
      </c>
      <c r="H146" s="30" t="str">
        <f t="shared" si="23"/>
        <v>Typ A</v>
      </c>
      <c r="I146" s="40"/>
      <c r="J146" s="1" t="str">
        <f>H146</f>
        <v>Typ A</v>
      </c>
    </row>
    <row r="147" spans="4:10" x14ac:dyDescent="0.2">
      <c r="D147" s="2" t="s">
        <v>602</v>
      </c>
      <c r="E147" s="3" t="s">
        <v>692</v>
      </c>
      <c r="F147" s="3" t="s">
        <v>692</v>
      </c>
      <c r="G147" s="4" t="s">
        <v>704</v>
      </c>
      <c r="H147" s="30" t="str">
        <f t="shared" si="23"/>
        <v>Typ B</v>
      </c>
      <c r="I147" s="40"/>
      <c r="J147" s="1" t="str">
        <f>H147</f>
        <v>Typ B</v>
      </c>
    </row>
    <row r="148" spans="4:10" x14ac:dyDescent="0.2">
      <c r="D148" s="280" t="s">
        <v>887</v>
      </c>
      <c r="E148" s="316" t="s">
        <v>888</v>
      </c>
      <c r="F148" s="316" t="s">
        <v>889</v>
      </c>
      <c r="G148" s="317" t="s">
        <v>890</v>
      </c>
      <c r="H148" s="30" t="str">
        <f t="shared" si="23"/>
        <v>Abstände Ablaufstutzen (E):</v>
      </c>
      <c r="I148" s="40"/>
    </row>
    <row r="149" spans="4:10" x14ac:dyDescent="0.2">
      <c r="D149" s="2" t="s">
        <v>603</v>
      </c>
      <c r="E149" s="3" t="s">
        <v>723</v>
      </c>
      <c r="F149" s="278" t="s">
        <v>735</v>
      </c>
      <c r="G149" s="4" t="s">
        <v>705</v>
      </c>
      <c r="H149" s="30" t="str">
        <f t="shared" si="23"/>
        <v>Rinnenanschluss:</v>
      </c>
      <c r="I149" s="40"/>
    </row>
    <row r="150" spans="4:10" x14ac:dyDescent="0.2">
      <c r="D150" s="2" t="s">
        <v>680</v>
      </c>
      <c r="E150" s="3" t="s">
        <v>724</v>
      </c>
      <c r="F150" s="3" t="s">
        <v>714</v>
      </c>
      <c r="G150" s="4" t="s">
        <v>706</v>
      </c>
      <c r="H150" s="30" t="str">
        <f t="shared" si="23"/>
        <v>Farbe Panele:</v>
      </c>
      <c r="I150" s="40"/>
    </row>
    <row r="151" spans="4:10" x14ac:dyDescent="0.2">
      <c r="D151" s="2" t="s">
        <v>16</v>
      </c>
      <c r="E151" s="3" t="s">
        <v>16</v>
      </c>
      <c r="F151" s="3" t="s">
        <v>16</v>
      </c>
      <c r="G151" s="4" t="s">
        <v>16</v>
      </c>
      <c r="H151" s="30" t="str">
        <f t="shared" si="23"/>
        <v>Standard</v>
      </c>
      <c r="I151" s="40"/>
      <c r="J151" s="1" t="str">
        <f>H151</f>
        <v>Standard</v>
      </c>
    </row>
    <row r="152" spans="4:10" x14ac:dyDescent="0.2">
      <c r="D152" s="2" t="s">
        <v>681</v>
      </c>
      <c r="E152" s="3" t="s">
        <v>725</v>
      </c>
      <c r="F152" s="3" t="s">
        <v>693</v>
      </c>
      <c r="G152" s="4" t="s">
        <v>707</v>
      </c>
      <c r="H152" s="30" t="str">
        <f t="shared" si="23"/>
        <v>Rahmenfarbe</v>
      </c>
      <c r="I152" s="40"/>
      <c r="J152" s="1" t="str">
        <f>H152</f>
        <v>Rahmenfarbe</v>
      </c>
    </row>
    <row r="153" spans="4:10" x14ac:dyDescent="0.2">
      <c r="D153" s="2" t="s">
        <v>682</v>
      </c>
      <c r="E153" s="3" t="s">
        <v>726</v>
      </c>
      <c r="F153" s="3" t="s">
        <v>694</v>
      </c>
      <c r="G153" s="4" t="s">
        <v>708</v>
      </c>
      <c r="H153" s="30" t="str">
        <f t="shared" si="23"/>
        <v>Glas Satinato</v>
      </c>
      <c r="I153" s="40"/>
      <c r="J153" s="1" t="str">
        <f>H153</f>
        <v>Glas Satinato</v>
      </c>
    </row>
    <row r="154" spans="4:10" x14ac:dyDescent="0.2">
      <c r="D154" s="2" t="s">
        <v>695</v>
      </c>
      <c r="E154" s="3" t="s">
        <v>727</v>
      </c>
      <c r="F154" s="3" t="s">
        <v>728</v>
      </c>
      <c r="G154" s="4" t="s">
        <v>729</v>
      </c>
      <c r="H154" s="30" t="str">
        <f t="shared" si="23"/>
        <v>Kalenderwoche</v>
      </c>
      <c r="I154" s="40"/>
    </row>
    <row r="155" spans="4:10" x14ac:dyDescent="0.2">
      <c r="D155" s="280" t="s">
        <v>751</v>
      </c>
      <c r="E155" s="316" t="s">
        <v>759</v>
      </c>
      <c r="F155" s="316" t="s">
        <v>762</v>
      </c>
      <c r="G155" s="317" t="s">
        <v>777</v>
      </c>
      <c r="H155" s="30" t="str">
        <f>IF($B$3=$A$3,D155,IF($B$3=$A$4,E155,IF($B$3=$A$5,F155,IF($B$3=$A$6,G155,""))))</f>
        <v>Bestellformular unvollständig!</v>
      </c>
      <c r="I155" s="40"/>
    </row>
    <row r="156" spans="4:10" x14ac:dyDescent="0.2">
      <c r="D156" s="280" t="s">
        <v>761</v>
      </c>
      <c r="E156" s="316" t="s">
        <v>760</v>
      </c>
      <c r="F156" s="316" t="s">
        <v>763</v>
      </c>
      <c r="G156" s="317" t="s">
        <v>778</v>
      </c>
      <c r="H156" s="30" t="str">
        <f t="shared" si="23"/>
        <v>Bestellformular vollständig.</v>
      </c>
      <c r="I156" s="40"/>
    </row>
    <row r="157" spans="4:10" x14ac:dyDescent="0.2">
      <c r="D157" s="280" t="s">
        <v>756</v>
      </c>
      <c r="E157" s="316" t="s">
        <v>755</v>
      </c>
      <c r="F157" s="316" t="s">
        <v>754</v>
      </c>
      <c r="G157" s="317" t="s">
        <v>757</v>
      </c>
      <c r="H157" s="30" t="str">
        <f t="shared" si="23"/>
        <v>B2B-Login Projektnr:</v>
      </c>
      <c r="I157" s="40"/>
    </row>
    <row r="158" spans="4:10" ht="12.75" customHeight="1" x14ac:dyDescent="0.2">
      <c r="D158" s="323" t="s">
        <v>766</v>
      </c>
      <c r="E158" s="316" t="s">
        <v>767</v>
      </c>
      <c r="F158" s="316" t="s">
        <v>768</v>
      </c>
      <c r="G158" s="317" t="s">
        <v>769</v>
      </c>
      <c r="H158" s="30" t="str">
        <f t="shared" ref="H158:H167" si="24">IF($B$3=$A$3,D158,IF($B$3=$A$4,E158,IF($B$3=$A$5,F158,IF($B$3=$A$6,G158,""))))</f>
        <v>OHNE Glas</v>
      </c>
      <c r="I158" s="40"/>
    </row>
    <row r="159" spans="4:10" ht="12.75" customHeight="1" x14ac:dyDescent="0.2">
      <c r="D159" s="280" t="s">
        <v>770</v>
      </c>
      <c r="E159" s="316" t="s">
        <v>771</v>
      </c>
      <c r="F159" s="316" t="s">
        <v>285</v>
      </c>
      <c r="G159" s="317" t="s">
        <v>298</v>
      </c>
      <c r="H159" s="30" t="str">
        <f t="shared" si="24"/>
        <v>Keine</v>
      </c>
      <c r="I159" s="40"/>
    </row>
    <row r="160" spans="4:10" ht="12.75" customHeight="1" x14ac:dyDescent="0.2">
      <c r="D160" s="280" t="s">
        <v>773</v>
      </c>
      <c r="E160" s="316" t="s">
        <v>774</v>
      </c>
      <c r="F160" s="316" t="s">
        <v>775</v>
      </c>
      <c r="G160" s="317" t="s">
        <v>776</v>
      </c>
      <c r="H160" s="30" t="str">
        <f t="shared" si="24"/>
        <v>(auf Anfrage)</v>
      </c>
      <c r="I160" s="40"/>
    </row>
    <row r="161" spans="4:10" x14ac:dyDescent="0.2">
      <c r="D161" s="280" t="s">
        <v>797</v>
      </c>
      <c r="E161" s="316" t="s">
        <v>794</v>
      </c>
      <c r="F161" s="316" t="s">
        <v>796</v>
      </c>
      <c r="G161" s="317" t="s">
        <v>795</v>
      </c>
      <c r="H161" s="30" t="str">
        <f t="shared" si="24"/>
        <v>ohne Verschlussraster (Zylinder)</v>
      </c>
      <c r="I161" s="40"/>
    </row>
    <row r="162" spans="4:10" x14ac:dyDescent="0.2">
      <c r="D162" s="2"/>
      <c r="E162" s="3"/>
      <c r="F162" s="3"/>
      <c r="G162" s="4"/>
      <c r="H162" s="30">
        <f t="shared" si="24"/>
        <v>0</v>
      </c>
      <c r="I162" s="40"/>
    </row>
    <row r="163" spans="4:10" x14ac:dyDescent="0.2">
      <c r="D163" s="2"/>
      <c r="E163" s="3"/>
      <c r="F163" s="3"/>
      <c r="G163" s="4"/>
      <c r="H163" s="30">
        <f t="shared" si="24"/>
        <v>0</v>
      </c>
      <c r="I163" s="40"/>
    </row>
    <row r="164" spans="4:10" x14ac:dyDescent="0.2">
      <c r="D164" s="2"/>
      <c r="E164" s="3"/>
      <c r="F164" s="3"/>
      <c r="G164" s="4"/>
      <c r="H164" s="30">
        <f t="shared" si="24"/>
        <v>0</v>
      </c>
      <c r="I164" s="40"/>
    </row>
    <row r="165" spans="4:10" x14ac:dyDescent="0.2">
      <c r="D165" s="280" t="s">
        <v>937</v>
      </c>
      <c r="E165" s="335" t="s">
        <v>938</v>
      </c>
      <c r="F165" s="335" t="s">
        <v>504</v>
      </c>
      <c r="G165" s="335" t="s">
        <v>939</v>
      </c>
      <c r="H165" s="48" t="str">
        <f t="shared" si="24"/>
        <v>Hinweise:</v>
      </c>
      <c r="I165" s="40"/>
    </row>
    <row r="166" spans="4:10" x14ac:dyDescent="0.2">
      <c r="D166" s="280" t="s">
        <v>799</v>
      </c>
      <c r="E166" s="336" t="s">
        <v>807</v>
      </c>
      <c r="F166" s="335" t="s">
        <v>815</v>
      </c>
      <c r="G166" s="336" t="s">
        <v>823</v>
      </c>
      <c r="H166" s="48" t="str">
        <f t="shared" si="24"/>
        <v>Angabe erstöffnender Flügel</v>
      </c>
      <c r="I166" s="40"/>
    </row>
    <row r="167" spans="4:10" ht="102" x14ac:dyDescent="0.2">
      <c r="D167" s="334" t="s">
        <v>800</v>
      </c>
      <c r="E167" s="337" t="s">
        <v>808</v>
      </c>
      <c r="F167" s="337" t="s">
        <v>816</v>
      </c>
      <c r="G167" s="337" t="s">
        <v>824</v>
      </c>
      <c r="H167" s="48" t="str">
        <f t="shared" si="24"/>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0"/>
    </row>
    <row r="168" spans="4:10" x14ac:dyDescent="0.2">
      <c r="D168" s="334" t="s">
        <v>801</v>
      </c>
      <c r="E168" s="336" t="s">
        <v>809</v>
      </c>
      <c r="F168" s="336" t="s">
        <v>817</v>
      </c>
      <c r="G168" s="337" t="s">
        <v>825</v>
      </c>
      <c r="H168" s="48" t="str">
        <f t="shared" ref="H168:H180" si="25">IF($B$3=$A$3,D168,IF($B$3=$A$4,E168,IF($B$3=$A$5,F168,IF($B$3=$A$6,G168,""))))</f>
        <v>Eingabe Ecke ≠ 90° (von 60° - 160°)</v>
      </c>
      <c r="I168" s="40"/>
    </row>
    <row r="169" spans="4:10" ht="63.75" x14ac:dyDescent="0.2">
      <c r="D169" s="334" t="s">
        <v>802</v>
      </c>
      <c r="E169" s="337" t="s">
        <v>810</v>
      </c>
      <c r="F169" s="337" t="s">
        <v>818</v>
      </c>
      <c r="G169" s="337" t="s">
        <v>826</v>
      </c>
      <c r="H169" s="48" t="str">
        <f t="shared" si="25"/>
        <v xml:space="preserve">Um eine Ecke auszuwählen, welche grösser oder kleiner wie 90° ist, muss das dementsprechende Feld ausgewählt werden. Danach muss der gewünschte Wert angegeben werden. </v>
      </c>
      <c r="I169" s="40"/>
    </row>
    <row r="170" spans="4:10" ht="25.5" x14ac:dyDescent="0.2">
      <c r="D170" s="334" t="s">
        <v>803</v>
      </c>
      <c r="E170" s="336" t="s">
        <v>811</v>
      </c>
      <c r="F170" s="336" t="s">
        <v>819</v>
      </c>
      <c r="G170" s="337" t="s">
        <v>827</v>
      </c>
      <c r="H170" s="48" t="str">
        <f t="shared" si="25"/>
        <v>Breitenangabe bei Eckanlagen</v>
      </c>
      <c r="I170" s="40"/>
    </row>
    <row r="171" spans="4:10" ht="102" x14ac:dyDescent="0.2">
      <c r="D171" s="334" t="s">
        <v>804</v>
      </c>
      <c r="E171" s="337" t="s">
        <v>812</v>
      </c>
      <c r="F171" s="337" t="s">
        <v>820</v>
      </c>
      <c r="G171" s="337" t="s">
        <v>828</v>
      </c>
      <c r="H171" s="48" t="str">
        <f t="shared" si="25"/>
        <v>Wird eine Eckanlage eingegeben, erscheint bei der Angabe "Breite" automatisch ein neues Eingabefeld. Die Länge der einzelnen Fronten muss hier separat angegeben werden (Rahmenaussenmass). Die verschiedenen Fronten sind von links nach rechts anzugeben:</v>
      </c>
      <c r="I171" s="40"/>
    </row>
    <row r="172" spans="4:10" x14ac:dyDescent="0.2">
      <c r="D172" s="334" t="s">
        <v>805</v>
      </c>
      <c r="E172" s="336" t="s">
        <v>813</v>
      </c>
      <c r="F172" s="336" t="s">
        <v>821</v>
      </c>
      <c r="G172" s="337" t="s">
        <v>829</v>
      </c>
      <c r="H172" s="48" t="str">
        <f t="shared" si="25"/>
        <v>Rinnenlänge angeben</v>
      </c>
      <c r="I172" s="40"/>
    </row>
    <row r="173" spans="4:10" ht="140.25" x14ac:dyDescent="0.2">
      <c r="D173" s="334" t="s">
        <v>806</v>
      </c>
      <c r="E173" s="338" t="s">
        <v>814</v>
      </c>
      <c r="F173" s="337" t="s">
        <v>822</v>
      </c>
      <c r="G173" s="337" t="s">
        <v>830</v>
      </c>
      <c r="H173" s="48" t="str">
        <f t="shared" si="2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0"/>
    </row>
    <row r="174" spans="4:10" x14ac:dyDescent="0.2">
      <c r="D174" s="280" t="s">
        <v>16</v>
      </c>
      <c r="E174" s="316" t="s">
        <v>16</v>
      </c>
      <c r="F174" s="316" t="s">
        <v>16</v>
      </c>
      <c r="G174" s="317" t="s">
        <v>16</v>
      </c>
      <c r="H174" s="48" t="str">
        <f t="shared" si="25"/>
        <v>Standard</v>
      </c>
      <c r="I174" s="40"/>
      <c r="J174" s="1" t="str">
        <f>H174</f>
        <v>Standard</v>
      </c>
    </row>
    <row r="175" spans="4:10" x14ac:dyDescent="0.2">
      <c r="D175" s="280" t="s">
        <v>846</v>
      </c>
      <c r="E175" s="316" t="s">
        <v>847</v>
      </c>
      <c r="F175" s="316" t="s">
        <v>848</v>
      </c>
      <c r="G175" s="317" t="s">
        <v>849</v>
      </c>
      <c r="H175" s="48" t="str">
        <f t="shared" si="25"/>
        <v>Seaside (Pool/Meer)</v>
      </c>
      <c r="I175" s="40"/>
      <c r="J175" s="1" t="str">
        <f>H175</f>
        <v>Seaside (Pool/Meer)</v>
      </c>
    </row>
    <row r="176" spans="4:10" x14ac:dyDescent="0.2">
      <c r="D176" s="280" t="s">
        <v>853</v>
      </c>
      <c r="E176" s="316" t="s">
        <v>854</v>
      </c>
      <c r="F176" s="316" t="s">
        <v>855</v>
      </c>
      <c r="G176" s="317" t="s">
        <v>859</v>
      </c>
      <c r="H176" s="48" t="str">
        <f t="shared" si="25"/>
        <v>Pulverlack Klasse:</v>
      </c>
      <c r="I176" s="40"/>
    </row>
    <row r="177" spans="4:10" x14ac:dyDescent="0.2">
      <c r="D177" s="280" t="s">
        <v>856</v>
      </c>
      <c r="E177" s="316" t="s">
        <v>856</v>
      </c>
      <c r="F177" s="316" t="s">
        <v>856</v>
      </c>
      <c r="G177" s="317" t="s">
        <v>856</v>
      </c>
      <c r="H177" s="48" t="str">
        <f t="shared" si="25"/>
        <v>Qualicoat 1</v>
      </c>
      <c r="I177" s="40"/>
      <c r="J177" s="1" t="str">
        <f>H177</f>
        <v>Qualicoat 1</v>
      </c>
    </row>
    <row r="178" spans="4:10" x14ac:dyDescent="0.2">
      <c r="D178" s="280" t="s">
        <v>857</v>
      </c>
      <c r="E178" s="316" t="s">
        <v>857</v>
      </c>
      <c r="F178" s="316" t="s">
        <v>857</v>
      </c>
      <c r="G178" s="317" t="s">
        <v>857</v>
      </c>
      <c r="H178" s="48" t="str">
        <f t="shared" si="25"/>
        <v>Qualicoat 2</v>
      </c>
      <c r="I178" s="40"/>
      <c r="J178" s="1" t="str">
        <f>H178</f>
        <v>Qualicoat 2</v>
      </c>
    </row>
    <row r="179" spans="4:10" x14ac:dyDescent="0.2">
      <c r="D179" s="280" t="s">
        <v>879</v>
      </c>
      <c r="E179" s="316" t="s">
        <v>881</v>
      </c>
      <c r="F179" s="316" t="s">
        <v>880</v>
      </c>
      <c r="G179" s="317" t="s">
        <v>886</v>
      </c>
      <c r="H179" s="48" t="str">
        <f t="shared" si="25"/>
        <v>Übersicht:</v>
      </c>
      <c r="I179" s="40"/>
    </row>
    <row r="180" spans="4:10" x14ac:dyDescent="0.2">
      <c r="D180" s="280" t="s">
        <v>875</v>
      </c>
      <c r="E180" s="316" t="s">
        <v>876</v>
      </c>
      <c r="F180" s="316" t="s">
        <v>877</v>
      </c>
      <c r="G180" s="317" t="s">
        <v>878</v>
      </c>
      <c r="H180" s="48" t="str">
        <f t="shared" si="25"/>
        <v>VE</v>
      </c>
      <c r="I180" s="40"/>
    </row>
    <row r="181" spans="4:10" x14ac:dyDescent="0.2">
      <c r="D181" s="280" t="s">
        <v>893</v>
      </c>
      <c r="E181" s="316" t="s">
        <v>940</v>
      </c>
      <c r="F181" s="316" t="s">
        <v>941</v>
      </c>
      <c r="G181" s="317" t="s">
        <v>919</v>
      </c>
      <c r="H181" s="48" t="str">
        <f t="shared" ref="H181" si="26">IF($B$3=$A$3,D181,IF($B$3=$A$4,E181,IF($B$3=$A$5,F181,IF($B$3=$A$6,G181,""))))</f>
        <v>Sky-Frame Beratung vorhanden:</v>
      </c>
      <c r="I181" s="40"/>
    </row>
    <row r="182" spans="4:10" x14ac:dyDescent="0.2">
      <c r="D182" s="280" t="s">
        <v>894</v>
      </c>
      <c r="E182" s="316" t="s">
        <v>942</v>
      </c>
      <c r="F182" s="316" t="s">
        <v>943</v>
      </c>
      <c r="G182" s="317" t="s">
        <v>918</v>
      </c>
      <c r="H182" s="48" t="str">
        <f t="shared" ref="H182:H195" si="27">IF($B$3=$A$3,D182,IF($B$3=$A$4,E182,IF($B$3=$A$5,F182,IF($B$3=$A$6,G182,""))))</f>
        <v>Beratungsnummer: (z.B. P123456)</v>
      </c>
      <c r="I182" s="40"/>
    </row>
    <row r="183" spans="4:10" x14ac:dyDescent="0.2">
      <c r="D183" s="280" t="s">
        <v>895</v>
      </c>
      <c r="E183" s="316" t="s">
        <v>896</v>
      </c>
      <c r="F183" s="316" t="s">
        <v>944</v>
      </c>
      <c r="G183" s="317" t="s">
        <v>917</v>
      </c>
      <c r="H183" s="48" t="str">
        <f t="shared" si="27"/>
        <v>Inch-Rechner</v>
      </c>
      <c r="I183" s="40"/>
    </row>
    <row r="184" spans="4:10" x14ac:dyDescent="0.2">
      <c r="D184" s="280" t="s">
        <v>897</v>
      </c>
      <c r="E184" s="316" t="s">
        <v>898</v>
      </c>
      <c r="F184" s="316" t="s">
        <v>945</v>
      </c>
      <c r="G184" s="317" t="s">
        <v>916</v>
      </c>
      <c r="H184" s="48" t="str">
        <f t="shared" si="27"/>
        <v>Fuss:</v>
      </c>
      <c r="I184" s="40"/>
    </row>
    <row r="185" spans="4:10" x14ac:dyDescent="0.2">
      <c r="D185" s="280" t="s">
        <v>899</v>
      </c>
      <c r="E185" s="316" t="s">
        <v>900</v>
      </c>
      <c r="F185" s="316" t="s">
        <v>946</v>
      </c>
      <c r="G185" s="317" t="s">
        <v>915</v>
      </c>
      <c r="H185" s="48" t="str">
        <f t="shared" si="27"/>
        <v>Zoll:</v>
      </c>
      <c r="I185" s="40"/>
    </row>
    <row r="186" spans="4:10" x14ac:dyDescent="0.2">
      <c r="D186" s="280" t="s">
        <v>901</v>
      </c>
      <c r="E186" s="316" t="s">
        <v>947</v>
      </c>
      <c r="F186" s="316" t="s">
        <v>948</v>
      </c>
      <c r="G186" s="317" t="s">
        <v>914</v>
      </c>
      <c r="H186" s="48" t="str">
        <f t="shared" si="27"/>
        <v>Bemassung Bahnhof</v>
      </c>
      <c r="I186" s="40"/>
    </row>
    <row r="187" spans="4:10" ht="102" x14ac:dyDescent="0.2">
      <c r="D187" s="434" t="s">
        <v>902</v>
      </c>
      <c r="E187" s="338" t="s">
        <v>949</v>
      </c>
      <c r="F187" s="338" t="s">
        <v>950</v>
      </c>
      <c r="G187" s="435" t="s">
        <v>903</v>
      </c>
      <c r="H187" s="48" t="str">
        <f t="shared" si="27"/>
        <v>Die Vermassung von Bahnhofanlagen funktioniert gleich wie bei normalen Rahmen. Bitte geben Sie uns als Rahmenmass das komplette Mass von Aussenkant Rahmen an. Für die Vermassung der Labyrinthposition geben Sie bitte das Mass bis Achse Labyrinth an.</v>
      </c>
      <c r="I187" s="40"/>
    </row>
    <row r="188" spans="4:10" x14ac:dyDescent="0.2">
      <c r="D188" s="280" t="s">
        <v>904</v>
      </c>
      <c r="E188" s="316" t="s">
        <v>951</v>
      </c>
      <c r="F188" s="316" t="s">
        <v>952</v>
      </c>
      <c r="G188" s="317" t="s">
        <v>913</v>
      </c>
      <c r="H188" s="48" t="str">
        <f t="shared" si="27"/>
        <v>Bahnhof Typ 1:</v>
      </c>
      <c r="I188" s="40"/>
    </row>
    <row r="189" spans="4:10" x14ac:dyDescent="0.2">
      <c r="D189" s="280" t="s">
        <v>905</v>
      </c>
      <c r="E189" s="316" t="s">
        <v>953</v>
      </c>
      <c r="F189" s="316" t="s">
        <v>954</v>
      </c>
      <c r="G189" s="317" t="s">
        <v>912</v>
      </c>
      <c r="H189" s="48" t="str">
        <f t="shared" si="27"/>
        <v>Bahnhof Typ 2:</v>
      </c>
      <c r="I189" s="40"/>
    </row>
    <row r="190" spans="4:10" x14ac:dyDescent="0.2">
      <c r="D190" s="280" t="s">
        <v>906</v>
      </c>
      <c r="E190" s="316" t="s">
        <v>274</v>
      </c>
      <c r="F190" s="316" t="s">
        <v>292</v>
      </c>
      <c r="G190" s="317" t="s">
        <v>303</v>
      </c>
      <c r="H190" s="48" t="str">
        <f t="shared" si="27"/>
        <v>schwarz</v>
      </c>
      <c r="I190" s="40"/>
    </row>
    <row r="191" spans="4:10" x14ac:dyDescent="0.2">
      <c r="D191" s="280" t="s">
        <v>681</v>
      </c>
      <c r="E191" s="316" t="s">
        <v>907</v>
      </c>
      <c r="F191" s="316" t="s">
        <v>908</v>
      </c>
      <c r="G191" s="317" t="s">
        <v>909</v>
      </c>
      <c r="H191" s="48" t="str">
        <f t="shared" si="27"/>
        <v>Rahmenfarbe</v>
      </c>
      <c r="I191" s="40"/>
    </row>
    <row r="192" spans="4:10" x14ac:dyDescent="0.2">
      <c r="D192" s="280" t="s">
        <v>906</v>
      </c>
      <c r="E192" s="316" t="s">
        <v>274</v>
      </c>
      <c r="F192" s="316" t="s">
        <v>292</v>
      </c>
      <c r="G192" s="317" t="s">
        <v>303</v>
      </c>
      <c r="H192" s="48" t="str">
        <f t="shared" si="27"/>
        <v>schwarz</v>
      </c>
      <c r="I192" s="40"/>
    </row>
    <row r="193" spans="4:9" x14ac:dyDescent="0.2">
      <c r="D193" s="280" t="s">
        <v>920</v>
      </c>
      <c r="E193" s="316" t="s">
        <v>921</v>
      </c>
      <c r="F193" s="316" t="s">
        <v>955</v>
      </c>
      <c r="G193" s="317" t="s">
        <v>956</v>
      </c>
      <c r="H193" s="48" t="str">
        <f t="shared" si="27"/>
        <v>Sonstiges:</v>
      </c>
      <c r="I193" s="40"/>
    </row>
    <row r="194" spans="4:9" x14ac:dyDescent="0.2">
      <c r="D194" s="280" t="s">
        <v>922</v>
      </c>
      <c r="E194" s="316" t="s">
        <v>923</v>
      </c>
      <c r="F194" s="316" t="s">
        <v>957</v>
      </c>
      <c r="G194" s="317" t="s">
        <v>958</v>
      </c>
      <c r="H194" s="48" t="str">
        <f t="shared" si="27"/>
        <v>Sichtbare Rahmenprofile (aussen):</v>
      </c>
      <c r="I194" s="40"/>
    </row>
    <row r="195" spans="4:9" x14ac:dyDescent="0.2">
      <c r="D195" s="280" t="s">
        <v>924</v>
      </c>
      <c r="E195" s="316" t="s">
        <v>925</v>
      </c>
      <c r="F195" s="316" t="s">
        <v>959</v>
      </c>
      <c r="G195" s="317" t="s">
        <v>960</v>
      </c>
      <c r="H195" s="48" t="str">
        <f t="shared" si="27"/>
        <v>Lieferung Glas und Rahmen:</v>
      </c>
      <c r="I195" s="40"/>
    </row>
    <row r="196" spans="4:9" x14ac:dyDescent="0.2">
      <c r="D196" s="280" t="s">
        <v>926</v>
      </c>
      <c r="E196" s="316" t="s">
        <v>927</v>
      </c>
      <c r="F196" s="316" t="s">
        <v>961</v>
      </c>
      <c r="G196" s="317" t="s">
        <v>962</v>
      </c>
      <c r="H196" s="48" t="str">
        <f t="shared" ref="H196:H206" si="28">IF($B$3=$A$3,D196,IF($B$3=$A$4,E196,IF($B$3=$A$5,F196,IF($B$3=$A$6,G196,""))))</f>
        <v>zusammen</v>
      </c>
      <c r="I196" s="40"/>
    </row>
    <row r="197" spans="4:9" x14ac:dyDescent="0.2">
      <c r="D197" s="280" t="s">
        <v>928</v>
      </c>
      <c r="E197" s="316" t="s">
        <v>929</v>
      </c>
      <c r="F197" s="316" t="s">
        <v>963</v>
      </c>
      <c r="G197" s="317" t="s">
        <v>964</v>
      </c>
      <c r="H197" s="48" t="str">
        <f t="shared" si="28"/>
        <v>getrennt</v>
      </c>
      <c r="I197" s="40"/>
    </row>
    <row r="198" spans="4:9" x14ac:dyDescent="0.2">
      <c r="D198" s="280" t="s">
        <v>930</v>
      </c>
      <c r="E198" s="316" t="s">
        <v>931</v>
      </c>
      <c r="F198" s="316" t="s">
        <v>931</v>
      </c>
      <c r="G198" s="317" t="s">
        <v>965</v>
      </c>
      <c r="H198" s="48" t="str">
        <f t="shared" si="28"/>
        <v>sichtbar</v>
      </c>
      <c r="I198" s="40"/>
    </row>
    <row r="199" spans="4:9" x14ac:dyDescent="0.2">
      <c r="D199" s="280" t="s">
        <v>932</v>
      </c>
      <c r="E199" s="316" t="s">
        <v>933</v>
      </c>
      <c r="F199" s="316" t="s">
        <v>966</v>
      </c>
      <c r="G199" s="317" t="s">
        <v>967</v>
      </c>
      <c r="H199" s="48" t="str">
        <f t="shared" si="28"/>
        <v>nicht sichtbar</v>
      </c>
      <c r="I199" s="40"/>
    </row>
    <row r="200" spans="4:9" x14ac:dyDescent="0.2">
      <c r="D200" s="280"/>
      <c r="E200" s="316"/>
      <c r="F200" s="316"/>
      <c r="G200" s="317"/>
      <c r="H200" s="48">
        <f t="shared" si="28"/>
        <v>0</v>
      </c>
      <c r="I200" s="40"/>
    </row>
    <row r="201" spans="4:9" x14ac:dyDescent="0.2">
      <c r="D201" s="2"/>
      <c r="E201" s="3"/>
      <c r="F201" s="3"/>
      <c r="G201" s="4"/>
      <c r="H201" s="48">
        <f t="shared" si="28"/>
        <v>0</v>
      </c>
      <c r="I201" s="40"/>
    </row>
    <row r="202" spans="4:9" x14ac:dyDescent="0.2">
      <c r="D202" s="2"/>
      <c r="E202" s="3"/>
      <c r="F202" s="3"/>
      <c r="G202" s="4"/>
      <c r="H202" s="48">
        <f t="shared" si="28"/>
        <v>0</v>
      </c>
      <c r="I202" s="40"/>
    </row>
    <row r="203" spans="4:9" x14ac:dyDescent="0.2">
      <c r="D203" s="2"/>
      <c r="E203" s="3"/>
      <c r="F203" s="3"/>
      <c r="G203" s="4"/>
      <c r="H203" s="48">
        <f t="shared" si="28"/>
        <v>0</v>
      </c>
      <c r="I203" s="40"/>
    </row>
    <row r="204" spans="4:9" x14ac:dyDescent="0.2">
      <c r="D204" s="2"/>
      <c r="E204" s="3"/>
      <c r="F204" s="3"/>
      <c r="G204" s="4"/>
      <c r="H204" s="48">
        <f t="shared" si="28"/>
        <v>0</v>
      </c>
      <c r="I204" s="40"/>
    </row>
    <row r="205" spans="4:9" x14ac:dyDescent="0.2">
      <c r="D205" s="2"/>
      <c r="E205" s="3"/>
      <c r="F205" s="3"/>
      <c r="G205" s="4"/>
      <c r="H205" s="48">
        <f t="shared" si="28"/>
        <v>0</v>
      </c>
      <c r="I205" s="40"/>
    </row>
    <row r="206" spans="4:9" x14ac:dyDescent="0.2">
      <c r="D206" s="2"/>
      <c r="E206" s="3"/>
      <c r="F206" s="3"/>
      <c r="G206" s="4"/>
      <c r="H206" s="48">
        <f t="shared" si="28"/>
        <v>0</v>
      </c>
      <c r="I206" s="40"/>
    </row>
  </sheetData>
  <mergeCells count="5">
    <mergeCell ref="N40:P40"/>
    <mergeCell ref="AB4:AB18"/>
    <mergeCell ref="M60:M61"/>
    <mergeCell ref="B87:C87"/>
    <mergeCell ref="L85:M85"/>
  </mergeCells>
  <dataValidations disablePrompts="1" count="1">
    <dataValidation type="list" allowBlank="1" showInputMessage="1" showErrorMessage="1" sqref="P38" xr:uid="{00000000-0002-0000-0200-000000000000}">
      <formula1>$O$45:$O$46</formula1>
    </dataValidation>
  </dataValidations>
  <pageMargins left="0.7" right="0.7" top="0.78740157499999996" bottom="0.78740157499999996" header="0.3" footer="0.3"/>
  <pageSetup paperSize="9" orientation="portrait" r:id="rId1"/>
  <ignoredErrors>
    <ignoredError sqref="H89"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Eingabefenste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5" width="11.42578125" style="141"/>
    <col min="56" max="56" width="5.5703125" style="141" customWidth="1"/>
    <col min="57" max="57" width="5" style="141" customWidth="1"/>
    <col min="58" max="58" width="1.85546875" style="141" customWidth="1"/>
    <col min="59" max="59" width="5.7109375" style="141" customWidth="1"/>
    <col min="60" max="60" width="6.28515625" style="141" customWidth="1"/>
    <col min="61" max="61" width="5.85546875" style="141" customWidth="1"/>
    <col min="62" max="64" width="0" style="141" hidden="1" customWidth="1"/>
    <col min="65" max="16384" width="11.42578125" style="141"/>
  </cols>
  <sheetData>
    <row r="1" spans="1:64" ht="13.5" thickBot="1" x14ac:dyDescent="0.25">
      <c r="A1" s="159" t="s">
        <v>519</v>
      </c>
      <c r="C1" s="60"/>
      <c r="AW1" s="160"/>
    </row>
    <row r="2" spans="1:64" ht="13.5" thickTop="1" x14ac:dyDescent="0.2">
      <c r="B2" s="203">
        <v>1</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113"/>
      <c r="AW2" s="414"/>
      <c r="AX2" s="240"/>
      <c r="AY2" s="240"/>
      <c r="AZ2" s="240"/>
      <c r="BA2" s="240"/>
      <c r="BB2" s="363" t="str">
        <f>CONCATENATE(ROUND(SUM(I46:K49)*Z42/1000000,2)*AJ6,"m²")</f>
        <v>0m²</v>
      </c>
      <c r="BD2" s="239"/>
      <c r="BE2" s="240"/>
      <c r="BF2" s="240"/>
      <c r="BG2" s="240"/>
      <c r="BH2" s="240"/>
      <c r="BI2" s="241"/>
    </row>
    <row r="3" spans="1:64" ht="36.75" customHeight="1" x14ac:dyDescent="0.3">
      <c r="B3" s="202"/>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142"/>
      <c r="AR3" s="83"/>
      <c r="AS3" s="83"/>
      <c r="AT3" s="143" t="s">
        <v>772</v>
      </c>
      <c r="AU3" s="115"/>
      <c r="AW3" s="242"/>
      <c r="AX3" s="243" t="str">
        <f>'Sprachen &amp; Rückgabewerte'!$H$2</f>
        <v>Sprache:</v>
      </c>
      <c r="AY3" s="60"/>
      <c r="AZ3" s="60"/>
      <c r="BA3" s="60"/>
      <c r="BB3" s="379" t="str">
        <f>IF(AJ6&gt;1,CONCATENATE(AH6," ",AJ6),"")</f>
        <v/>
      </c>
      <c r="BD3" s="242"/>
      <c r="BE3" s="411" t="str">
        <f>'Sprachen &amp; Rückgabewerte'!H183</f>
        <v>Inch-Rechner</v>
      </c>
      <c r="BF3" s="411"/>
      <c r="BG3" s="60"/>
      <c r="BH3" s="60"/>
      <c r="BI3" s="244"/>
    </row>
    <row r="4" spans="1:64" ht="19.5" customHeight="1" x14ac:dyDescent="0.2">
      <c r="B4" s="11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113"/>
      <c r="AW4" s="242"/>
      <c r="AX4" s="60"/>
      <c r="AY4" s="60"/>
      <c r="AZ4" s="60"/>
      <c r="BA4" s="60"/>
      <c r="BB4" s="244"/>
      <c r="BD4" s="242"/>
      <c r="BE4" s="415" t="str">
        <f>'Sprachen &amp; Rückgabewerte'!H184</f>
        <v>Fuss:</v>
      </c>
      <c r="BF4" s="156"/>
      <c r="BG4" s="415" t="str">
        <f>'Sprachen &amp; Rückgabewerte'!H185</f>
        <v>Zoll:</v>
      </c>
      <c r="BH4" s="60"/>
      <c r="BI4" s="244"/>
    </row>
    <row r="5" spans="1:64" x14ac:dyDescent="0.2">
      <c r="B5" s="59"/>
      <c r="C5" s="126"/>
      <c r="D5" s="127"/>
      <c r="E5" s="128" t="str">
        <f>'Sprachen &amp; Rückgabewerte'!H4</f>
        <v>BESTELLUNG</v>
      </c>
      <c r="F5" s="127"/>
      <c r="G5" s="127"/>
      <c r="H5" s="127"/>
      <c r="I5" s="127"/>
      <c r="J5" s="127"/>
      <c r="K5" s="127"/>
      <c r="L5" s="127"/>
      <c r="M5" s="127"/>
      <c r="N5" s="127"/>
      <c r="O5" s="127"/>
      <c r="P5" s="127"/>
      <c r="Q5" s="127"/>
      <c r="R5" s="129"/>
      <c r="S5" s="696" t="str">
        <f>'Sprachen &amp; Rückgabewerte'!$H$130</f>
        <v>Vertriebspartner:</v>
      </c>
      <c r="T5" s="697"/>
      <c r="U5" s="697"/>
      <c r="V5" s="697"/>
      <c r="W5" s="697"/>
      <c r="X5" s="698"/>
      <c r="Y5" s="661"/>
      <c r="Z5" s="662"/>
      <c r="AA5" s="662"/>
      <c r="AB5" s="662"/>
      <c r="AC5" s="662"/>
      <c r="AD5" s="662"/>
      <c r="AE5" s="662"/>
      <c r="AF5" s="663"/>
      <c r="AG5" s="144"/>
      <c r="AH5" s="130" t="str">
        <f>'Sprachen &amp; Rückgabewerte'!H55</f>
        <v>Pos:</v>
      </c>
      <c r="AI5" s="145"/>
      <c r="AJ5" s="705"/>
      <c r="AK5" s="706"/>
      <c r="AL5" s="707"/>
      <c r="AM5" s="144"/>
      <c r="AN5" s="130" t="str">
        <f>'Sprachen &amp; Rückgabewerte'!$H$10</f>
        <v>2-gleisig</v>
      </c>
      <c r="AO5" s="145"/>
      <c r="AP5" s="145"/>
      <c r="AQ5" s="145"/>
      <c r="AR5" s="145"/>
      <c r="AS5" s="145"/>
      <c r="AT5" s="331"/>
      <c r="AU5" s="114"/>
      <c r="AW5" s="242"/>
      <c r="AX5" s="60"/>
      <c r="AY5" s="60"/>
      <c r="AZ5" s="60"/>
      <c r="BA5" s="60"/>
      <c r="BB5" s="244"/>
      <c r="BD5" s="242"/>
      <c r="BE5" s="548"/>
      <c r="BF5" s="550" t="str">
        <f>"'"</f>
        <v>'</v>
      </c>
      <c r="BG5" s="551"/>
      <c r="BH5" s="412"/>
      <c r="BI5" s="244"/>
      <c r="BJ5" s="141">
        <f>BE5*304.8</f>
        <v>0</v>
      </c>
      <c r="BK5" s="141">
        <f>BG5*25.4</f>
        <v>0</v>
      </c>
      <c r="BL5" s="141">
        <f>IF(AND(BH5="",BH6=""),0,25.4*BH5/BH6)</f>
        <v>0</v>
      </c>
    </row>
    <row r="6" spans="1:64" x14ac:dyDescent="0.2">
      <c r="B6" s="59"/>
      <c r="C6" s="131"/>
      <c r="D6" s="132"/>
      <c r="E6" s="66"/>
      <c r="F6" s="132" t="str">
        <f>'Sprachen &amp; Rückgabewerte'!$H$5</f>
        <v>Gemäss Zeichnung Nr.:</v>
      </c>
      <c r="G6" s="132"/>
      <c r="H6" s="132"/>
      <c r="I6" s="132"/>
      <c r="J6" s="132"/>
      <c r="K6" s="132"/>
      <c r="L6" s="146"/>
      <c r="M6" s="699"/>
      <c r="N6" s="700"/>
      <c r="O6" s="700"/>
      <c r="P6" s="700"/>
      <c r="Q6" s="701"/>
      <c r="R6" s="133"/>
      <c r="S6" s="134" t="str">
        <f>'Sprachen &amp; Rückgabewerte'!$H$7</f>
        <v xml:space="preserve">Objekt: </v>
      </c>
      <c r="T6" s="132"/>
      <c r="U6" s="132"/>
      <c r="V6" s="132"/>
      <c r="W6" s="132"/>
      <c r="X6" s="90"/>
      <c r="Y6" s="711"/>
      <c r="Z6" s="712"/>
      <c r="AA6" s="712"/>
      <c r="AB6" s="712"/>
      <c r="AC6" s="712"/>
      <c r="AD6" s="712"/>
      <c r="AE6" s="712"/>
      <c r="AF6" s="713"/>
      <c r="AG6" s="133"/>
      <c r="AH6" s="134" t="str">
        <f>'Sprachen &amp; Rückgabewerte'!H56</f>
        <v>Stück:</v>
      </c>
      <c r="AI6" s="132"/>
      <c r="AJ6" s="702"/>
      <c r="AK6" s="703"/>
      <c r="AL6" s="704"/>
      <c r="AM6" s="116"/>
      <c r="AN6" s="134" t="str">
        <f>'Sprachen &amp; Rückgabewerte'!$H$11</f>
        <v>3-gleisig</v>
      </c>
      <c r="AO6" s="132"/>
      <c r="AP6" s="132"/>
      <c r="AQ6" s="132"/>
      <c r="AR6" s="132"/>
      <c r="AS6" s="132"/>
      <c r="AT6" s="133"/>
      <c r="AU6" s="114"/>
      <c r="AW6" s="242"/>
      <c r="AX6" s="60"/>
      <c r="AY6" s="60"/>
      <c r="AZ6" s="60"/>
      <c r="BA6" s="60"/>
      <c r="BB6" s="244"/>
      <c r="BD6" s="242"/>
      <c r="BE6" s="549"/>
      <c r="BF6" s="550"/>
      <c r="BG6" s="552"/>
      <c r="BH6" s="413"/>
      <c r="BI6" s="244"/>
    </row>
    <row r="7" spans="1:64" ht="12" customHeight="1" x14ac:dyDescent="0.2">
      <c r="B7" s="59"/>
      <c r="C7" s="131"/>
      <c r="D7" s="132"/>
      <c r="E7" s="66"/>
      <c r="F7" s="132" t="str">
        <f>'Sprachen &amp; Rückgabewerte'!$H$6</f>
        <v>Gemäss Skizze: (Ansicht von Aussen)</v>
      </c>
      <c r="G7" s="132"/>
      <c r="H7" s="132"/>
      <c r="I7" s="132"/>
      <c r="J7" s="132"/>
      <c r="K7" s="132"/>
      <c r="L7" s="132"/>
      <c r="M7" s="132"/>
      <c r="N7" s="132"/>
      <c r="O7" s="132"/>
      <c r="P7" s="132"/>
      <c r="Q7" s="132"/>
      <c r="R7" s="133"/>
      <c r="S7" s="134" t="str">
        <f>'Sprachen &amp; Rückgabewerte'!$H$8</f>
        <v>Bestelldatum:</v>
      </c>
      <c r="T7" s="132"/>
      <c r="U7" s="132"/>
      <c r="V7" s="132"/>
      <c r="W7" s="132"/>
      <c r="X7" s="90"/>
      <c r="Y7" s="708"/>
      <c r="Z7" s="709"/>
      <c r="AA7" s="709"/>
      <c r="AB7" s="709"/>
      <c r="AC7" s="709"/>
      <c r="AD7" s="709"/>
      <c r="AE7" s="709"/>
      <c r="AF7" s="710"/>
      <c r="AG7" s="147"/>
      <c r="AH7" s="134" t="str">
        <f>'Sprachen &amp; Rückgabewerte'!H57</f>
        <v>Seite:</v>
      </c>
      <c r="AI7" s="148"/>
      <c r="AJ7" s="705"/>
      <c r="AK7" s="706"/>
      <c r="AL7" s="707"/>
      <c r="AM7" s="116"/>
      <c r="AN7" s="327" t="str">
        <f>IF('Sprachen &amp; Rückgabewerte'!I11=TRUE,'Sprachen &amp; Rückgabewerte'!H160,"")</f>
        <v/>
      </c>
      <c r="AO7" s="90"/>
      <c r="AP7" s="146"/>
      <c r="AQ7" s="146"/>
      <c r="AR7" s="146"/>
      <c r="AS7" s="146"/>
      <c r="AT7" s="133"/>
      <c r="AU7" s="114"/>
      <c r="AW7" s="242"/>
      <c r="AX7" s="155" t="str">
        <f>'Sprachen &amp; Rückgabewerte'!H193</f>
        <v>Sonstiges:</v>
      </c>
      <c r="AY7" s="60"/>
      <c r="AZ7" s="60"/>
      <c r="BA7" s="60"/>
      <c r="BB7" s="244"/>
      <c r="BD7" s="242"/>
      <c r="BE7" s="60"/>
      <c r="BF7" s="60"/>
      <c r="BG7" s="60"/>
      <c r="BH7" s="60"/>
      <c r="BI7" s="244"/>
    </row>
    <row r="8" spans="1:64" ht="7.5" customHeight="1" thickBot="1" x14ac:dyDescent="0.25">
      <c r="B8" s="59"/>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2"/>
      <c r="AX8" s="60"/>
      <c r="AY8" s="60"/>
      <c r="AZ8" s="60"/>
      <c r="BA8" s="60"/>
      <c r="BB8" s="244"/>
      <c r="BD8" s="242"/>
      <c r="BE8" s="60"/>
      <c r="BF8" s="60"/>
      <c r="BG8" s="60"/>
      <c r="BH8" s="60"/>
      <c r="BI8" s="244"/>
    </row>
    <row r="9" spans="1:64" ht="15" customHeight="1" thickTop="1" x14ac:dyDescent="0.2">
      <c r="A9" s="654" t="str">
        <f>IF('Sprachen &amp; Rückgabewerte'!L62=1,'Sprachen &amp; Rückgabewerte'!$H$132,"")</f>
        <v/>
      </c>
      <c r="B9" s="227"/>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2"/>
      <c r="AN9" s="60"/>
      <c r="AO9" s="60"/>
      <c r="AP9" s="60"/>
      <c r="AQ9" s="60"/>
      <c r="AR9" s="60"/>
      <c r="AS9" s="60"/>
      <c r="AT9" s="114"/>
      <c r="AU9" s="114"/>
      <c r="AW9" s="242"/>
      <c r="AX9" s="405" t="str">
        <f>'Sprachen &amp; Rückgabewerte'!H194</f>
        <v>Sichtbare Rahmenprofile (aussen):</v>
      </c>
      <c r="AY9" s="60"/>
      <c r="AZ9" s="544"/>
      <c r="BA9" s="545"/>
      <c r="BB9" s="244"/>
      <c r="BD9" s="242"/>
      <c r="BE9" s="553">
        <f>ROUND(SUM(BJ5,BK5,BL5),1)</f>
        <v>0</v>
      </c>
      <c r="BF9" s="554"/>
      <c r="BG9" s="555"/>
      <c r="BH9" s="156" t="s">
        <v>179</v>
      </c>
      <c r="BI9" s="244"/>
    </row>
    <row r="10" spans="1:64" ht="15" customHeight="1" thickBot="1" x14ac:dyDescent="0.25">
      <c r="A10" s="655"/>
      <c r="B10" s="227"/>
      <c r="C10" s="59"/>
      <c r="D10" s="60"/>
      <c r="E10" s="60"/>
      <c r="F10" s="650"/>
      <c r="G10" s="651"/>
      <c r="H10" s="60"/>
      <c r="I10" s="60"/>
      <c r="J10" s="650"/>
      <c r="K10" s="651"/>
      <c r="L10" s="60"/>
      <c r="M10" s="60"/>
      <c r="N10" s="650"/>
      <c r="O10" s="651"/>
      <c r="P10" s="60"/>
      <c r="Q10" s="60"/>
      <c r="R10" s="650"/>
      <c r="S10" s="651"/>
      <c r="T10" s="60"/>
      <c r="U10" s="60"/>
      <c r="V10" s="650"/>
      <c r="W10" s="651"/>
      <c r="X10" s="60"/>
      <c r="Y10" s="60"/>
      <c r="Z10" s="650"/>
      <c r="AA10" s="651"/>
      <c r="AB10" s="60"/>
      <c r="AC10" s="60"/>
      <c r="AD10" s="650"/>
      <c r="AE10" s="651"/>
      <c r="AF10" s="60"/>
      <c r="AG10" s="60"/>
      <c r="AH10" s="650"/>
      <c r="AI10" s="651"/>
      <c r="AJ10" s="60"/>
      <c r="AK10" s="60"/>
      <c r="AL10" s="650"/>
      <c r="AM10" s="651"/>
      <c r="AN10" s="60"/>
      <c r="AO10" s="60"/>
      <c r="AP10" s="650"/>
      <c r="AQ10" s="651"/>
      <c r="AR10" s="60"/>
      <c r="AS10" s="60"/>
      <c r="AT10" s="114"/>
      <c r="AU10" s="114"/>
      <c r="AW10" s="242"/>
      <c r="AX10" s="405" t="str">
        <f>'Sprachen &amp; Rückgabewerte'!H195</f>
        <v>Lieferung Glas und Rahmen:</v>
      </c>
      <c r="AY10" s="60"/>
      <c r="AZ10" s="544"/>
      <c r="BA10" s="545"/>
      <c r="BB10" s="244"/>
      <c r="BD10" s="258"/>
      <c r="BE10" s="248"/>
      <c r="BF10" s="248"/>
      <c r="BG10" s="248"/>
      <c r="BH10" s="248"/>
      <c r="BI10" s="250"/>
    </row>
    <row r="11" spans="1:64" ht="15" customHeight="1" thickTop="1" thickBot="1" x14ac:dyDescent="0.25">
      <c r="A11" s="656"/>
      <c r="B11" s="227"/>
      <c r="C11" s="238">
        <f>COUNTBLANK(E11:AO11)</f>
        <v>37</v>
      </c>
      <c r="D11" s="60"/>
      <c r="E11" s="66"/>
      <c r="F11" s="66"/>
      <c r="G11" s="66"/>
      <c r="H11" s="162"/>
      <c r="I11" s="162"/>
      <c r="J11" s="66"/>
      <c r="K11" s="66"/>
      <c r="L11" s="162"/>
      <c r="M11" s="162"/>
      <c r="N11" s="66"/>
      <c r="O11" s="66"/>
      <c r="P11" s="162"/>
      <c r="Q11" s="162"/>
      <c r="R11" s="66"/>
      <c r="S11" s="66"/>
      <c r="T11" s="162"/>
      <c r="U11" s="162"/>
      <c r="V11" s="66"/>
      <c r="W11" s="66"/>
      <c r="X11" s="162"/>
      <c r="Y11" s="162"/>
      <c r="Z11" s="66"/>
      <c r="AA11" s="66"/>
      <c r="AB11" s="162"/>
      <c r="AC11" s="162"/>
      <c r="AD11" s="66"/>
      <c r="AE11" s="66"/>
      <c r="AF11" s="162"/>
      <c r="AG11" s="162"/>
      <c r="AH11" s="66"/>
      <c r="AI11" s="66"/>
      <c r="AJ11" s="162"/>
      <c r="AK11" s="162"/>
      <c r="AL11" s="66"/>
      <c r="AM11" s="66"/>
      <c r="AN11" s="162"/>
      <c r="AO11" s="162"/>
      <c r="AP11" s="66"/>
      <c r="AQ11" s="66"/>
      <c r="AR11" s="66"/>
      <c r="AS11" s="60"/>
      <c r="AT11" s="114"/>
      <c r="AU11" s="114"/>
      <c r="AW11" s="242"/>
      <c r="AX11" s="60"/>
      <c r="AY11" s="60"/>
      <c r="AZ11" s="60"/>
      <c r="BA11" s="60"/>
      <c r="BB11" s="244"/>
    </row>
    <row r="12" spans="1:64" ht="13.5" customHeight="1" thickTop="1" x14ac:dyDescent="0.2">
      <c r="B12" s="59"/>
      <c r="C12" s="59"/>
      <c r="D12" s="60"/>
      <c r="E12" s="94"/>
      <c r="F12" s="81"/>
      <c r="G12" s="81"/>
      <c r="H12" s="82" t="str">
        <f>IF(F10&lt;&gt;"",IF(AND(F10&gt;0,F10&lt;&gt;"F"),CONCATENATE('Sprachen &amp; Rückgabewerte'!$C$28," ",'Sprachen &amp; Rückgabewerte'!$C$29," ",'Sprachen &amp; Rückgabewerte'!$C$30),'Sprachen &amp; Rückgabewerte'!$C$30),"")</f>
        <v/>
      </c>
      <c r="I12" s="94"/>
      <c r="J12" s="81"/>
      <c r="K12" s="81"/>
      <c r="L12" s="82" t="str">
        <f>IF(J10&lt;&gt;"",IF(AND(J10&gt;0,J10&lt;&gt;"F"),CONCATENATE('Sprachen &amp; Rückgabewerte'!$C$28," ",'Sprachen &amp; Rückgabewerte'!$C$29," ",'Sprachen &amp; Rückgabewerte'!$C$30),'Sprachen &amp; Rückgabewerte'!$C$30),"")</f>
        <v/>
      </c>
      <c r="M12" s="94"/>
      <c r="N12" s="81"/>
      <c r="O12" s="81"/>
      <c r="P12" s="82" t="str">
        <f>IF(N10&lt;&gt;"",IF(AND(N10&gt;0,N10&lt;&gt;"F"),CONCATENATE('Sprachen &amp; Rückgabewerte'!$C$28," ",'Sprachen &amp; Rückgabewerte'!$C$29," ",'Sprachen &amp; Rückgabewerte'!$C$30),'Sprachen &amp; Rückgabewerte'!$C$30),"")</f>
        <v/>
      </c>
      <c r="Q12" s="94"/>
      <c r="R12" s="81"/>
      <c r="S12" s="81"/>
      <c r="T12" s="82" t="str">
        <f>IF(R10&lt;&gt;"",IF(AND(R10&gt;0,R10&lt;&gt;"F"),CONCATENATE('Sprachen &amp; Rückgabewerte'!$C$28," ",'Sprachen &amp; Rückgabewerte'!$C$29," ",'Sprachen &amp; Rückgabewerte'!$C$30),'Sprachen &amp; Rückgabewerte'!$C$30),"")</f>
        <v/>
      </c>
      <c r="U12" s="94"/>
      <c r="V12" s="81"/>
      <c r="W12" s="81"/>
      <c r="X12" s="82" t="str">
        <f>IF(V10&lt;&gt;"",IF(AND(V10&gt;0,V10&lt;&gt;"F"),CONCATENATE('Sprachen &amp; Rückgabewerte'!$C$28," ",'Sprachen &amp; Rückgabewerte'!$C$29," ",'Sprachen &amp; Rückgabewerte'!$C$30),'Sprachen &amp; Rückgabewerte'!$C$30),"")</f>
        <v/>
      </c>
      <c r="Y12" s="94"/>
      <c r="Z12" s="81"/>
      <c r="AA12" s="81"/>
      <c r="AB12" s="82" t="str">
        <f>IF(Z10&lt;&gt;"",IF(AND(Z10&gt;0,Z10&lt;&gt;"F"),CONCATENATE('Sprachen &amp; Rückgabewerte'!$C$28," ",'Sprachen &amp; Rückgabewerte'!$C$29," ",'Sprachen &amp; Rückgabewerte'!$C$30),'Sprachen &amp; Rückgabewerte'!$C$30),"")</f>
        <v/>
      </c>
      <c r="AC12" s="94"/>
      <c r="AD12" s="81"/>
      <c r="AE12" s="81"/>
      <c r="AF12" s="82" t="str">
        <f>IF(AD10&lt;&gt;"",IF(AND(AD10&gt;0,AD10&lt;&gt;"F"),CONCATENATE('Sprachen &amp; Rückgabewerte'!$C$28," ",'Sprachen &amp; Rückgabewerte'!$C$29," ",'Sprachen &amp; Rückgabewerte'!$C$30),'Sprachen &amp; Rückgabewerte'!$C$30),"")</f>
        <v/>
      </c>
      <c r="AG12" s="94"/>
      <c r="AH12" s="81"/>
      <c r="AI12" s="81"/>
      <c r="AJ12" s="82" t="str">
        <f>IF(AH10&lt;&gt;"",IF(AND(AH10&gt;0,AH10&lt;&gt;"F"),CONCATENATE('Sprachen &amp; Rückgabewerte'!$C$28," ",'Sprachen &amp; Rückgabewerte'!$C$29," ",'Sprachen &amp; Rückgabewerte'!$C$30),'Sprachen &amp; Rückgabewerte'!$C$30),"")</f>
        <v/>
      </c>
      <c r="AK12" s="94"/>
      <c r="AL12" s="81"/>
      <c r="AM12" s="81"/>
      <c r="AN12" s="82" t="str">
        <f>IF(AL10&lt;&gt;"",IF(AND(AL10&gt;0,AL10&lt;&gt;"F"),CONCATENATE('Sprachen &amp; Rückgabewerte'!$C$28," ",'Sprachen &amp; Rückgabewerte'!$C$29," ",'Sprachen &amp; Rückgabewerte'!$C$30),'Sprachen &amp; Rückgabewerte'!$C$30),"")</f>
        <v/>
      </c>
      <c r="AO12" s="94"/>
      <c r="AP12" s="81"/>
      <c r="AQ12" s="81"/>
      <c r="AR12" s="82" t="str">
        <f>IF(AP10&lt;&gt;"",IF(AND(AP10&gt;0,AP10&lt;&gt;"F"),CONCATENATE('Sprachen &amp; Rückgabewerte'!$C$28," ",'Sprachen &amp; Rückgabewerte'!$C$29," ",'Sprachen &amp; Rückgabewerte'!$C$30),'Sprachen &amp; Rückgabewerte'!$C$30),"")</f>
        <v/>
      </c>
      <c r="AS12" s="149"/>
      <c r="AT12" s="114"/>
      <c r="AU12" s="114"/>
      <c r="AW12" s="242"/>
      <c r="AX12" s="245"/>
      <c r="AY12" s="60"/>
      <c r="AZ12" s="60"/>
      <c r="BA12" s="60"/>
      <c r="BB12" s="244"/>
    </row>
    <row r="13" spans="1:64" ht="13.5" customHeight="1" x14ac:dyDescent="0.2">
      <c r="B13" s="59"/>
      <c r="C13" s="59"/>
      <c r="D13" s="60"/>
      <c r="E13" s="657" t="str">
        <f>IF(AND('Sprachen &amp; Rückgabewerte'!$I$30=TRUE,$F$10="R"),'Sprachen &amp; Rückgabewerte'!H60,"")</f>
        <v/>
      </c>
      <c r="F13" s="60"/>
      <c r="G13" s="60"/>
      <c r="H13" s="659" t="str">
        <f>IF(AND('Sprachen &amp; Rückgabewerte'!$I$31=TRUE,$F$10="L",$J$10=""),'Sprachen &amp; Rückgabewerte'!$H$60,"")</f>
        <v/>
      </c>
      <c r="I13" s="59"/>
      <c r="J13" s="60"/>
      <c r="K13" s="60"/>
      <c r="L13" s="659" t="str">
        <f>IF(AND('Sprachen &amp; Rückgabewerte'!$I$31=TRUE,$J$10="L",$N$10=""),'Sprachen &amp; Rückgabewerte'!$H$60,"")</f>
        <v/>
      </c>
      <c r="M13" s="59"/>
      <c r="N13" s="60"/>
      <c r="O13" s="60"/>
      <c r="P13" s="659" t="str">
        <f>IF(AND('Sprachen &amp; Rückgabewerte'!$I$31=TRUE,$N$10="L",$R$10=""),'Sprachen &amp; Rückgabewerte'!$H$60,"")</f>
        <v/>
      </c>
      <c r="Q13" s="59"/>
      <c r="R13" s="60"/>
      <c r="S13" s="60"/>
      <c r="T13" s="659" t="str">
        <f>IF(AND('Sprachen &amp; Rückgabewerte'!$I$31=TRUE,$R$10="L",$V$10=""),'Sprachen &amp; Rückgabewerte'!$H$60,"")</f>
        <v/>
      </c>
      <c r="U13" s="59"/>
      <c r="V13" s="60"/>
      <c r="W13" s="60"/>
      <c r="X13" s="659" t="str">
        <f>IF(AND('Sprachen &amp; Rückgabewerte'!$I$31=TRUE,$V$10="L",$Z$10=""),'Sprachen &amp; Rückgabewerte'!$H$60,"")</f>
        <v/>
      </c>
      <c r="Y13" s="59"/>
      <c r="Z13" s="60"/>
      <c r="AA13" s="60"/>
      <c r="AB13" s="659" t="str">
        <f>IF(AND('Sprachen &amp; Rückgabewerte'!$I$31=TRUE,$Z$10="L",$AD$10=""),'Sprachen &amp; Rückgabewerte'!$H$60,"")</f>
        <v/>
      </c>
      <c r="AC13" s="59"/>
      <c r="AD13" s="60"/>
      <c r="AE13" s="60"/>
      <c r="AF13" s="659" t="str">
        <f>IF(AND('Sprachen &amp; Rückgabewerte'!$I$31=TRUE,$AD$10="L",$AH$10=""),'Sprachen &amp; Rückgabewerte'!$H$60,"")</f>
        <v/>
      </c>
      <c r="AG13" s="59"/>
      <c r="AH13" s="60"/>
      <c r="AI13" s="60"/>
      <c r="AJ13" s="659" t="str">
        <f>IF(AND('Sprachen &amp; Rückgabewerte'!$I$31=TRUE,$AH$10="L",$AL$10=""),'Sprachen &amp; Rückgabewerte'!$H$60,"")</f>
        <v/>
      </c>
      <c r="AK13" s="59"/>
      <c r="AL13" s="60"/>
      <c r="AM13" s="60"/>
      <c r="AN13" s="659" t="str">
        <f>IF(AND('Sprachen &amp; Rückgabewerte'!$I$31=TRUE,$AL$10="L",$AP$10=""),'Sprachen &amp; Rückgabewerte'!$H$60,"")</f>
        <v/>
      </c>
      <c r="AO13" s="59"/>
      <c r="AP13" s="60"/>
      <c r="AQ13" s="60"/>
      <c r="AR13" s="659" t="str">
        <f>IF(AND('Sprachen &amp; Rückgabewerte'!$I$31=TRUE,$AP$10="L"),'Sprachen &amp; Rückgabewerte'!$H$60,"")</f>
        <v/>
      </c>
      <c r="AS13" s="150"/>
      <c r="AT13" s="114"/>
      <c r="AU13" s="114"/>
      <c r="AW13" s="242"/>
      <c r="AX13" s="60"/>
      <c r="AY13" s="60"/>
      <c r="AZ13" s="60"/>
      <c r="BA13" s="60"/>
      <c r="BB13" s="244"/>
    </row>
    <row r="14" spans="1:64" ht="13.5" customHeight="1" x14ac:dyDescent="0.2">
      <c r="B14" s="59"/>
      <c r="C14" s="59"/>
      <c r="D14" s="60"/>
      <c r="E14" s="657"/>
      <c r="F14" s="653" t="str">
        <f>IF(F10='Sprachen &amp; Rückgabewerte'!$B$9,'Sprachen &amp; Rückgabewerte'!$C$9,IF(F10='Sprachen &amp; Rückgabewerte'!$B$10,'Sprachen &amp; Rückgabewerte'!$C$10,IF(F10='Sprachen &amp; Rückgabewerte'!$B$11,'Sprachen &amp; Rückgabewerte'!$C$11,IF(F10='Sprachen &amp; Rückgabewerte'!$B$12,'Sprachen &amp; Rückgabewerte'!$C$12,IF(F10='Sprachen &amp; Rückgabewerte'!$B$13,'Sprachen &amp; Rückgabewerte'!$C$13,IF(F10='Sprachen &amp; Rückgabewerte'!$B$14,'Sprachen &amp; Rückgabewerte'!$C$14,""))))))</f>
        <v/>
      </c>
      <c r="G14" s="653"/>
      <c r="H14" s="659"/>
      <c r="I14" s="59"/>
      <c r="J14" s="653" t="str">
        <f>IF(J10='Sprachen &amp; Rückgabewerte'!$B$9,'Sprachen &amp; Rückgabewerte'!$C$9,IF(J10='Sprachen &amp; Rückgabewerte'!$B$10,'Sprachen &amp; Rückgabewerte'!$C$10,IF(J10='Sprachen &amp; Rückgabewerte'!$B$11,'Sprachen &amp; Rückgabewerte'!$C$11,IF(J10='Sprachen &amp; Rückgabewerte'!$B$12,'Sprachen &amp; Rückgabewerte'!$C$12,IF(J10='Sprachen &amp; Rückgabewerte'!$B$13,'Sprachen &amp; Rückgabewerte'!$C$13,IF(J10='Sprachen &amp; Rückgabewerte'!$B$14,'Sprachen &amp; Rückgabewerte'!$C$14,""))))))</f>
        <v/>
      </c>
      <c r="K14" s="653"/>
      <c r="L14" s="659"/>
      <c r="M14" s="59"/>
      <c r="N14" s="653" t="str">
        <f>IF(N10='Sprachen &amp; Rückgabewerte'!$B$9,'Sprachen &amp; Rückgabewerte'!$C$9,IF(N10='Sprachen &amp; Rückgabewerte'!$B$10,'Sprachen &amp; Rückgabewerte'!$C$10,IF(N10='Sprachen &amp; Rückgabewerte'!$B$11,'Sprachen &amp; Rückgabewerte'!$C$11,IF(N10='Sprachen &amp; Rückgabewerte'!$B$12,'Sprachen &amp; Rückgabewerte'!$C$12,IF(N10='Sprachen &amp; Rückgabewerte'!$B$13,'Sprachen &amp; Rückgabewerte'!$C$13,IF(N10='Sprachen &amp; Rückgabewerte'!$B$14,'Sprachen &amp; Rückgabewerte'!$C$14,""))))))</f>
        <v/>
      </c>
      <c r="O14" s="653"/>
      <c r="P14" s="659"/>
      <c r="Q14" s="59"/>
      <c r="R14" s="653" t="str">
        <f>IF(R10='Sprachen &amp; Rückgabewerte'!$B$9,'Sprachen &amp; Rückgabewerte'!$C$9,IF(R10='Sprachen &amp; Rückgabewerte'!$B$10,'Sprachen &amp; Rückgabewerte'!$C$10,IF(R10='Sprachen &amp; Rückgabewerte'!$B$11,'Sprachen &amp; Rückgabewerte'!$C$11,IF(R10='Sprachen &amp; Rückgabewerte'!$B$12,'Sprachen &amp; Rückgabewerte'!$C$12,IF(R10='Sprachen &amp; Rückgabewerte'!$B$13,'Sprachen &amp; Rückgabewerte'!$C$13,IF(R10='Sprachen &amp; Rückgabewerte'!$B$14,'Sprachen &amp; Rückgabewerte'!$C$14,""))))))</f>
        <v/>
      </c>
      <c r="S14" s="653"/>
      <c r="T14" s="659"/>
      <c r="U14" s="59"/>
      <c r="V14" s="653" t="str">
        <f>IF(V10='Sprachen &amp; Rückgabewerte'!$B$9,'Sprachen &amp; Rückgabewerte'!$C$9,IF(V10='Sprachen &amp; Rückgabewerte'!$B$10,'Sprachen &amp; Rückgabewerte'!$C$10,IF(V10='Sprachen &amp; Rückgabewerte'!$B$11,'Sprachen &amp; Rückgabewerte'!$C$11,IF(V10='Sprachen &amp; Rückgabewerte'!$B$12,'Sprachen &amp; Rückgabewerte'!$C$12,IF(V10='Sprachen &amp; Rückgabewerte'!$B$13,'Sprachen &amp; Rückgabewerte'!$C$13,IF(V10='Sprachen &amp; Rückgabewerte'!$B$14,'Sprachen &amp; Rückgabewerte'!$C$14,""))))))</f>
        <v/>
      </c>
      <c r="W14" s="653"/>
      <c r="X14" s="659"/>
      <c r="Y14" s="59"/>
      <c r="Z14" s="653" t="str">
        <f>IF(Z10='Sprachen &amp; Rückgabewerte'!$B$9,'Sprachen &amp; Rückgabewerte'!$C$9,IF(Z10='Sprachen &amp; Rückgabewerte'!$B$10,'Sprachen &amp; Rückgabewerte'!$C$10,IF(Z10='Sprachen &amp; Rückgabewerte'!$B$11,'Sprachen &amp; Rückgabewerte'!$C$11,IF(Z10='Sprachen &amp; Rückgabewerte'!$B$12,'Sprachen &amp; Rückgabewerte'!$C$12,IF(Z10='Sprachen &amp; Rückgabewerte'!$B$13,'Sprachen &amp; Rückgabewerte'!$C$13,IF(Z10='Sprachen &amp; Rückgabewerte'!$B$14,'Sprachen &amp; Rückgabewerte'!$C$14,""))))))</f>
        <v/>
      </c>
      <c r="AA14" s="653"/>
      <c r="AB14" s="659"/>
      <c r="AC14" s="59"/>
      <c r="AD14" s="653" t="str">
        <f>IF(AD10='Sprachen &amp; Rückgabewerte'!$B$9,'Sprachen &amp; Rückgabewerte'!$C$9,IF(AD10='Sprachen &amp; Rückgabewerte'!$B$10,'Sprachen &amp; Rückgabewerte'!$C$10,IF(AD10='Sprachen &amp; Rückgabewerte'!$B$11,'Sprachen &amp; Rückgabewerte'!$C$11,IF(AD10='Sprachen &amp; Rückgabewerte'!$B$12,'Sprachen &amp; Rückgabewerte'!$C$12,IF(AD10='Sprachen &amp; Rückgabewerte'!$B$13,'Sprachen &amp; Rückgabewerte'!$C$13,IF(AD10='Sprachen &amp; Rückgabewerte'!$B$14,'Sprachen &amp; Rückgabewerte'!$C$14,""))))))</f>
        <v/>
      </c>
      <c r="AE14" s="653"/>
      <c r="AF14" s="659"/>
      <c r="AG14" s="59"/>
      <c r="AH14" s="653" t="str">
        <f>IF(AH10='Sprachen &amp; Rückgabewerte'!$B$9,'Sprachen &amp; Rückgabewerte'!$C$9,IF(AH10='Sprachen &amp; Rückgabewerte'!$B$10,'Sprachen &amp; Rückgabewerte'!$C$10,IF(AH10='Sprachen &amp; Rückgabewerte'!$B$11,'Sprachen &amp; Rückgabewerte'!$C$11,IF(AH10='Sprachen &amp; Rückgabewerte'!$B$12,'Sprachen &amp; Rückgabewerte'!$C$12,IF(AH10='Sprachen &amp; Rückgabewerte'!$B$13,'Sprachen &amp; Rückgabewerte'!$C$13,IF(AH10='Sprachen &amp; Rückgabewerte'!$B$14,'Sprachen &amp; Rückgabewerte'!$C$14,""))))))</f>
        <v/>
      </c>
      <c r="AI14" s="653"/>
      <c r="AJ14" s="659"/>
      <c r="AK14" s="59"/>
      <c r="AL14" s="653" t="str">
        <f>IF(AL10='Sprachen &amp; Rückgabewerte'!$B$9,'Sprachen &amp; Rückgabewerte'!$C$9,IF(AL10='Sprachen &amp; Rückgabewerte'!$B$10,'Sprachen &amp; Rückgabewerte'!$C$10,IF(AL10='Sprachen &amp; Rückgabewerte'!$B$11,'Sprachen &amp; Rückgabewerte'!$C$11,IF(AL10='Sprachen &amp; Rückgabewerte'!$B$12,'Sprachen &amp; Rückgabewerte'!$C$12,IF(AL10='Sprachen &amp; Rückgabewerte'!$B$13,'Sprachen &amp; Rückgabewerte'!$C$13,IF(AL10='Sprachen &amp; Rückgabewerte'!$B$14,'Sprachen &amp; Rückgabewerte'!$C$14,""))))))</f>
        <v/>
      </c>
      <c r="AM14" s="653"/>
      <c r="AN14" s="659"/>
      <c r="AO14" s="59"/>
      <c r="AP14" s="653" t="str">
        <f>IF(AP10='Sprachen &amp; Rückgabewerte'!$B$9,'Sprachen &amp; Rückgabewerte'!$C$9,IF(AP10='Sprachen &amp; Rückgabewerte'!$B$10,'Sprachen &amp; Rückgabewerte'!$C$10,IF(AP10='Sprachen &amp; Rückgabewerte'!$B$11,'Sprachen &amp; Rückgabewerte'!$C$11,IF(AP10='Sprachen &amp; Rückgabewerte'!$B$12,'Sprachen &amp; Rückgabewerte'!$C$12,IF(AP10='Sprachen &amp; Rückgabewerte'!$B$13,'Sprachen &amp; Rückgabewerte'!$C$13,IF(AP10='Sprachen &amp; Rückgabewerte'!$B$14,'Sprachen &amp; Rückgabewerte'!$C$14,""))))))</f>
        <v/>
      </c>
      <c r="AQ14" s="653"/>
      <c r="AR14" s="659"/>
      <c r="AS14" s="149"/>
      <c r="AT14" s="114"/>
      <c r="AU14" s="114"/>
      <c r="AW14" s="242"/>
      <c r="AX14" s="155" t="str">
        <f>'Sprachen &amp; Rückgabewerte'!H131</f>
        <v>Bemerkungen:</v>
      </c>
      <c r="AY14" s="60"/>
      <c r="AZ14" s="60"/>
      <c r="BA14" s="60"/>
      <c r="BB14" s="244"/>
    </row>
    <row r="15" spans="1:64" ht="13.5" customHeight="1" x14ac:dyDescent="0.2">
      <c r="B15" s="59"/>
      <c r="C15" s="59"/>
      <c r="D15" s="60"/>
      <c r="E15" s="657"/>
      <c r="F15" s="653"/>
      <c r="G15" s="653"/>
      <c r="H15" s="659"/>
      <c r="I15" s="59"/>
      <c r="J15" s="653"/>
      <c r="K15" s="653"/>
      <c r="L15" s="659"/>
      <c r="M15" s="59"/>
      <c r="N15" s="653"/>
      <c r="O15" s="653"/>
      <c r="P15" s="659"/>
      <c r="Q15" s="59"/>
      <c r="R15" s="653"/>
      <c r="S15" s="653"/>
      <c r="T15" s="659"/>
      <c r="U15" s="59"/>
      <c r="V15" s="653"/>
      <c r="W15" s="653"/>
      <c r="X15" s="659"/>
      <c r="Y15" s="59"/>
      <c r="Z15" s="653"/>
      <c r="AA15" s="653"/>
      <c r="AB15" s="659"/>
      <c r="AC15" s="59"/>
      <c r="AD15" s="653"/>
      <c r="AE15" s="653"/>
      <c r="AF15" s="659"/>
      <c r="AG15" s="59"/>
      <c r="AH15" s="653"/>
      <c r="AI15" s="653"/>
      <c r="AJ15" s="659"/>
      <c r="AK15" s="59"/>
      <c r="AL15" s="653"/>
      <c r="AM15" s="653"/>
      <c r="AN15" s="659"/>
      <c r="AO15" s="59"/>
      <c r="AP15" s="653"/>
      <c r="AQ15" s="653"/>
      <c r="AR15" s="659"/>
      <c r="AS15" s="60"/>
      <c r="AT15" s="114"/>
      <c r="AU15" s="114"/>
      <c r="AW15" s="242"/>
      <c r="AX15" s="639" t="s">
        <v>506</v>
      </c>
      <c r="AY15" s="640"/>
      <c r="AZ15" s="640"/>
      <c r="BA15" s="641"/>
      <c r="BB15" s="244"/>
    </row>
    <row r="16" spans="1:64" ht="13.5" customHeight="1" x14ac:dyDescent="0.2">
      <c r="B16" s="59"/>
      <c r="C16" s="59"/>
      <c r="D16" s="60"/>
      <c r="E16" s="657"/>
      <c r="F16" s="652"/>
      <c r="G16" s="652"/>
      <c r="H16" s="659"/>
      <c r="I16" s="59"/>
      <c r="J16" s="652"/>
      <c r="K16" s="652"/>
      <c r="L16" s="659"/>
      <c r="M16" s="59"/>
      <c r="N16" s="652"/>
      <c r="O16" s="652"/>
      <c r="P16" s="659"/>
      <c r="Q16" s="59"/>
      <c r="R16" s="652"/>
      <c r="S16" s="652"/>
      <c r="T16" s="659"/>
      <c r="U16" s="59"/>
      <c r="V16" s="652"/>
      <c r="W16" s="652"/>
      <c r="X16" s="659"/>
      <c r="Y16" s="59"/>
      <c r="Z16" s="652"/>
      <c r="AA16" s="652"/>
      <c r="AB16" s="659"/>
      <c r="AC16" s="59"/>
      <c r="AD16" s="652"/>
      <c r="AE16" s="652"/>
      <c r="AF16" s="659"/>
      <c r="AG16" s="59"/>
      <c r="AH16" s="652"/>
      <c r="AI16" s="652"/>
      <c r="AJ16" s="659"/>
      <c r="AK16" s="59"/>
      <c r="AL16" s="652"/>
      <c r="AM16" s="652"/>
      <c r="AN16" s="659"/>
      <c r="AO16" s="59"/>
      <c r="AP16" s="652"/>
      <c r="AQ16" s="652"/>
      <c r="AR16" s="659"/>
      <c r="AS16" s="60"/>
      <c r="AT16" s="114"/>
      <c r="AU16" s="114"/>
      <c r="AW16" s="246"/>
      <c r="AX16" s="642"/>
      <c r="AY16" s="643"/>
      <c r="AZ16" s="643"/>
      <c r="BA16" s="644"/>
      <c r="BB16" s="244"/>
    </row>
    <row r="17" spans="1:54" ht="13.5" customHeight="1" x14ac:dyDescent="0.2">
      <c r="B17" s="59"/>
      <c r="C17" s="59"/>
      <c r="D17" s="60"/>
      <c r="E17" s="657"/>
      <c r="F17" s="652"/>
      <c r="G17" s="652"/>
      <c r="H17" s="659"/>
      <c r="I17" s="59"/>
      <c r="J17" s="652"/>
      <c r="K17" s="652"/>
      <c r="L17" s="659"/>
      <c r="M17" s="59"/>
      <c r="N17" s="652"/>
      <c r="O17" s="652"/>
      <c r="P17" s="659"/>
      <c r="Q17" s="59"/>
      <c r="R17" s="652"/>
      <c r="S17" s="652"/>
      <c r="T17" s="659"/>
      <c r="U17" s="59"/>
      <c r="V17" s="652"/>
      <c r="W17" s="652"/>
      <c r="X17" s="659"/>
      <c r="Y17" s="59"/>
      <c r="Z17" s="652"/>
      <c r="AA17" s="652"/>
      <c r="AB17" s="659"/>
      <c r="AC17" s="59"/>
      <c r="AD17" s="652"/>
      <c r="AE17" s="652"/>
      <c r="AF17" s="659"/>
      <c r="AG17" s="59"/>
      <c r="AH17" s="652"/>
      <c r="AI17" s="652"/>
      <c r="AJ17" s="659"/>
      <c r="AK17" s="59"/>
      <c r="AL17" s="652"/>
      <c r="AM17" s="652"/>
      <c r="AN17" s="659"/>
      <c r="AO17" s="59"/>
      <c r="AP17" s="652"/>
      <c r="AQ17" s="652"/>
      <c r="AR17" s="659"/>
      <c r="AS17" s="60"/>
      <c r="AT17" s="114"/>
      <c r="AU17" s="114"/>
      <c r="AW17" s="246"/>
      <c r="AX17" s="642"/>
      <c r="AY17" s="643"/>
      <c r="AZ17" s="643"/>
      <c r="BA17" s="644"/>
      <c r="BB17" s="244"/>
    </row>
    <row r="18" spans="1:54" ht="13.5" customHeight="1" x14ac:dyDescent="0.2">
      <c r="B18" s="59"/>
      <c r="C18" s="59"/>
      <c r="D18" s="60"/>
      <c r="E18" s="657"/>
      <c r="F18" s="95"/>
      <c r="G18" s="95"/>
      <c r="H18" s="659"/>
      <c r="I18" s="59"/>
      <c r="J18" s="95"/>
      <c r="K18" s="95"/>
      <c r="L18" s="659"/>
      <c r="M18" s="59"/>
      <c r="N18" s="95"/>
      <c r="O18" s="95"/>
      <c r="P18" s="659"/>
      <c r="Q18" s="59"/>
      <c r="R18" s="95"/>
      <c r="S18" s="95"/>
      <c r="T18" s="659"/>
      <c r="U18" s="59"/>
      <c r="V18" s="95"/>
      <c r="W18" s="95"/>
      <c r="X18" s="659"/>
      <c r="Y18" s="59"/>
      <c r="Z18" s="95"/>
      <c r="AA18" s="95"/>
      <c r="AB18" s="659"/>
      <c r="AC18" s="59"/>
      <c r="AD18" s="95"/>
      <c r="AE18" s="95"/>
      <c r="AF18" s="659"/>
      <c r="AG18" s="59"/>
      <c r="AH18" s="95"/>
      <c r="AI18" s="95"/>
      <c r="AJ18" s="659"/>
      <c r="AK18" s="59"/>
      <c r="AL18" s="95"/>
      <c r="AM18" s="95"/>
      <c r="AN18" s="659"/>
      <c r="AO18" s="59"/>
      <c r="AP18" s="95"/>
      <c r="AQ18" s="95"/>
      <c r="AR18" s="659"/>
      <c r="AS18" s="60"/>
      <c r="AT18" s="114"/>
      <c r="AU18" s="114"/>
      <c r="AW18" s="246"/>
      <c r="AX18" s="645"/>
      <c r="AY18" s="646"/>
      <c r="AZ18" s="646"/>
      <c r="BA18" s="647"/>
      <c r="BB18" s="244"/>
    </row>
    <row r="19" spans="1:54" ht="13.5" customHeight="1" x14ac:dyDescent="0.2">
      <c r="B19" s="59"/>
      <c r="C19" s="59"/>
      <c r="D19" s="60"/>
      <c r="E19" s="658"/>
      <c r="F19" s="83"/>
      <c r="G19" s="83"/>
      <c r="H19" s="660"/>
      <c r="I19" s="67"/>
      <c r="J19" s="83"/>
      <c r="K19" s="83"/>
      <c r="L19" s="660"/>
      <c r="M19" s="67"/>
      <c r="N19" s="83"/>
      <c r="O19" s="83"/>
      <c r="P19" s="660"/>
      <c r="Q19" s="67"/>
      <c r="R19" s="83"/>
      <c r="S19" s="83"/>
      <c r="T19" s="660"/>
      <c r="U19" s="67"/>
      <c r="V19" s="83"/>
      <c r="W19" s="83"/>
      <c r="X19" s="660"/>
      <c r="Y19" s="67"/>
      <c r="Z19" s="83"/>
      <c r="AA19" s="83"/>
      <c r="AB19" s="660"/>
      <c r="AC19" s="67"/>
      <c r="AD19" s="83"/>
      <c r="AE19" s="83"/>
      <c r="AF19" s="660"/>
      <c r="AG19" s="67"/>
      <c r="AH19" s="83"/>
      <c r="AI19" s="83"/>
      <c r="AJ19" s="660"/>
      <c r="AK19" s="67"/>
      <c r="AL19" s="83"/>
      <c r="AM19" s="83"/>
      <c r="AN19" s="660"/>
      <c r="AO19" s="67"/>
      <c r="AP19" s="83"/>
      <c r="AQ19" s="83"/>
      <c r="AR19" s="660"/>
      <c r="AS19" s="60"/>
      <c r="AT19" s="114"/>
      <c r="AU19" s="114"/>
      <c r="AW19" s="246"/>
      <c r="AX19" s="629" t="str">
        <f>IF('Sprachen &amp; Rückgabewerte'!U83=FALSE,'Sprachen &amp; Rückgabewerte'!H155,'Sprachen &amp; Rückgabewerte'!H156)</f>
        <v>Bestellformular unvollständig!</v>
      </c>
      <c r="AY19" s="629"/>
      <c r="AZ19" s="629"/>
      <c r="BA19" s="629"/>
      <c r="BB19" s="244"/>
    </row>
    <row r="20" spans="1:54" ht="13.5" customHeight="1" thickBot="1" x14ac:dyDescent="0.25">
      <c r="B20" s="59"/>
      <c r="C20" s="59"/>
      <c r="D20" s="60"/>
      <c r="E20" s="60"/>
      <c r="F20" s="90" t="str">
        <f>'Sprachen &amp; Rückgabewerte'!$H$124</f>
        <v>Ecke:</v>
      </c>
      <c r="G20" s="648"/>
      <c r="H20" s="648"/>
      <c r="I20" s="649"/>
      <c r="J20" s="649"/>
      <c r="K20" s="649"/>
      <c r="L20" s="649"/>
      <c r="M20" s="649"/>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8"/>
      <c r="AP20" s="648"/>
      <c r="AQ20" s="60"/>
      <c r="AR20" s="61"/>
      <c r="AS20" s="60"/>
      <c r="AT20" s="114"/>
      <c r="AU20" s="114"/>
      <c r="AW20" s="247"/>
      <c r="AX20" s="630"/>
      <c r="AY20" s="630"/>
      <c r="AZ20" s="630"/>
      <c r="BA20" s="630"/>
      <c r="BB20" s="250"/>
    </row>
    <row r="21" spans="1:54" ht="13.5" customHeight="1" thickTop="1" thickBot="1" x14ac:dyDescent="0.25">
      <c r="B21" s="59"/>
      <c r="C21" s="59"/>
      <c r="D21" s="60"/>
      <c r="E21" s="63"/>
      <c r="F21" s="90" t="str">
        <f>IF(OR(G20='Sprachen &amp; Rückgabewerte'!$H$106,G20='Sprachen &amp; Rückgabewerte'!$H$107,K20='Sprachen &amp; Rückgabewerte'!$H$106,K20='Sprachen &amp; Rückgabewerte'!$H$107,O20='Sprachen &amp; Rückgabewerte'!$H$106,O20='Sprachen &amp; Rückgabewerte'!$H$107,S20='Sprachen &amp; Rückgabewerte'!$H$106,S20='Sprachen &amp; Rückgabewerte'!$H$107,W20='Sprachen &amp; Rückgabewerte'!$H$106,W20='Sprachen &amp; Rückgabewerte'!$H$107,AA20='Sprachen &amp; Rückgabewerte'!$H$106,AA20='Sprachen &amp; Rückgabewerte'!$H$107,AE20='Sprachen &amp; Rückgabewerte'!$H$106,AE20='Sprachen &amp; Rückgabewerte'!$H$107,AI20='Sprachen &amp; Rückgabewerte'!$H$106,AI20='Sprachen &amp; Rückgabewerte'!$H$107,AM20='Sprachen &amp; Rückgabewerte'!$H$106,AM20='Sprachen &amp; Rückgabewerte'!$H$107),'Sprachen &amp; Rückgabewerte'!$H$108,"")</f>
        <v/>
      </c>
      <c r="G21" s="64"/>
      <c r="H21" s="625"/>
      <c r="I21" s="625"/>
      <c r="J21" s="65"/>
      <c r="K21" s="65"/>
      <c r="L21" s="625"/>
      <c r="M21" s="625"/>
      <c r="N21" s="627"/>
      <c r="O21" s="627"/>
      <c r="P21" s="625"/>
      <c r="Q21" s="625"/>
      <c r="R21" s="628"/>
      <c r="S21" s="628"/>
      <c r="T21" s="625"/>
      <c r="U21" s="625"/>
      <c r="V21" s="627"/>
      <c r="W21" s="627"/>
      <c r="X21" s="625"/>
      <c r="Y21" s="625"/>
      <c r="Z21" s="627"/>
      <c r="AA21" s="627"/>
      <c r="AB21" s="625"/>
      <c r="AC21" s="625"/>
      <c r="AD21" s="627"/>
      <c r="AE21" s="627"/>
      <c r="AF21" s="625"/>
      <c r="AG21" s="625"/>
      <c r="AH21" s="627"/>
      <c r="AI21" s="627"/>
      <c r="AJ21" s="625"/>
      <c r="AK21" s="625"/>
      <c r="AL21" s="627"/>
      <c r="AM21" s="627"/>
      <c r="AN21" s="625"/>
      <c r="AO21" s="625"/>
      <c r="AP21" s="60"/>
      <c r="AQ21" s="60"/>
      <c r="AR21" s="61"/>
      <c r="AS21" s="60"/>
      <c r="AT21" s="114"/>
      <c r="AU21" s="114"/>
      <c r="AW21" s="151"/>
      <c r="AY21" s="189"/>
      <c r="AZ21" s="189"/>
      <c r="BA21" s="189"/>
    </row>
    <row r="22" spans="1:54" ht="9.75" customHeight="1" thickTop="1" x14ac:dyDescent="0.2">
      <c r="B22" s="59"/>
      <c r="C22" s="59"/>
      <c r="D22" s="60"/>
      <c r="E22" s="626"/>
      <c r="F22" s="626"/>
      <c r="G22" s="626"/>
      <c r="H22" s="626"/>
      <c r="I22" s="626"/>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0"/>
      <c r="AT22" s="114"/>
      <c r="AU22" s="114"/>
      <c r="AW22" s="239"/>
      <c r="AX22" s="637" t="str">
        <f>'Sprachen &amp; Rückgabewerte'!H157</f>
        <v>B2B-Login Projektnr:</v>
      </c>
      <c r="AY22" s="637"/>
      <c r="AZ22" s="637"/>
      <c r="BA22" s="637"/>
      <c r="BB22" s="241"/>
    </row>
    <row r="23" spans="1:54" ht="9.9499999999999993" customHeight="1" x14ac:dyDescent="0.2">
      <c r="B23" s="59"/>
      <c r="C23" s="59"/>
      <c r="D23" s="60"/>
      <c r="E23" s="593"/>
      <c r="F23" s="593"/>
      <c r="G23" s="593"/>
      <c r="H23" s="593"/>
      <c r="I23" s="593"/>
      <c r="J23" s="593"/>
      <c r="K23" s="593"/>
      <c r="L23" s="593"/>
      <c r="M23" s="593"/>
      <c r="N23" s="593"/>
      <c r="O23" s="593"/>
      <c r="P23" s="593"/>
      <c r="Q23" s="593"/>
      <c r="R23" s="593"/>
      <c r="S23" s="593"/>
      <c r="T23" s="593"/>
      <c r="U23" s="593"/>
      <c r="V23" s="593"/>
      <c r="W23" s="593"/>
      <c r="X23" s="593"/>
      <c r="Y23" s="593"/>
      <c r="Z23" s="593"/>
      <c r="AA23" s="593"/>
      <c r="AB23" s="593"/>
      <c r="AC23" s="593"/>
      <c r="AD23" s="593"/>
      <c r="AE23" s="593"/>
      <c r="AF23" s="593"/>
      <c r="AG23" s="593"/>
      <c r="AH23" s="593"/>
      <c r="AI23" s="593"/>
      <c r="AJ23" s="593"/>
      <c r="AK23" s="593"/>
      <c r="AL23" s="593"/>
      <c r="AM23" s="593"/>
      <c r="AN23" s="593"/>
      <c r="AO23" s="593"/>
      <c r="AP23" s="593"/>
      <c r="AQ23" s="593"/>
      <c r="AR23" s="593"/>
      <c r="AS23" s="66"/>
      <c r="AT23" s="114"/>
      <c r="AU23" s="114"/>
      <c r="AW23" s="242"/>
      <c r="AX23" s="638"/>
      <c r="AY23" s="638"/>
      <c r="AZ23" s="638"/>
      <c r="BA23" s="638"/>
      <c r="BB23" s="244"/>
    </row>
    <row r="24" spans="1:54" ht="9.9499999999999993" customHeight="1" x14ac:dyDescent="0.2">
      <c r="B24" s="59"/>
      <c r="C24" s="59"/>
      <c r="D24" s="60"/>
      <c r="E24" s="593"/>
      <c r="F24" s="593"/>
      <c r="G24" s="593"/>
      <c r="H24" s="593"/>
      <c r="I24" s="593"/>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c r="AS24" s="66"/>
      <c r="AT24" s="114"/>
      <c r="AU24" s="114"/>
      <c r="AW24" s="242"/>
      <c r="AX24" s="638"/>
      <c r="AY24" s="638"/>
      <c r="AZ24" s="638"/>
      <c r="BA24" s="638"/>
      <c r="BB24" s="244"/>
    </row>
    <row r="25" spans="1:54" ht="9.9499999999999993" customHeight="1" x14ac:dyDescent="0.2">
      <c r="B25" s="59"/>
      <c r="C25" s="59"/>
      <c r="D25" s="60"/>
      <c r="E25" s="593"/>
      <c r="F25" s="593"/>
      <c r="G25" s="593"/>
      <c r="H25" s="593"/>
      <c r="I25" s="593"/>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3"/>
      <c r="AK25" s="593"/>
      <c r="AL25" s="593"/>
      <c r="AM25" s="593"/>
      <c r="AN25" s="593"/>
      <c r="AO25" s="593"/>
      <c r="AP25" s="593"/>
      <c r="AQ25" s="593"/>
      <c r="AR25" s="593"/>
      <c r="AS25" s="66"/>
      <c r="AT25" s="114"/>
      <c r="AU25" s="114"/>
      <c r="AW25" s="242"/>
      <c r="AX25" s="631"/>
      <c r="AY25" s="632"/>
      <c r="AZ25" s="633"/>
      <c r="BA25" s="189"/>
      <c r="BB25" s="244"/>
    </row>
    <row r="26" spans="1:54" ht="9.9499999999999993" customHeight="1" x14ac:dyDescent="0.2">
      <c r="B26" s="59"/>
      <c r="C26" s="59"/>
      <c r="D26" s="60"/>
      <c r="E26" s="593"/>
      <c r="F26" s="593"/>
      <c r="G26" s="593"/>
      <c r="H26" s="593"/>
      <c r="I26" s="593"/>
      <c r="J26" s="593"/>
      <c r="K26" s="593"/>
      <c r="L26" s="593"/>
      <c r="M26" s="593"/>
      <c r="N26" s="593"/>
      <c r="O26" s="593"/>
      <c r="P26" s="593"/>
      <c r="Q26" s="593"/>
      <c r="R26" s="593"/>
      <c r="S26" s="593"/>
      <c r="T26" s="593"/>
      <c r="U26" s="593"/>
      <c r="V26" s="593"/>
      <c r="W26" s="593"/>
      <c r="X26" s="593"/>
      <c r="Y26" s="593"/>
      <c r="Z26" s="593"/>
      <c r="AA26" s="593"/>
      <c r="AB26" s="593"/>
      <c r="AC26" s="593"/>
      <c r="AD26" s="593"/>
      <c r="AE26" s="593"/>
      <c r="AF26" s="593"/>
      <c r="AG26" s="593"/>
      <c r="AH26" s="593"/>
      <c r="AI26" s="593"/>
      <c r="AJ26" s="593"/>
      <c r="AK26" s="593"/>
      <c r="AL26" s="593"/>
      <c r="AM26" s="593"/>
      <c r="AN26" s="593"/>
      <c r="AO26" s="593"/>
      <c r="AP26" s="593"/>
      <c r="AQ26" s="593"/>
      <c r="AR26" s="593"/>
      <c r="AS26" s="66"/>
      <c r="AT26" s="114"/>
      <c r="AU26" s="114"/>
      <c r="AW26" s="242"/>
      <c r="AX26" s="634"/>
      <c r="AY26" s="635"/>
      <c r="AZ26" s="636"/>
      <c r="BA26" s="189"/>
      <c r="BB26" s="244"/>
    </row>
    <row r="27" spans="1:54" ht="15.75" customHeight="1" thickBot="1" x14ac:dyDescent="0.25">
      <c r="B27" s="59"/>
      <c r="C27" s="59"/>
      <c r="D27" s="60"/>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6"/>
      <c r="AT27" s="114"/>
      <c r="AU27" s="114"/>
      <c r="AW27" s="242"/>
      <c r="AX27" s="318"/>
      <c r="AY27" s="189"/>
      <c r="AZ27" s="189"/>
      <c r="BA27" s="189"/>
      <c r="BB27" s="244"/>
    </row>
    <row r="28" spans="1:54" ht="18" customHeight="1" thickBot="1" x14ac:dyDescent="0.25">
      <c r="A28" s="157" t="str">
        <f>IF('Sprachen &amp; Rückgabewerte'!$I$13=TRUE,'Sprachen &amp; Rückgabewerte'!$H$58,"")</f>
        <v/>
      </c>
      <c r="B28" s="227"/>
      <c r="C28" s="59"/>
      <c r="D28" s="83"/>
      <c r="E28" s="594"/>
      <c r="F28" s="595"/>
      <c r="G28" s="595"/>
      <c r="H28" s="596"/>
      <c r="I28" s="594"/>
      <c r="J28" s="595"/>
      <c r="K28" s="595"/>
      <c r="L28" s="596"/>
      <c r="M28" s="594"/>
      <c r="N28" s="595"/>
      <c r="O28" s="595"/>
      <c r="P28" s="596"/>
      <c r="Q28" s="594"/>
      <c r="R28" s="595"/>
      <c r="S28" s="595"/>
      <c r="T28" s="596"/>
      <c r="U28" s="594"/>
      <c r="V28" s="595"/>
      <c r="W28" s="595"/>
      <c r="X28" s="596"/>
      <c r="Y28" s="594"/>
      <c r="Z28" s="595"/>
      <c r="AA28" s="595"/>
      <c r="AB28" s="596"/>
      <c r="AC28" s="594"/>
      <c r="AD28" s="595"/>
      <c r="AE28" s="595"/>
      <c r="AF28" s="596"/>
      <c r="AG28" s="594"/>
      <c r="AH28" s="595"/>
      <c r="AI28" s="595"/>
      <c r="AJ28" s="596"/>
      <c r="AK28" s="594"/>
      <c r="AL28" s="595"/>
      <c r="AM28" s="595"/>
      <c r="AN28" s="596"/>
      <c r="AO28" s="594"/>
      <c r="AP28" s="595"/>
      <c r="AQ28" s="595"/>
      <c r="AR28" s="596"/>
      <c r="AS28" s="67"/>
      <c r="AT28" s="114"/>
      <c r="AU28" s="114"/>
      <c r="AW28" s="258"/>
      <c r="AX28" s="248"/>
      <c r="AY28" s="249"/>
      <c r="AZ28" s="249"/>
      <c r="BA28" s="249"/>
      <c r="BB28" s="250"/>
    </row>
    <row r="29" spans="1:54" ht="7.5" customHeight="1" x14ac:dyDescent="0.2">
      <c r="B29" s="59"/>
      <c r="C29" s="59"/>
      <c r="D29" s="60"/>
      <c r="E29" s="68"/>
      <c r="F29" s="69"/>
      <c r="G29" s="69"/>
      <c r="H29" s="70"/>
      <c r="I29" s="69"/>
      <c r="J29" s="69"/>
      <c r="K29" s="69"/>
      <c r="L29" s="70"/>
      <c r="M29" s="69"/>
      <c r="N29" s="69"/>
      <c r="O29" s="69"/>
      <c r="P29" s="70"/>
      <c r="Q29" s="69"/>
      <c r="R29" s="69"/>
      <c r="S29" s="69"/>
      <c r="T29" s="70"/>
      <c r="U29" s="69"/>
      <c r="V29" s="69"/>
      <c r="W29" s="69"/>
      <c r="X29" s="70"/>
      <c r="Y29" s="69"/>
      <c r="Z29" s="69"/>
      <c r="AA29" s="69"/>
      <c r="AB29" s="70"/>
      <c r="AC29" s="69"/>
      <c r="AD29" s="69"/>
      <c r="AE29" s="69"/>
      <c r="AF29" s="70"/>
      <c r="AG29" s="69"/>
      <c r="AH29" s="69"/>
      <c r="AI29" s="69"/>
      <c r="AJ29" s="70"/>
      <c r="AK29" s="68"/>
      <c r="AL29" s="69"/>
      <c r="AM29" s="69"/>
      <c r="AN29" s="70"/>
      <c r="AO29" s="68"/>
      <c r="AP29" s="69"/>
      <c r="AQ29" s="69"/>
      <c r="AR29" s="70"/>
      <c r="AS29" s="60"/>
      <c r="AT29" s="114"/>
      <c r="AU29" s="114"/>
      <c r="AY29" s="189"/>
      <c r="AZ29" s="189"/>
      <c r="BA29" s="189"/>
    </row>
    <row r="30" spans="1:54" ht="10.5" customHeight="1" x14ac:dyDescent="0.2">
      <c r="B30" s="59"/>
      <c r="C30" s="67"/>
      <c r="D30" s="83"/>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83"/>
      <c r="AT30" s="115"/>
      <c r="AU30" s="114"/>
      <c r="AW30" s="619" t="str">
        <f>IF('Sprachen &amp; Rückgabewerte'!$I$19=TRUE,'Sprachen &amp; Rückgabewerte'!$H$137,"")</f>
        <v/>
      </c>
      <c r="AX30" s="620"/>
      <c r="AY30" s="620"/>
      <c r="AZ30" s="620"/>
      <c r="BA30" s="621"/>
    </row>
    <row r="31" spans="1:54" ht="11.25" customHeight="1" x14ac:dyDescent="0.2">
      <c r="B31" s="59"/>
      <c r="C31" s="60"/>
      <c r="D31" s="60"/>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0"/>
      <c r="AL31" s="60"/>
      <c r="AM31" s="62"/>
      <c r="AN31" s="60"/>
      <c r="AO31" s="60"/>
      <c r="AP31" s="60"/>
      <c r="AQ31" s="60"/>
      <c r="AR31" s="60"/>
      <c r="AS31" s="60"/>
      <c r="AT31" s="60"/>
      <c r="AU31" s="114"/>
      <c r="AW31" s="622"/>
      <c r="AX31" s="623"/>
      <c r="AY31" s="623"/>
      <c r="AZ31" s="623"/>
      <c r="BA31" s="624"/>
    </row>
    <row r="32" spans="1:54" ht="12.75" customHeight="1" x14ac:dyDescent="0.2">
      <c r="B32" s="59"/>
      <c r="C32" s="111"/>
      <c r="D32" s="81"/>
      <c r="E32" s="81"/>
      <c r="F32" s="81"/>
      <c r="G32" s="81"/>
      <c r="H32" s="81"/>
      <c r="I32" s="81"/>
      <c r="J32" s="81"/>
      <c r="K32" s="81"/>
      <c r="L32" s="81"/>
      <c r="M32" s="81"/>
      <c r="N32" s="81"/>
      <c r="O32" s="81"/>
      <c r="P32" s="81"/>
      <c r="Q32" s="81"/>
      <c r="R32" s="81"/>
      <c r="S32" s="81"/>
      <c r="T32" s="81"/>
      <c r="U32" s="81"/>
      <c r="V32" s="81"/>
      <c r="W32" s="81"/>
      <c r="X32" s="81"/>
      <c r="Y32" s="81"/>
      <c r="Z32" s="81"/>
      <c r="AA32" s="81"/>
      <c r="AB32" s="113"/>
      <c r="AC32" s="60"/>
      <c r="AD32" s="111"/>
      <c r="AE32" s="120" t="str">
        <f>'Sprachen &amp; Rückgabewerte'!$H$134</f>
        <v>Features</v>
      </c>
      <c r="AF32" s="120"/>
      <c r="AG32" s="81"/>
      <c r="AH32" s="81"/>
      <c r="AI32" s="81"/>
      <c r="AJ32" s="81"/>
      <c r="AK32" s="81"/>
      <c r="AL32" s="81"/>
      <c r="AM32" s="138"/>
      <c r="AN32" s="81"/>
      <c r="AO32" s="81"/>
      <c r="AP32" s="81"/>
      <c r="AQ32" s="81"/>
      <c r="AR32" s="81"/>
      <c r="AS32" s="81"/>
      <c r="AT32" s="113"/>
      <c r="AU32" s="204"/>
      <c r="AV32" s="113"/>
      <c r="AW32" s="622"/>
      <c r="AX32" s="623"/>
      <c r="AY32" s="623"/>
      <c r="AZ32" s="623"/>
      <c r="BA32" s="624"/>
    </row>
    <row r="33" spans="2:53" ht="12.75" customHeight="1" x14ac:dyDescent="0.2">
      <c r="B33" s="59"/>
      <c r="C33" s="59"/>
      <c r="D33" s="71"/>
      <c r="E33" s="97"/>
      <c r="F33" s="96" t="str">
        <f>'Sprachen &amp; Rückgabewerte'!$H$13</f>
        <v>Teilung Achsmasse</v>
      </c>
      <c r="G33" s="71"/>
      <c r="H33" s="71"/>
      <c r="I33" s="71"/>
      <c r="J33" s="71"/>
      <c r="K33" s="71"/>
      <c r="L33" s="71"/>
      <c r="M33" s="71"/>
      <c r="N33" s="71"/>
      <c r="O33" s="71"/>
      <c r="P33" s="71"/>
      <c r="Q33" s="71"/>
      <c r="R33" s="71"/>
      <c r="S33" s="71"/>
      <c r="T33" s="71"/>
      <c r="U33" s="71"/>
      <c r="V33" s="71"/>
      <c r="W33" s="71"/>
      <c r="X33" s="71"/>
      <c r="Y33" s="71"/>
      <c r="Z33" s="71"/>
      <c r="AA33" s="71"/>
      <c r="AB33" s="122"/>
      <c r="AC33" s="71"/>
      <c r="AD33" s="121"/>
      <c r="AE33" s="71"/>
      <c r="AH33" s="71"/>
      <c r="AI33" s="71"/>
      <c r="AJ33" s="71"/>
      <c r="AK33" s="71"/>
      <c r="AL33" s="71"/>
      <c r="AM33" s="71"/>
      <c r="AN33" s="97"/>
      <c r="AO33" s="60"/>
      <c r="AQ33" s="71"/>
      <c r="AR33" s="71"/>
      <c r="AS33" s="96"/>
      <c r="AT33" s="114"/>
      <c r="AU33" s="114"/>
      <c r="AW33" s="190" t="str">
        <f>IF(AND(F$10&gt;0,'Sprachen &amp; Rückgabewerte'!$I$19=TRUE),CONCATENATE("Pos. ",'Pos. 1'!$B$2,".1"),"")</f>
        <v/>
      </c>
      <c r="AX33" s="599"/>
      <c r="AY33" s="600"/>
      <c r="AZ33" s="189"/>
      <c r="BA33" s="191"/>
    </row>
    <row r="34" spans="2:53" ht="12.75" customHeight="1" x14ac:dyDescent="0.2">
      <c r="B34" s="59"/>
      <c r="C34" s="59"/>
      <c r="D34" s="71"/>
      <c r="E34" s="97"/>
      <c r="F34" s="72" t="str">
        <f>'Sprachen &amp; Rückgabewerte'!$H$14</f>
        <v>alle Gläser gleiche Breite (Empfehlung)</v>
      </c>
      <c r="G34" s="71"/>
      <c r="H34" s="71"/>
      <c r="I34" s="71"/>
      <c r="J34" s="71"/>
      <c r="K34" s="71"/>
      <c r="L34" s="71"/>
      <c r="M34" s="71"/>
      <c r="N34" s="71"/>
      <c r="O34" s="71"/>
      <c r="P34" s="71"/>
      <c r="Q34" s="71"/>
      <c r="R34" s="71"/>
      <c r="S34" s="71"/>
      <c r="T34" s="71"/>
      <c r="U34" s="71"/>
      <c r="V34" s="71"/>
      <c r="W34" s="71"/>
      <c r="X34" s="71"/>
      <c r="Y34" s="71"/>
      <c r="Z34" s="71"/>
      <c r="AA34" s="71"/>
      <c r="AB34" s="122"/>
      <c r="AC34" s="71"/>
      <c r="AD34" s="121"/>
      <c r="AE34" s="71"/>
      <c r="AF34" s="71" t="str">
        <f>'Sprachen &amp; Rückgabewerte'!$H$15</f>
        <v>Standard</v>
      </c>
      <c r="AH34" s="71"/>
      <c r="AI34" s="71"/>
      <c r="AJ34" s="71"/>
      <c r="AK34" s="71"/>
      <c r="AL34" s="71"/>
      <c r="AM34" s="71"/>
      <c r="AN34" s="97"/>
      <c r="AO34" s="71"/>
      <c r="AP34" s="71"/>
      <c r="AQ34" s="71"/>
      <c r="AR34" s="71"/>
      <c r="AS34" s="96"/>
      <c r="AT34" s="114"/>
      <c r="AU34" s="114"/>
      <c r="AW34" s="190" t="str">
        <f>IF(AND(J10&gt;0,'Sprachen &amp; Rückgabewerte'!$I$19=TRUE),CONCATENATE("Pos. ",'Pos. 1'!$B$2,".2"),"")</f>
        <v/>
      </c>
      <c r="AX34" s="599"/>
      <c r="AY34" s="600"/>
      <c r="AZ34" s="189"/>
      <c r="BA34" s="191"/>
    </row>
    <row r="35" spans="2:53" ht="12.75" customHeight="1" x14ac:dyDescent="0.2">
      <c r="B35" s="59"/>
      <c r="C35" s="59"/>
      <c r="D35" s="71"/>
      <c r="E35" s="71"/>
      <c r="F35" s="71"/>
      <c r="G35" s="71"/>
      <c r="H35" s="71"/>
      <c r="I35" s="71"/>
      <c r="J35" s="71"/>
      <c r="K35" s="71"/>
      <c r="L35" s="71"/>
      <c r="M35" s="71"/>
      <c r="N35" s="71"/>
      <c r="O35" s="71"/>
      <c r="P35" s="71"/>
      <c r="Q35" s="71"/>
      <c r="R35" s="71"/>
      <c r="S35" s="71"/>
      <c r="T35" s="71"/>
      <c r="U35" s="71"/>
      <c r="V35" s="71"/>
      <c r="W35" s="71"/>
      <c r="X35" s="71"/>
      <c r="Y35" s="71"/>
      <c r="Z35" s="71"/>
      <c r="AA35" s="71"/>
      <c r="AB35" s="122"/>
      <c r="AC35" s="71"/>
      <c r="AD35" s="121"/>
      <c r="AE35" s="71"/>
      <c r="AF35" s="71" t="str">
        <f>'Sprachen &amp; Rückgabewerte'!$H$17</f>
        <v>Positionsüberwachung (P)</v>
      </c>
      <c r="AH35" s="71"/>
      <c r="AI35" s="71"/>
      <c r="AJ35" s="71"/>
      <c r="AK35" s="71"/>
      <c r="AL35" s="71"/>
      <c r="AM35" s="71"/>
      <c r="AN35" s="97"/>
      <c r="AO35" s="71"/>
      <c r="AP35" s="71"/>
      <c r="AQ35" s="71"/>
      <c r="AR35" s="71"/>
      <c r="AS35" s="73"/>
      <c r="AT35" s="114"/>
      <c r="AU35" s="114"/>
      <c r="AW35" s="190" t="str">
        <f>IF(AND(N10&gt;0,'Sprachen &amp; Rückgabewerte'!$I$19=TRUE),CONCATENATE("Pos. ",'Pos. 1'!$B$2,".3"),"")</f>
        <v/>
      </c>
      <c r="AX35" s="599"/>
      <c r="AY35" s="600"/>
      <c r="AZ35" s="189"/>
      <c r="BA35" s="191"/>
    </row>
    <row r="36" spans="2:53" ht="12.75" customHeight="1" x14ac:dyDescent="0.2">
      <c r="B36" s="59"/>
      <c r="C36" s="59"/>
      <c r="D36" s="71"/>
      <c r="E36" s="71"/>
      <c r="F36" s="71"/>
      <c r="G36" s="71"/>
      <c r="H36" s="71"/>
      <c r="I36" s="71"/>
      <c r="J36" s="71"/>
      <c r="K36" s="71"/>
      <c r="L36" s="71"/>
      <c r="M36" s="71"/>
      <c r="N36" s="71"/>
      <c r="O36" s="71"/>
      <c r="P36" s="71"/>
      <c r="Q36" s="71"/>
      <c r="R36" s="71"/>
      <c r="S36" s="71"/>
      <c r="T36" s="71"/>
      <c r="U36" s="71"/>
      <c r="V36" s="71"/>
      <c r="W36" s="71"/>
      <c r="X36" s="71"/>
      <c r="Y36" s="71"/>
      <c r="Z36" s="71"/>
      <c r="AA36" s="71"/>
      <c r="AB36" s="122"/>
      <c r="AC36" s="71"/>
      <c r="AD36" s="121"/>
      <c r="AE36" s="71"/>
      <c r="AF36" s="71" t="str">
        <f>'Sprachen &amp; Rückgabewerte'!$H$18</f>
        <v xml:space="preserve">Riegelüberwachung (R) </v>
      </c>
      <c r="AH36" s="71"/>
      <c r="AI36" s="71"/>
      <c r="AJ36" s="71"/>
      <c r="AK36" s="71"/>
      <c r="AL36" s="71"/>
      <c r="AM36" s="71"/>
      <c r="AN36" s="97"/>
      <c r="AO36" s="71"/>
      <c r="AP36" s="71"/>
      <c r="AQ36" s="71"/>
      <c r="AR36" s="71"/>
      <c r="AS36" s="73"/>
      <c r="AT36" s="114"/>
      <c r="AU36" s="114"/>
      <c r="AW36" s="190" t="str">
        <f>IF(AND(R10&gt;0,'Sprachen &amp; Rückgabewerte'!$I$19=TRUE),CONCATENATE("Pos. ",'Pos. 1'!$B$2,".4"),"")</f>
        <v/>
      </c>
      <c r="AX36" s="599"/>
      <c r="AY36" s="600"/>
      <c r="AZ36" s="189"/>
      <c r="BA36" s="191"/>
    </row>
    <row r="37" spans="2:53" ht="12.75" customHeight="1" x14ac:dyDescent="0.2">
      <c r="B37" s="59"/>
      <c r="C37" s="59"/>
      <c r="D37" s="71"/>
      <c r="E37" s="71"/>
      <c r="F37" s="71"/>
      <c r="G37" s="71"/>
      <c r="H37" s="71"/>
      <c r="I37" s="71"/>
      <c r="J37" s="71"/>
      <c r="K37" s="71"/>
      <c r="L37" s="71"/>
      <c r="M37" s="71"/>
      <c r="N37" s="71"/>
      <c r="O37" s="71"/>
      <c r="P37" s="71"/>
      <c r="Q37" s="71"/>
      <c r="R37" s="71"/>
      <c r="S37" s="71"/>
      <c r="T37" s="71"/>
      <c r="U37" s="71"/>
      <c r="V37" s="71"/>
      <c r="W37" s="71"/>
      <c r="X37" s="71"/>
      <c r="Y37" s="71"/>
      <c r="Z37" s="71"/>
      <c r="AA37" s="71"/>
      <c r="AB37" s="122"/>
      <c r="AC37" s="71"/>
      <c r="AD37" s="121"/>
      <c r="AE37" s="71"/>
      <c r="AF37" s="71" t="str">
        <f>'Sprachen &amp; Rückgabewerte'!$H$25</f>
        <v>Pool</v>
      </c>
      <c r="AH37" s="71"/>
      <c r="AI37" s="71"/>
      <c r="AJ37" s="71"/>
      <c r="AK37" s="71"/>
      <c r="AL37" s="71"/>
      <c r="AM37" s="71"/>
      <c r="AN37" s="97"/>
      <c r="AO37" s="71"/>
      <c r="AP37" s="71"/>
      <c r="AQ37" s="71"/>
      <c r="AR37" s="71"/>
      <c r="AS37" s="73"/>
      <c r="AT37" s="114"/>
      <c r="AU37" s="114"/>
      <c r="AW37" s="190" t="str">
        <f>IF(AND(V10&gt;0,'Sprachen &amp; Rückgabewerte'!$I$19=TRUE),CONCATENATE("Pos. ",'Pos. 1'!$B$2,".5"),"")</f>
        <v/>
      </c>
      <c r="AX37" s="599"/>
      <c r="AY37" s="600"/>
      <c r="AZ37" s="189"/>
      <c r="BA37" s="191"/>
    </row>
    <row r="38" spans="2:53" ht="12.75" customHeight="1" x14ac:dyDescent="0.2">
      <c r="B38" s="59"/>
      <c r="C38" s="59"/>
      <c r="D38" s="71"/>
      <c r="E38" s="71"/>
      <c r="F38" s="71"/>
      <c r="G38" s="71"/>
      <c r="H38" s="71"/>
      <c r="I38" s="71"/>
      <c r="J38" s="71"/>
      <c r="K38" s="71"/>
      <c r="L38" s="71"/>
      <c r="M38" s="71"/>
      <c r="N38" s="71"/>
      <c r="O38" s="71"/>
      <c r="P38" s="71"/>
      <c r="Q38" s="71"/>
      <c r="R38" s="71"/>
      <c r="S38" s="71"/>
      <c r="T38" s="71"/>
      <c r="U38" s="71"/>
      <c r="V38" s="71"/>
      <c r="W38" s="71"/>
      <c r="X38" s="71"/>
      <c r="Y38" s="71"/>
      <c r="Z38" s="71"/>
      <c r="AA38" s="71"/>
      <c r="AB38" s="122"/>
      <c r="AC38" s="71"/>
      <c r="AD38" s="121"/>
      <c r="AE38" s="71"/>
      <c r="AF38" s="618" t="str">
        <f>'Sprachen &amp; Rückgabewerte'!$H$20</f>
        <v>Elektrischer Antrieb, Anzahl</v>
      </c>
      <c r="AG38" s="618"/>
      <c r="AH38" s="618"/>
      <c r="AI38" s="618"/>
      <c r="AJ38" s="618"/>
      <c r="AK38" s="618"/>
      <c r="AL38" s="618"/>
      <c r="AM38" s="617">
        <f>IF('Sprachen &amp; Rückgabewerte'!I20=FALSE,0,COUNTIF(F13:AQ19,"E"))</f>
        <v>0</v>
      </c>
      <c r="AN38" s="617"/>
      <c r="AO38" s="71" t="str">
        <f>'Sprachen &amp; Rückgabewerte'!$H$21</f>
        <v>Stk.</v>
      </c>
      <c r="AQ38" s="71"/>
      <c r="AR38" s="71"/>
      <c r="AS38" s="96"/>
      <c r="AT38" s="114"/>
      <c r="AU38" s="114"/>
      <c r="AW38" s="190" t="str">
        <f>IF(AND(Z10&gt;0,'Sprachen &amp; Rückgabewerte'!$I$19=TRUE),CONCATENATE("Pos. ",'Pos. 1'!$B$2,".6"),"")</f>
        <v/>
      </c>
      <c r="AX38" s="599"/>
      <c r="AY38" s="600"/>
      <c r="AZ38" s="60"/>
      <c r="BA38" s="114"/>
    </row>
    <row r="39" spans="2:53" ht="12.75" customHeight="1" x14ac:dyDescent="0.2">
      <c r="B39" s="59"/>
      <c r="C39" s="59"/>
      <c r="D39" s="71"/>
      <c r="E39" s="71"/>
      <c r="F39" s="71"/>
      <c r="G39" s="71"/>
      <c r="H39" s="71"/>
      <c r="I39" s="71"/>
      <c r="J39" s="71"/>
      <c r="K39" s="71"/>
      <c r="L39" s="71"/>
      <c r="M39" s="71"/>
      <c r="N39" s="71"/>
      <c r="O39" s="71"/>
      <c r="P39" s="71"/>
      <c r="Q39" s="71"/>
      <c r="R39" s="71"/>
      <c r="S39" s="71"/>
      <c r="T39" s="71"/>
      <c r="U39" s="71"/>
      <c r="V39" s="71"/>
      <c r="W39" s="71"/>
      <c r="X39" s="71"/>
      <c r="Y39" s="71"/>
      <c r="Z39" s="71"/>
      <c r="AA39" s="71"/>
      <c r="AB39" s="122"/>
      <c r="AC39" s="71"/>
      <c r="AD39" s="121"/>
      <c r="AE39" s="71"/>
      <c r="AF39" s="71" t="str">
        <f>'Sprachen &amp; Rückgabewerte'!$H$22</f>
        <v>geforderte Klassen:</v>
      </c>
      <c r="AH39" s="71"/>
      <c r="AI39" s="71"/>
      <c r="AJ39" s="71"/>
      <c r="AK39" s="71"/>
      <c r="AL39" s="601"/>
      <c r="AM39" s="602"/>
      <c r="AN39" s="602"/>
      <c r="AO39" s="602"/>
      <c r="AP39" s="602"/>
      <c r="AQ39" s="602"/>
      <c r="AR39" s="602"/>
      <c r="AS39" s="603"/>
      <c r="AT39" s="114"/>
      <c r="AU39" s="114"/>
      <c r="AW39" s="190" t="str">
        <f>IF(AND(AD10&gt;0,'Sprachen &amp; Rückgabewerte'!$I$19=TRUE),CONCATENATE("Pos. ",'Pos. 1'!$B$2,".7"),"")</f>
        <v/>
      </c>
      <c r="AX39" s="599"/>
      <c r="AY39" s="600"/>
      <c r="AZ39" s="60"/>
      <c r="BA39" s="114"/>
    </row>
    <row r="40" spans="2:53" ht="12.75" customHeight="1" x14ac:dyDescent="0.2">
      <c r="B40" s="59"/>
      <c r="C40" s="59"/>
      <c r="D40" s="71"/>
      <c r="E40" s="95"/>
      <c r="F40" s="72" t="str">
        <f>'Sprachen &amp; Rückgabewerte'!H30</f>
        <v>nach rechts</v>
      </c>
      <c r="G40" s="71"/>
      <c r="H40" s="71"/>
      <c r="I40" s="71"/>
      <c r="J40" s="71"/>
      <c r="K40" s="71"/>
      <c r="L40" s="71"/>
      <c r="M40" s="71"/>
      <c r="N40" s="74" t="str">
        <f>'Sprachen &amp; Rückgabewerte'!H31</f>
        <v>nach links</v>
      </c>
      <c r="O40" s="95"/>
      <c r="P40" s="74"/>
      <c r="Q40" s="97"/>
      <c r="R40" s="71"/>
      <c r="S40" s="71"/>
      <c r="T40" s="71"/>
      <c r="U40" s="71"/>
      <c r="V40" s="71"/>
      <c r="W40" s="71"/>
      <c r="X40" s="71"/>
      <c r="Y40" s="71"/>
      <c r="Z40" s="597" t="s">
        <v>179</v>
      </c>
      <c r="AA40" s="71"/>
      <c r="AB40" s="122"/>
      <c r="AC40" s="71"/>
      <c r="AD40" s="123"/>
      <c r="AE40" s="124"/>
      <c r="AF40" s="124"/>
      <c r="AG40" s="604"/>
      <c r="AH40" s="604"/>
      <c r="AI40" s="604"/>
      <c r="AJ40" s="604"/>
      <c r="AK40" s="604"/>
      <c r="AL40" s="604"/>
      <c r="AM40" s="604"/>
      <c r="AN40" s="604"/>
      <c r="AO40" s="604"/>
      <c r="AP40" s="604"/>
      <c r="AQ40" s="604"/>
      <c r="AR40" s="604"/>
      <c r="AS40" s="124"/>
      <c r="AT40" s="115"/>
      <c r="AU40" s="114"/>
      <c r="AW40" s="190" t="str">
        <f>IF(AND(AH10&gt;0,'Sprachen &amp; Rückgabewerte'!$I$19=TRUE),CONCATENATE("Pos. ",'Pos. 1'!$B$2,".8"),"")</f>
        <v/>
      </c>
      <c r="AX40" s="599"/>
      <c r="AY40" s="600"/>
      <c r="AZ40" s="60"/>
      <c r="BA40" s="114"/>
    </row>
    <row r="41" spans="2:53" ht="12.75" customHeight="1" x14ac:dyDescent="0.2">
      <c r="B41" s="59"/>
      <c r="C41" s="59"/>
      <c r="D41" s="71"/>
      <c r="E41" s="95"/>
      <c r="F41" s="72"/>
      <c r="G41" s="71"/>
      <c r="H41" s="71"/>
      <c r="I41" s="71"/>
      <c r="J41" s="71"/>
      <c r="K41" s="71"/>
      <c r="L41" s="71"/>
      <c r="M41" s="71"/>
      <c r="N41" s="74"/>
      <c r="O41" s="95"/>
      <c r="P41" s="74"/>
      <c r="Q41" s="97"/>
      <c r="R41" s="71"/>
      <c r="S41" s="71"/>
      <c r="T41" s="71"/>
      <c r="U41" s="71"/>
      <c r="V41" s="71"/>
      <c r="W41" s="71"/>
      <c r="X41" s="71"/>
      <c r="Y41" s="71"/>
      <c r="Z41" s="598"/>
      <c r="AA41" s="71"/>
      <c r="AB41" s="122"/>
      <c r="AC41" s="71"/>
      <c r="AD41" s="71"/>
      <c r="AE41" s="71"/>
      <c r="AF41" s="71"/>
      <c r="AG41" s="75"/>
      <c r="AH41" s="75"/>
      <c r="AI41" s="75"/>
      <c r="AJ41" s="75"/>
      <c r="AK41" s="75"/>
      <c r="AL41" s="75"/>
      <c r="AM41" s="75"/>
      <c r="AN41" s="75"/>
      <c r="AO41" s="75"/>
      <c r="AP41" s="75"/>
      <c r="AQ41" s="75"/>
      <c r="AR41" s="75"/>
      <c r="AS41" s="71"/>
      <c r="AT41" s="60"/>
      <c r="AU41" s="114"/>
      <c r="AW41" s="190" t="str">
        <f>IF(AND(AL10&gt;0,'Sprachen &amp; Rückgabewerte'!$I$19=TRUE),CONCATENATE("Pos. ",'Pos. 1'!$B$2,".9"),"")</f>
        <v/>
      </c>
      <c r="AX41" s="599"/>
      <c r="AY41" s="600"/>
      <c r="AZ41" s="60"/>
      <c r="BA41" s="114"/>
    </row>
    <row r="42" spans="2:53" ht="12.75" customHeight="1" x14ac:dyDescent="0.2">
      <c r="B42" s="59"/>
      <c r="C42" s="59"/>
      <c r="D42" s="71"/>
      <c r="E42" s="71"/>
      <c r="F42" s="71"/>
      <c r="G42" s="71"/>
      <c r="H42" s="71"/>
      <c r="I42" s="71"/>
      <c r="J42" s="71"/>
      <c r="K42" s="71"/>
      <c r="L42" s="71"/>
      <c r="M42" s="71"/>
      <c r="N42" s="71"/>
      <c r="O42" s="71"/>
      <c r="P42" s="71"/>
      <c r="Q42" s="71"/>
      <c r="R42" s="71"/>
      <c r="S42" s="71"/>
      <c r="T42" s="71"/>
      <c r="U42" s="71"/>
      <c r="V42" s="71"/>
      <c r="W42" s="71"/>
      <c r="X42" s="71"/>
      <c r="Y42" s="71"/>
      <c r="Z42" s="590"/>
      <c r="AA42" s="71"/>
      <c r="AB42" s="122"/>
      <c r="AC42" s="76"/>
      <c r="AD42" s="118"/>
      <c r="AE42" s="120" t="str">
        <f>'Sprachen &amp; Rückgabewerte'!$H$35</f>
        <v>Oberfläche:</v>
      </c>
      <c r="AF42" s="120"/>
      <c r="AG42" s="119"/>
      <c r="AH42" s="119"/>
      <c r="AI42" s="119"/>
      <c r="AJ42" s="119"/>
      <c r="AK42" s="119"/>
      <c r="AL42" s="119"/>
      <c r="AM42" s="139"/>
      <c r="AN42" s="119"/>
      <c r="AO42" s="119"/>
      <c r="AP42" s="119"/>
      <c r="AQ42" s="119"/>
      <c r="AR42" s="119"/>
      <c r="AS42" s="119"/>
      <c r="AT42" s="113"/>
      <c r="AU42" s="114"/>
      <c r="AW42" s="190" t="str">
        <f>IF(AND(AP10&gt;0,'Sprachen &amp; Rückgabewerte'!$I$19=TRUE),CONCATENATE("Pos. ",'Pos. 1'!$B$2,".10"),"")</f>
        <v/>
      </c>
      <c r="AX42" s="599"/>
      <c r="AY42" s="600"/>
      <c r="AZ42" s="60"/>
      <c r="BA42" s="114"/>
    </row>
    <row r="43" spans="2:53" ht="12.75" customHeight="1" x14ac:dyDescent="0.2">
      <c r="B43" s="59"/>
      <c r="C43" s="59"/>
      <c r="D43" s="71"/>
      <c r="E43" s="71"/>
      <c r="F43" s="71"/>
      <c r="G43" s="71"/>
      <c r="H43" s="71"/>
      <c r="I43" s="71"/>
      <c r="J43" s="71"/>
      <c r="K43" s="71"/>
      <c r="L43" s="71"/>
      <c r="M43" s="71"/>
      <c r="N43" s="71"/>
      <c r="O43" s="71"/>
      <c r="P43" s="71"/>
      <c r="Q43" s="71"/>
      <c r="R43" s="71"/>
      <c r="S43" s="71"/>
      <c r="T43" s="71"/>
      <c r="U43" s="71"/>
      <c r="V43" s="71"/>
      <c r="W43" s="71"/>
      <c r="X43" s="71"/>
      <c r="Y43" s="71"/>
      <c r="Z43" s="591"/>
      <c r="AA43" s="71"/>
      <c r="AB43" s="122"/>
      <c r="AC43" s="76"/>
      <c r="AD43" s="121"/>
      <c r="AE43" s="71"/>
      <c r="AF43" s="180" t="str">
        <f>'Sprachen &amp; Rückgabewerte'!H36</f>
        <v>eloxiert (Qualanod):</v>
      </c>
      <c r="AG43" s="71"/>
      <c r="AH43" s="71"/>
      <c r="AI43" s="71"/>
      <c r="AJ43" s="71"/>
      <c r="AK43" s="71"/>
      <c r="AL43" s="71"/>
      <c r="AM43" s="561"/>
      <c r="AN43" s="561"/>
      <c r="AO43" s="561"/>
      <c r="AP43" s="561"/>
      <c r="AQ43" s="561"/>
      <c r="AR43" s="561"/>
      <c r="AS43" s="561"/>
      <c r="AT43" s="114"/>
      <c r="AU43" s="114"/>
      <c r="AW43" s="205">
        <f>COUNTBLANK(AW33:AW42)</f>
        <v>10</v>
      </c>
      <c r="AX43" s="206">
        <f>COUNTBLANK(AX33:AX42)</f>
        <v>10</v>
      </c>
      <c r="AY43" s="206">
        <f>AW43-AX43</f>
        <v>0</v>
      </c>
      <c r="AZ43" s="83"/>
      <c r="BA43" s="115"/>
    </row>
    <row r="44" spans="2:53" ht="12.75" customHeight="1" x14ac:dyDescent="0.2">
      <c r="B44" s="59"/>
      <c r="C44" s="59"/>
      <c r="D44" s="71"/>
      <c r="E44" s="71"/>
      <c r="F44" s="71"/>
      <c r="G44" s="71"/>
      <c r="H44" s="71"/>
      <c r="I44" s="71"/>
      <c r="J44" s="71"/>
      <c r="K44" s="71"/>
      <c r="L44" s="71"/>
      <c r="M44" s="71"/>
      <c r="N44" s="71"/>
      <c r="O44" s="71"/>
      <c r="P44" s="686" t="str">
        <f>'Sprachen &amp; Rückgabewerte'!$H$33</f>
        <v>Griffhöhe:</v>
      </c>
      <c r="Q44" s="686"/>
      <c r="R44" s="686"/>
      <c r="S44" s="686"/>
      <c r="T44" s="71"/>
      <c r="U44" s="71"/>
      <c r="V44" s="71"/>
      <c r="W44" s="71"/>
      <c r="X44" s="71"/>
      <c r="Y44" s="71"/>
      <c r="Z44" s="591"/>
      <c r="AA44" s="71"/>
      <c r="AB44" s="122"/>
      <c r="AC44" s="76"/>
      <c r="AD44" s="121"/>
      <c r="AE44" s="71"/>
      <c r="AF44" s="97"/>
      <c r="AG44" s="72"/>
      <c r="AH44" s="71"/>
      <c r="AI44" s="71"/>
      <c r="AJ44" s="71"/>
      <c r="AK44" s="71"/>
      <c r="AL44" s="71"/>
      <c r="AM44" s="96"/>
      <c r="AN44" s="97"/>
      <c r="AO44" s="570"/>
      <c r="AP44" s="570"/>
      <c r="AQ44" s="570"/>
      <c r="AR44" s="570"/>
      <c r="AS44" s="570"/>
      <c r="AT44" s="114"/>
      <c r="AU44" s="114"/>
    </row>
    <row r="45" spans="2:53" ht="12.75" customHeight="1" x14ac:dyDescent="0.2">
      <c r="B45" s="59"/>
      <c r="C45" s="59"/>
      <c r="D45" s="71"/>
      <c r="E45" s="71"/>
      <c r="F45" s="71"/>
      <c r="G45" s="71"/>
      <c r="H45" s="71"/>
      <c r="I45" s="71"/>
      <c r="J45" s="71"/>
      <c r="K45" s="71"/>
      <c r="L45" s="71"/>
      <c r="M45" s="71"/>
      <c r="N45" s="71"/>
      <c r="O45" s="71"/>
      <c r="P45" s="686"/>
      <c r="Q45" s="686"/>
      <c r="R45" s="686"/>
      <c r="S45" s="686"/>
      <c r="T45" s="692"/>
      <c r="U45" s="693"/>
      <c r="V45" s="72" t="s">
        <v>179</v>
      </c>
      <c r="W45" s="71"/>
      <c r="X45" s="71"/>
      <c r="Y45" s="71"/>
      <c r="Z45" s="592"/>
      <c r="AA45" s="71"/>
      <c r="AB45" s="122"/>
      <c r="AC45" s="76"/>
      <c r="AD45" s="121"/>
      <c r="AE45" s="71"/>
      <c r="AF45" s="96" t="str">
        <f>'Sprachen &amp; Rückgabewerte'!$H$39</f>
        <v>pulverbeschichtet:</v>
      </c>
      <c r="AG45" s="152"/>
      <c r="AH45" s="152"/>
      <c r="AI45" s="152"/>
      <c r="AJ45" s="152"/>
      <c r="AK45" s="152"/>
      <c r="AL45" s="152"/>
      <c r="AM45" s="614"/>
      <c r="AN45" s="615"/>
      <c r="AO45" s="615"/>
      <c r="AP45" s="615"/>
      <c r="AQ45" s="615"/>
      <c r="AR45" s="615"/>
      <c r="AS45" s="616"/>
      <c r="AT45" s="114"/>
      <c r="AU45" s="204"/>
      <c r="AV45" s="113"/>
      <c r="AW45" s="111"/>
      <c r="AX45" s="113"/>
    </row>
    <row r="46" spans="2:53" ht="12.75" customHeight="1" x14ac:dyDescent="0.2">
      <c r="B46" s="59"/>
      <c r="C46" s="59"/>
      <c r="D46" s="71"/>
      <c r="E46" s="71"/>
      <c r="F46" s="71"/>
      <c r="G46" s="71"/>
      <c r="H46" s="71"/>
      <c r="I46" s="681"/>
      <c r="J46" s="681"/>
      <c r="K46" s="681"/>
      <c r="L46" s="163" t="s">
        <v>193</v>
      </c>
      <c r="M46" s="71"/>
      <c r="N46" s="71"/>
      <c r="O46" s="71"/>
      <c r="P46" s="71"/>
      <c r="Q46" s="71"/>
      <c r="R46" s="71"/>
      <c r="S46" s="71"/>
      <c r="T46" s="71"/>
      <c r="U46" s="71"/>
      <c r="V46" s="71"/>
      <c r="W46" s="71"/>
      <c r="X46" s="71"/>
      <c r="Y46" s="71"/>
      <c r="Z46" s="690" t="str">
        <f>'Sprachen &amp; Rückgabewerte'!$H$34</f>
        <v xml:space="preserve">Höhe = </v>
      </c>
      <c r="AA46" s="71"/>
      <c r="AB46" s="122"/>
      <c r="AC46" s="76"/>
      <c r="AD46" s="121"/>
      <c r="AE46" s="71"/>
      <c r="AF46" s="364" t="str">
        <f>'Sprachen &amp; Rückgabewerte'!$H$40</f>
        <v>Vorbehandlung:</v>
      </c>
      <c r="AG46" s="364"/>
      <c r="AH46" s="71"/>
      <c r="AI46" s="71"/>
      <c r="AJ46" s="71"/>
      <c r="AK46" s="71"/>
      <c r="AL46" s="71"/>
      <c r="AM46" s="611"/>
      <c r="AN46" s="612"/>
      <c r="AO46" s="612"/>
      <c r="AP46" s="612"/>
      <c r="AQ46" s="612"/>
      <c r="AR46" s="612"/>
      <c r="AS46" s="613"/>
      <c r="AT46" s="114"/>
      <c r="AU46" s="114"/>
      <c r="AW46" s="236" t="str">
        <f>'Sprachen &amp; Rückgabewerte'!$H$150</f>
        <v>Farbe Panele:</v>
      </c>
      <c r="AX46" s="114"/>
    </row>
    <row r="47" spans="2:53" ht="12.75" customHeight="1" x14ac:dyDescent="0.2">
      <c r="B47" s="59"/>
      <c r="C47" s="59"/>
      <c r="D47" s="71"/>
      <c r="E47" s="71"/>
      <c r="F47" s="71"/>
      <c r="G47" s="71"/>
      <c r="H47" s="71"/>
      <c r="I47" s="681"/>
      <c r="J47" s="681"/>
      <c r="K47" s="681"/>
      <c r="L47" s="163" t="s">
        <v>193</v>
      </c>
      <c r="M47" s="71"/>
      <c r="N47" s="71"/>
      <c r="O47" s="95"/>
      <c r="P47" s="71"/>
      <c r="Q47" s="71"/>
      <c r="R47" s="71"/>
      <c r="S47" s="71"/>
      <c r="T47" s="71"/>
      <c r="U47" s="71"/>
      <c r="V47" s="71"/>
      <c r="W47" s="71"/>
      <c r="X47" s="71"/>
      <c r="Y47" s="71"/>
      <c r="Z47" s="691"/>
      <c r="AA47" s="95"/>
      <c r="AB47" s="122"/>
      <c r="AC47" s="77"/>
      <c r="AD47" s="121"/>
      <c r="AE47" s="71"/>
      <c r="AF47" s="365" t="str">
        <f>'Sprachen &amp; Rückgabewerte'!$H$176</f>
        <v>Pulverlack Klasse:</v>
      </c>
      <c r="AG47" s="71"/>
      <c r="AH47" s="71"/>
      <c r="AI47" s="71"/>
      <c r="AJ47" s="71"/>
      <c r="AK47" s="71"/>
      <c r="AL47" s="71"/>
      <c r="AM47" s="607"/>
      <c r="AN47" s="608"/>
      <c r="AO47" s="608"/>
      <c r="AP47" s="608"/>
      <c r="AQ47" s="608"/>
      <c r="AR47" s="608"/>
      <c r="AS47" s="609"/>
      <c r="AT47" s="114"/>
      <c r="AU47" s="114"/>
      <c r="AW47" s="59"/>
      <c r="AX47" s="114"/>
    </row>
    <row r="48" spans="2:53" ht="12.75" customHeight="1" x14ac:dyDescent="0.2">
      <c r="B48" s="59"/>
      <c r="C48" s="59"/>
      <c r="D48" s="71"/>
      <c r="E48" s="71"/>
      <c r="F48" s="71"/>
      <c r="G48" s="71"/>
      <c r="H48" s="71"/>
      <c r="I48" s="685"/>
      <c r="J48" s="685"/>
      <c r="K48" s="685"/>
      <c r="L48" s="163" t="s">
        <v>193</v>
      </c>
      <c r="M48" s="71"/>
      <c r="N48" s="71"/>
      <c r="O48" s="95"/>
      <c r="P48" s="71"/>
      <c r="Q48" s="71"/>
      <c r="R48" s="71"/>
      <c r="S48" s="71"/>
      <c r="T48" s="71"/>
      <c r="U48" s="71"/>
      <c r="V48" s="71"/>
      <c r="W48" s="71"/>
      <c r="X48" s="71"/>
      <c r="Y48" s="71"/>
      <c r="Z48" s="691"/>
      <c r="AA48" s="95"/>
      <c r="AB48" s="122"/>
      <c r="AC48" s="77"/>
      <c r="AD48" s="121"/>
      <c r="AE48" s="71"/>
      <c r="AF48" s="605" t="str">
        <f>'Sprachen &amp; Rückgabewerte'!$H$91</f>
        <v>Farbe Laufschiene + Schraubenarretierungen:</v>
      </c>
      <c r="AG48" s="605"/>
      <c r="AH48" s="605"/>
      <c r="AI48" s="605"/>
      <c r="AJ48" s="605"/>
      <c r="AK48" s="605"/>
      <c r="AL48" s="605"/>
      <c r="AM48" s="60"/>
      <c r="AN48" s="60"/>
      <c r="AO48" s="96"/>
      <c r="AP48" s="71"/>
      <c r="AQ48" s="71"/>
      <c r="AR48" s="71"/>
      <c r="AS48" s="71"/>
      <c r="AT48" s="114"/>
      <c r="AU48" s="114"/>
      <c r="AW48" s="559"/>
      <c r="AX48" s="560"/>
    </row>
    <row r="49" spans="2:50" ht="12.75" customHeight="1" x14ac:dyDescent="0.2">
      <c r="B49" s="59"/>
      <c r="C49" s="59"/>
      <c r="D49" s="71"/>
      <c r="E49" s="71"/>
      <c r="F49" s="71"/>
      <c r="G49" s="71"/>
      <c r="H49" s="74" t="str">
        <f>'Sprachen &amp; Rückgabewerte'!$H$32</f>
        <v>Breite =</v>
      </c>
      <c r="I49" s="682"/>
      <c r="J49" s="683"/>
      <c r="K49" s="684"/>
      <c r="L49" s="72" t="s">
        <v>179</v>
      </c>
      <c r="M49" s="71"/>
      <c r="N49" s="71"/>
      <c r="O49" s="95"/>
      <c r="P49" s="71"/>
      <c r="Q49" s="71"/>
      <c r="R49" s="71"/>
      <c r="S49" s="71"/>
      <c r="T49" s="71"/>
      <c r="U49" s="71"/>
      <c r="V49" s="71"/>
      <c r="W49" s="71"/>
      <c r="X49" s="71"/>
      <c r="Y49" s="71"/>
      <c r="Z49" s="691"/>
      <c r="AA49" s="95"/>
      <c r="AB49" s="122"/>
      <c r="AC49" s="77"/>
      <c r="AD49" s="121"/>
      <c r="AE49" s="71"/>
      <c r="AF49" s="605"/>
      <c r="AG49" s="605"/>
      <c r="AH49" s="605"/>
      <c r="AI49" s="605"/>
      <c r="AJ49" s="605"/>
      <c r="AK49" s="605"/>
      <c r="AL49" s="605"/>
      <c r="AM49" s="687"/>
      <c r="AN49" s="688"/>
      <c r="AO49" s="688"/>
      <c r="AP49" s="689"/>
      <c r="AQ49" s="71"/>
      <c r="AR49" s="71"/>
      <c r="AS49" s="71"/>
      <c r="AT49" s="114"/>
      <c r="AU49" s="114"/>
      <c r="AW49" s="67"/>
      <c r="AX49" s="115"/>
    </row>
    <row r="50" spans="2:50" ht="12.75" customHeight="1" x14ac:dyDescent="0.2">
      <c r="B50" s="59"/>
      <c r="C50" s="59"/>
      <c r="D50" s="71"/>
      <c r="E50" s="71"/>
      <c r="F50" s="71"/>
      <c r="G50" s="71"/>
      <c r="H50" s="60"/>
      <c r="I50" s="60"/>
      <c r="J50" s="60"/>
      <c r="K50" s="60"/>
      <c r="L50" s="60"/>
      <c r="M50" s="71"/>
      <c r="N50" s="71"/>
      <c r="O50" s="71"/>
      <c r="P50" s="71"/>
      <c r="Q50" s="71"/>
      <c r="R50" s="71"/>
      <c r="S50" s="71"/>
      <c r="T50" s="71"/>
      <c r="U50" s="71"/>
      <c r="V50" s="71"/>
      <c r="W50" s="71"/>
      <c r="X50" s="71"/>
      <c r="Y50" s="71"/>
      <c r="Z50" s="691"/>
      <c r="AA50" s="71"/>
      <c r="AB50" s="122"/>
      <c r="AC50" s="77"/>
      <c r="AD50" s="123"/>
      <c r="AE50" s="124"/>
      <c r="AF50" s="606"/>
      <c r="AG50" s="606"/>
      <c r="AH50" s="606"/>
      <c r="AI50" s="606"/>
      <c r="AJ50" s="606"/>
      <c r="AK50" s="606"/>
      <c r="AL50" s="606"/>
      <c r="AM50" s="140"/>
      <c r="AN50" s="124"/>
      <c r="AO50" s="124"/>
      <c r="AP50" s="124"/>
      <c r="AQ50" s="124"/>
      <c r="AR50" s="124"/>
      <c r="AS50" s="124"/>
      <c r="AT50" s="115"/>
      <c r="AU50" s="114"/>
    </row>
    <row r="51" spans="2:50" ht="12.75" customHeight="1" x14ac:dyDescent="0.2">
      <c r="B51" s="59"/>
      <c r="C51" s="59"/>
      <c r="D51" s="71"/>
      <c r="E51" s="71"/>
      <c r="F51" s="71"/>
      <c r="G51" s="71"/>
      <c r="H51" s="60"/>
      <c r="I51" s="60"/>
      <c r="J51" s="60"/>
      <c r="K51" s="60"/>
      <c r="L51" s="60"/>
      <c r="M51" s="71"/>
      <c r="N51" s="71"/>
      <c r="O51" s="71"/>
      <c r="P51" s="71"/>
      <c r="Q51" s="71"/>
      <c r="R51" s="71"/>
      <c r="S51" s="71"/>
      <c r="T51" s="71"/>
      <c r="U51" s="71"/>
      <c r="V51" s="71"/>
      <c r="W51" s="71"/>
      <c r="X51" s="71"/>
      <c r="Y51" s="71"/>
      <c r="Z51" s="691"/>
      <c r="AA51" s="71"/>
      <c r="AB51" s="122"/>
      <c r="AC51" s="77"/>
      <c r="AD51" s="71"/>
      <c r="AE51" s="71"/>
      <c r="AF51" s="71"/>
      <c r="AG51" s="71"/>
      <c r="AH51" s="71"/>
      <c r="AI51" s="71"/>
      <c r="AJ51" s="71"/>
      <c r="AK51" s="71"/>
      <c r="AL51" s="71"/>
      <c r="AM51" s="96"/>
      <c r="AN51" s="71"/>
      <c r="AO51" s="71"/>
      <c r="AP51" s="71"/>
      <c r="AQ51" s="71"/>
      <c r="AR51" s="71"/>
      <c r="AS51" s="71"/>
      <c r="AT51" s="60"/>
      <c r="AU51" s="114"/>
    </row>
    <row r="52" spans="2:50" ht="12.75" customHeight="1" x14ac:dyDescent="0.2">
      <c r="B52" s="59"/>
      <c r="C52" s="59"/>
      <c r="D52" s="71"/>
      <c r="E52" s="71"/>
      <c r="F52" s="71"/>
      <c r="G52" s="71"/>
      <c r="H52" s="71"/>
      <c r="I52" s="74"/>
      <c r="J52" s="71"/>
      <c r="K52" s="71"/>
      <c r="L52" s="72"/>
      <c r="M52" s="71"/>
      <c r="N52" s="71"/>
      <c r="O52" s="71"/>
      <c r="P52" s="71"/>
      <c r="Q52" s="71"/>
      <c r="R52" s="71"/>
      <c r="S52" s="71"/>
      <c r="T52" s="71"/>
      <c r="U52" s="71"/>
      <c r="V52" s="71"/>
      <c r="W52" s="71"/>
      <c r="X52" s="71"/>
      <c r="Y52" s="71"/>
      <c r="Z52" s="691"/>
      <c r="AA52" s="71"/>
      <c r="AB52" s="122"/>
      <c r="AC52" s="77"/>
      <c r="AD52" s="118"/>
      <c r="AE52" s="120" t="str">
        <f>'Sprachen &amp; Rückgabewerte'!$H$42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59"/>
      <c r="C53" s="59"/>
      <c r="D53" s="71"/>
      <c r="E53" s="71"/>
      <c r="F53" s="71"/>
      <c r="G53" s="71"/>
      <c r="H53" s="60"/>
      <c r="I53" s="60"/>
      <c r="J53" s="60"/>
      <c r="K53" s="60"/>
      <c r="L53" s="71"/>
      <c r="M53" s="72"/>
      <c r="N53" s="71"/>
      <c r="O53" s="71"/>
      <c r="P53" s="71"/>
      <c r="Q53" s="71"/>
      <c r="R53" s="71"/>
      <c r="S53" s="71"/>
      <c r="T53" s="71"/>
      <c r="U53" s="71"/>
      <c r="V53" s="71"/>
      <c r="W53" s="71"/>
      <c r="X53" s="71"/>
      <c r="Y53" s="71"/>
      <c r="Z53" s="691"/>
      <c r="AA53" s="71"/>
      <c r="AB53" s="122"/>
      <c r="AC53" s="77"/>
      <c r="AD53" s="121"/>
      <c r="AE53" s="567"/>
      <c r="AF53" s="568"/>
      <c r="AG53" s="569"/>
      <c r="AH53" s="71" t="str">
        <f>'Sprachen &amp; Rückgabewerte'!$W$1</f>
        <v>Ug=</v>
      </c>
      <c r="AI53" s="610">
        <f>LOOKUP($AE$53,'Sprachen &amp; Rückgabewerte'!$V$3:$V$35,'Sprachen &amp; Rückgabewerte'!W3:W35)</f>
        <v>0</v>
      </c>
      <c r="AJ53" s="610"/>
      <c r="AK53" s="694" t="str">
        <f>'Sprachen &amp; Rückgabewerte'!$X$1</f>
        <v>Lt=</v>
      </c>
      <c r="AL53" s="694"/>
      <c r="AM53" s="695">
        <f>LOOKUP(AE53,'Sprachen &amp; Rückgabewerte'!V3:V35,'Sprachen &amp; Rückgabewerte'!X3:X35)</f>
        <v>0</v>
      </c>
      <c r="AN53" s="695"/>
      <c r="AO53" s="210" t="str">
        <f>'Sprachen &amp; Rückgabewerte'!$Y$1</f>
        <v>g=</v>
      </c>
      <c r="AP53" s="695">
        <f>LOOKUP(AE53,'Sprachen &amp; Rückgabewerte'!V3:V35,'Sprachen &amp; Rückgabewerte'!Y3:Y35)</f>
        <v>0</v>
      </c>
      <c r="AQ53" s="695"/>
      <c r="AR53" s="71"/>
      <c r="AS53" s="71"/>
      <c r="AT53" s="114"/>
      <c r="AU53" s="114"/>
    </row>
    <row r="54" spans="2:50" ht="12.75" customHeight="1" x14ac:dyDescent="0.2">
      <c r="B54" s="59"/>
      <c r="C54" s="59"/>
      <c r="D54" s="71"/>
      <c r="E54" s="71"/>
      <c r="F54" s="71"/>
      <c r="G54" s="71"/>
      <c r="H54" s="71"/>
      <c r="I54" s="71"/>
      <c r="J54" s="71"/>
      <c r="K54" s="71"/>
      <c r="L54" s="71"/>
      <c r="M54" s="71"/>
      <c r="N54" s="71"/>
      <c r="O54" s="71"/>
      <c r="P54" s="71"/>
      <c r="Q54" s="71"/>
      <c r="R54" s="71"/>
      <c r="S54" s="71"/>
      <c r="T54" s="71"/>
      <c r="U54" s="71"/>
      <c r="V54" s="71"/>
      <c r="W54" s="71"/>
      <c r="X54" s="71"/>
      <c r="Y54" s="71"/>
      <c r="Z54" s="691"/>
      <c r="AA54" s="71"/>
      <c r="AB54" s="122"/>
      <c r="AC54" s="71"/>
      <c r="AD54" s="121"/>
      <c r="AE54" s="71"/>
      <c r="AF54" s="71"/>
      <c r="AG54" s="71"/>
      <c r="AH54" s="72" t="str">
        <f>IF(AT52=1,'Sprachen &amp; Rückgabewerte'!H158,LOOKUP(AE53,'Sprachen &amp; Rückgabewerte'!V3:V35,'Sprachen &amp; Rückgabewerte'!Z3:Z35))</f>
        <v>Glastyp wählen</v>
      </c>
      <c r="AI54" s="71"/>
      <c r="AJ54" s="71"/>
      <c r="AK54" s="71"/>
      <c r="AL54" s="71"/>
      <c r="AM54" s="96"/>
      <c r="AN54" s="78"/>
      <c r="AO54" s="78"/>
      <c r="AP54" s="71"/>
      <c r="AQ54" s="71"/>
      <c r="AR54" s="71"/>
      <c r="AS54" s="71"/>
      <c r="AT54" s="114"/>
      <c r="AU54" s="114"/>
    </row>
    <row r="55" spans="2:50" ht="12.75" customHeight="1" x14ac:dyDescent="0.2">
      <c r="B55" s="59"/>
      <c r="C55" s="59"/>
      <c r="D55" s="71"/>
      <c r="E55" s="71"/>
      <c r="F55" s="71"/>
      <c r="G55" s="71"/>
      <c r="H55" s="71"/>
      <c r="I55" s="71"/>
      <c r="J55" s="71"/>
      <c r="K55" s="71"/>
      <c r="L55" s="71"/>
      <c r="M55" s="71"/>
      <c r="N55" s="71"/>
      <c r="O55" s="71"/>
      <c r="P55" s="71"/>
      <c r="Q55" s="71"/>
      <c r="R55" s="71"/>
      <c r="S55" s="71"/>
      <c r="T55" s="71"/>
      <c r="U55" s="71"/>
      <c r="V55" s="71"/>
      <c r="W55" s="71"/>
      <c r="X55" s="71"/>
      <c r="Y55" s="71"/>
      <c r="Z55" s="71"/>
      <c r="AA55" s="71"/>
      <c r="AB55" s="122"/>
      <c r="AC55" s="71"/>
      <c r="AD55" s="121"/>
      <c r="AE55" s="210"/>
      <c r="AF55" s="210"/>
      <c r="AG55" s="210"/>
      <c r="AH55" s="210"/>
      <c r="AI55" s="210"/>
      <c r="AJ55" s="210"/>
      <c r="AK55" s="210"/>
      <c r="AL55" s="210"/>
      <c r="AM55" s="210"/>
      <c r="AN55" s="210"/>
      <c r="AO55" s="328"/>
      <c r="AP55" s="328"/>
      <c r="AQ55" s="71"/>
      <c r="AR55" s="79"/>
      <c r="AS55" s="71"/>
      <c r="AT55" s="114"/>
      <c r="AU55" s="114"/>
    </row>
    <row r="56" spans="2:50" ht="12.75" customHeight="1" x14ac:dyDescent="0.2">
      <c r="B56" s="59"/>
      <c r="C56" s="59"/>
      <c r="D56" s="71"/>
      <c r="E56" s="71"/>
      <c r="F56" s="71"/>
      <c r="G56" s="71"/>
      <c r="H56" s="71"/>
      <c r="I56" s="71"/>
      <c r="J56" s="71"/>
      <c r="K56" s="71"/>
      <c r="L56" s="71"/>
      <c r="M56" s="71"/>
      <c r="N56" s="71"/>
      <c r="O56" s="71"/>
      <c r="P56" s="71"/>
      <c r="Q56" s="71"/>
      <c r="R56" s="71"/>
      <c r="S56" s="71"/>
      <c r="T56" s="71"/>
      <c r="U56" s="71"/>
      <c r="V56" s="71"/>
      <c r="W56" s="71"/>
      <c r="X56" s="71"/>
      <c r="Y56" s="71"/>
      <c r="Z56" s="71"/>
      <c r="AA56" s="71"/>
      <c r="AB56" s="122"/>
      <c r="AC56" s="71"/>
      <c r="AD56" s="121"/>
      <c r="AE56" s="71"/>
      <c r="AF56" s="132"/>
      <c r="AG56" s="71"/>
      <c r="AH56" s="71"/>
      <c r="AI56" s="71"/>
      <c r="AJ56" s="71"/>
      <c r="AK56" s="71"/>
      <c r="AL56" s="71"/>
      <c r="AM56" s="71"/>
      <c r="AN56" s="132"/>
      <c r="AQ56" s="71"/>
      <c r="AS56" s="79"/>
      <c r="AT56" s="114"/>
      <c r="AU56" s="114"/>
    </row>
    <row r="57" spans="2:50" ht="12.75" customHeight="1" x14ac:dyDescent="0.2">
      <c r="B57" s="59"/>
      <c r="C57" s="59"/>
      <c r="D57" s="71"/>
      <c r="E57" s="71"/>
      <c r="F57" s="71"/>
      <c r="G57" s="71"/>
      <c r="H57" s="71"/>
      <c r="I57" s="71"/>
      <c r="J57" s="71"/>
      <c r="K57" s="71"/>
      <c r="L57" s="71"/>
      <c r="M57" s="71"/>
      <c r="N57" s="71"/>
      <c r="O57" s="71"/>
      <c r="P57" s="71"/>
      <c r="Q57" s="71"/>
      <c r="R57" s="71"/>
      <c r="S57" s="71"/>
      <c r="T57" s="71"/>
      <c r="U57" s="71"/>
      <c r="V57" s="71"/>
      <c r="W57" s="71"/>
      <c r="X57" s="71"/>
      <c r="Y57" s="71"/>
      <c r="Z57" s="71"/>
      <c r="AA57" s="71"/>
      <c r="AB57" s="122"/>
      <c r="AC57" s="71"/>
      <c r="AD57" s="121"/>
      <c r="AE57" s="71"/>
      <c r="AF57" s="132" t="str">
        <f>'Sprachen &amp; Rückgabewerte'!$H$45</f>
        <v>Speziell:</v>
      </c>
      <c r="AG57" s="71"/>
      <c r="AH57" s="71"/>
      <c r="AI57" s="577"/>
      <c r="AJ57" s="578"/>
      <c r="AK57" s="578"/>
      <c r="AL57" s="578"/>
      <c r="AM57" s="578"/>
      <c r="AN57" s="578"/>
      <c r="AO57" s="578"/>
      <c r="AP57" s="578"/>
      <c r="AQ57" s="578"/>
      <c r="AR57" s="578"/>
      <c r="AS57" s="579"/>
      <c r="AT57" s="114"/>
      <c r="AU57" s="114"/>
    </row>
    <row r="58" spans="2:50" ht="12.75" customHeight="1" x14ac:dyDescent="0.2">
      <c r="B58" s="59"/>
      <c r="C58" s="59"/>
      <c r="D58" s="71"/>
      <c r="E58" s="71"/>
      <c r="F58" s="71"/>
      <c r="G58" s="71"/>
      <c r="H58" s="71"/>
      <c r="I58" s="74"/>
      <c r="J58" s="72"/>
      <c r="K58" s="72"/>
      <c r="L58" s="72"/>
      <c r="M58" s="72"/>
      <c r="N58" s="72"/>
      <c r="O58" s="71"/>
      <c r="P58" s="71"/>
      <c r="Q58" s="71"/>
      <c r="R58" s="71"/>
      <c r="S58" s="71"/>
      <c r="T58" s="71"/>
      <c r="U58" s="71"/>
      <c r="V58" s="71"/>
      <c r="W58" s="71"/>
      <c r="X58" s="71"/>
      <c r="Y58" s="71"/>
      <c r="Z58" s="71"/>
      <c r="AA58" s="71"/>
      <c r="AB58" s="122"/>
      <c r="AC58" s="71"/>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59"/>
      <c r="C59" s="59"/>
      <c r="D59" s="71"/>
      <c r="E59" s="71"/>
      <c r="F59" s="71"/>
      <c r="G59" s="71"/>
      <c r="H59" s="71"/>
      <c r="I59" s="74"/>
      <c r="J59" s="72"/>
      <c r="K59" s="72"/>
      <c r="L59" s="72"/>
      <c r="M59" s="72"/>
      <c r="N59" s="72"/>
      <c r="O59" s="71"/>
      <c r="P59" s="71"/>
      <c r="Q59" s="71"/>
      <c r="R59" s="71"/>
      <c r="S59" s="71"/>
      <c r="T59" s="71"/>
      <c r="U59" s="71"/>
      <c r="V59" s="71"/>
      <c r="W59" s="71"/>
      <c r="X59" s="71"/>
      <c r="Y59" s="71"/>
      <c r="Z59" s="71"/>
      <c r="AA59" s="71"/>
      <c r="AB59" s="122"/>
      <c r="AC59" s="71"/>
      <c r="AD59" s="71"/>
      <c r="AE59" s="71"/>
      <c r="AF59" s="71"/>
      <c r="AG59" s="71"/>
      <c r="AH59" s="71"/>
      <c r="AI59" s="78"/>
      <c r="AJ59" s="78"/>
      <c r="AK59" s="78"/>
      <c r="AL59" s="78"/>
      <c r="AM59" s="78"/>
      <c r="AN59" s="78"/>
      <c r="AO59" s="78"/>
      <c r="AP59" s="78"/>
      <c r="AQ59" s="78"/>
      <c r="AR59" s="78"/>
      <c r="AS59" s="78"/>
      <c r="AT59" s="60"/>
      <c r="AU59" s="114"/>
    </row>
    <row r="60" spans="2:50" ht="12.75" customHeight="1" x14ac:dyDescent="0.2">
      <c r="B60" s="59"/>
      <c r="C60" s="67"/>
      <c r="D60" s="124"/>
      <c r="E60" s="124"/>
      <c r="F60" s="183" t="str">
        <f>'Sprachen &amp; Rückgabewerte'!$H$110</f>
        <v>KABA (22)</v>
      </c>
      <c r="G60" s="124"/>
      <c r="H60" s="124"/>
      <c r="I60" s="124"/>
      <c r="J60" s="124"/>
      <c r="K60" s="124"/>
      <c r="L60" s="183" t="str">
        <f>'Sprachen &amp; Rückgabewerte'!$H$111</f>
        <v>PZ / Euro (17)</v>
      </c>
      <c r="M60" s="124"/>
      <c r="N60" s="124"/>
      <c r="O60" s="124"/>
      <c r="P60" s="124"/>
      <c r="Q60" s="124"/>
      <c r="R60" s="124"/>
      <c r="S60" s="124"/>
      <c r="T60" s="124"/>
      <c r="U60" s="124"/>
      <c r="V60" s="124"/>
      <c r="W60" s="124"/>
      <c r="X60" s="124"/>
      <c r="Y60" s="124"/>
      <c r="Z60" s="124"/>
      <c r="AA60" s="154"/>
      <c r="AB60" s="125"/>
      <c r="AC60" s="71"/>
      <c r="AD60" s="118"/>
      <c r="AE60" s="120" t="str">
        <f>'Sprachen &amp; Rückgabewerte'!$H$64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59"/>
      <c r="C61" s="60"/>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121"/>
      <c r="AE61" s="71"/>
      <c r="AF61" s="80"/>
      <c r="AG61" s="71"/>
      <c r="AH61" s="71"/>
      <c r="AI61" s="71"/>
      <c r="AJ61" s="71"/>
      <c r="AK61" s="71"/>
      <c r="AL61" s="71"/>
      <c r="AM61" s="96"/>
      <c r="AN61" s="71"/>
      <c r="AO61" s="71"/>
      <c r="AP61" s="71"/>
      <c r="AQ61" s="71"/>
      <c r="AR61" s="71"/>
      <c r="AS61" s="71"/>
      <c r="AT61" s="114"/>
      <c r="AU61" s="114"/>
    </row>
    <row r="62" spans="2:50" ht="12.75" customHeight="1" x14ac:dyDescent="0.2">
      <c r="B62" s="59"/>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33"/>
      <c r="AC62" s="71"/>
      <c r="AD62" s="121"/>
      <c r="AE62" s="71"/>
      <c r="AF62" s="80"/>
      <c r="AG62" s="71"/>
      <c r="AH62" s="71"/>
      <c r="AI62" s="71"/>
      <c r="AJ62" s="71"/>
      <c r="AK62" s="71"/>
      <c r="AL62" s="71"/>
      <c r="AM62" s="96"/>
      <c r="AN62" s="71"/>
      <c r="AO62" s="71"/>
      <c r="AP62" s="71"/>
      <c r="AQ62" s="71"/>
      <c r="AR62" s="71"/>
      <c r="AS62" s="71"/>
      <c r="AT62" s="114"/>
      <c r="AU62" s="114"/>
    </row>
    <row r="63" spans="2:50" ht="12.75" customHeight="1" x14ac:dyDescent="0.2">
      <c r="B63" s="59"/>
      <c r="C63" s="59"/>
      <c r="D63" s="71"/>
      <c r="E63" s="71"/>
      <c r="F63" s="60"/>
      <c r="G63" s="71"/>
      <c r="H63" s="71"/>
      <c r="I63" s="71"/>
      <c r="J63" s="71"/>
      <c r="K63" s="71"/>
      <c r="L63" s="60"/>
      <c r="M63" s="71"/>
      <c r="N63" s="71"/>
      <c r="O63" s="71"/>
      <c r="P63" s="71"/>
      <c r="Q63" s="71"/>
      <c r="R63" s="71"/>
      <c r="S63" s="71"/>
      <c r="T63" s="71"/>
      <c r="U63" s="71"/>
      <c r="V63" s="71"/>
      <c r="W63" s="71"/>
      <c r="X63" s="71"/>
      <c r="Y63" s="71"/>
      <c r="Z63" s="71"/>
      <c r="AA63" s="71"/>
      <c r="AB63" s="122"/>
      <c r="AC63" s="71"/>
      <c r="AD63" s="121"/>
      <c r="AE63" s="71"/>
      <c r="AF63" s="71"/>
      <c r="AG63" s="71"/>
      <c r="AH63" s="71"/>
      <c r="AI63" s="71"/>
      <c r="AJ63" s="71"/>
      <c r="AK63" s="71"/>
      <c r="AL63" s="71"/>
      <c r="AM63" s="96"/>
      <c r="AN63" s="71"/>
      <c r="AO63" s="71"/>
      <c r="AP63" s="71"/>
      <c r="AQ63" s="71"/>
      <c r="AR63" s="71"/>
      <c r="AS63" s="71"/>
      <c r="AT63" s="114"/>
      <c r="AU63" s="114"/>
    </row>
    <row r="64" spans="2:50" ht="12.75" customHeight="1" x14ac:dyDescent="0.2">
      <c r="B64" s="59"/>
      <c r="C64" s="59"/>
      <c r="D64" s="71"/>
      <c r="E64" s="72"/>
      <c r="F64" s="72"/>
      <c r="G64" s="71"/>
      <c r="H64" s="71"/>
      <c r="I64" s="71"/>
      <c r="J64" s="71"/>
      <c r="K64" s="71"/>
      <c r="L64" s="72"/>
      <c r="M64" s="71"/>
      <c r="N64" s="71"/>
      <c r="O64" s="71"/>
      <c r="P64" s="71"/>
      <c r="Q64" s="71"/>
      <c r="R64" s="71"/>
      <c r="S64" s="71"/>
      <c r="T64" s="71"/>
      <c r="U64" s="71"/>
      <c r="V64" s="71"/>
      <c r="W64" s="71"/>
      <c r="X64" s="71"/>
      <c r="Y64" s="71"/>
      <c r="Z64" s="71"/>
      <c r="AA64" s="71"/>
      <c r="AB64" s="122"/>
      <c r="AC64" s="71"/>
      <c r="AD64" s="121"/>
      <c r="AE64" s="71"/>
      <c r="AF64" s="71"/>
      <c r="AG64" s="71"/>
      <c r="AH64" s="71"/>
      <c r="AI64" s="71"/>
      <c r="AJ64" s="71"/>
      <c r="AK64" s="71"/>
      <c r="AL64" s="71"/>
      <c r="AM64" s="96"/>
      <c r="AN64" s="71"/>
      <c r="AO64" s="71"/>
      <c r="AP64" s="71"/>
      <c r="AQ64" s="71"/>
      <c r="AR64" s="71"/>
      <c r="AS64" s="71"/>
      <c r="AT64" s="114"/>
      <c r="AU64" s="114"/>
    </row>
    <row r="65" spans="2:50" ht="12.75" customHeight="1" x14ac:dyDescent="0.2">
      <c r="B65" s="59"/>
      <c r="C65" s="59"/>
      <c r="D65" s="71"/>
      <c r="E65" s="71"/>
      <c r="F65" s="71"/>
      <c r="G65" s="71"/>
      <c r="H65" s="71"/>
      <c r="I65" s="71"/>
      <c r="J65" s="71"/>
      <c r="K65" s="71"/>
      <c r="L65" s="71"/>
      <c r="M65" s="71"/>
      <c r="N65" s="71"/>
      <c r="O65" s="71"/>
      <c r="P65" s="71"/>
      <c r="Q65" s="71"/>
      <c r="R65" s="71"/>
      <c r="S65" s="71"/>
      <c r="T65" s="71"/>
      <c r="U65" s="71"/>
      <c r="V65" s="71"/>
      <c r="W65" s="71"/>
      <c r="X65" s="71"/>
      <c r="Y65" s="71"/>
      <c r="Z65" s="71"/>
      <c r="AA65" s="71"/>
      <c r="AB65" s="122"/>
      <c r="AC65" s="71"/>
      <c r="AD65" s="121"/>
      <c r="AE65" s="71"/>
      <c r="AF65" s="71"/>
      <c r="AG65" s="71"/>
      <c r="AH65" s="71"/>
      <c r="AI65" s="71"/>
      <c r="AJ65" s="71"/>
      <c r="AK65" s="71"/>
      <c r="AL65" s="71"/>
      <c r="AM65" s="71"/>
      <c r="AN65" s="71"/>
      <c r="AO65" s="71"/>
      <c r="AP65" s="71"/>
      <c r="AQ65" s="71"/>
      <c r="AR65" s="71"/>
      <c r="AS65" s="71"/>
      <c r="AT65" s="114"/>
      <c r="AU65" s="114"/>
    </row>
    <row r="66" spans="2:50" ht="12.75" customHeight="1" x14ac:dyDescent="0.2">
      <c r="B66" s="59"/>
      <c r="C66" s="59"/>
      <c r="D66" s="71"/>
      <c r="E66" s="71"/>
      <c r="F66" s="71"/>
      <c r="G66" s="71"/>
      <c r="H66" s="71"/>
      <c r="I66" s="71"/>
      <c r="J66" s="71"/>
      <c r="K66" s="71"/>
      <c r="L66" s="71"/>
      <c r="M66" s="71"/>
      <c r="N66" s="71"/>
      <c r="O66" s="71"/>
      <c r="P66" s="71"/>
      <c r="Q66" s="71"/>
      <c r="R66" s="71"/>
      <c r="S66" s="71"/>
      <c r="T66" s="71"/>
      <c r="U66" s="71"/>
      <c r="V66" s="71"/>
      <c r="W66" s="71"/>
      <c r="X66" s="71"/>
      <c r="Y66" s="71"/>
      <c r="Z66" s="71"/>
      <c r="AA66" s="71"/>
      <c r="AB66" s="122"/>
      <c r="AC66" s="71"/>
      <c r="AD66" s="121"/>
      <c r="AE66" s="71"/>
      <c r="AF66" s="71"/>
      <c r="AG66" s="71"/>
      <c r="AH66" s="71"/>
      <c r="AI66" s="71"/>
      <c r="AJ66" s="71"/>
      <c r="AK66" s="71"/>
      <c r="AL66" s="71"/>
      <c r="AM66" s="71"/>
      <c r="AN66" s="71"/>
      <c r="AO66" s="71"/>
      <c r="AP66" s="71"/>
      <c r="AQ66" s="71"/>
      <c r="AR66" s="71"/>
      <c r="AS66" s="71"/>
      <c r="AT66" s="114"/>
      <c r="AU66" s="114"/>
    </row>
    <row r="67" spans="2:50" ht="12.75" customHeight="1" x14ac:dyDescent="0.2">
      <c r="B67" s="59"/>
      <c r="C67" s="59"/>
      <c r="D67" s="71"/>
      <c r="E67" s="71"/>
      <c r="F67" s="71"/>
      <c r="G67" s="71"/>
      <c r="H67" s="71"/>
      <c r="I67" s="71"/>
      <c r="J67" s="71"/>
      <c r="K67" s="71"/>
      <c r="L67" s="71"/>
      <c r="M67" s="71"/>
      <c r="N67" s="71"/>
      <c r="O67" s="71"/>
      <c r="P67" s="71"/>
      <c r="Q67" s="71"/>
      <c r="R67" s="71"/>
      <c r="S67" s="71"/>
      <c r="T67" s="71"/>
      <c r="U67" s="71"/>
      <c r="V67" s="71"/>
      <c r="W67" s="71"/>
      <c r="X67" s="71"/>
      <c r="Y67" s="71"/>
      <c r="Z67" s="71"/>
      <c r="AA67" s="71"/>
      <c r="AB67" s="122"/>
      <c r="AC67" s="71"/>
      <c r="AD67" s="121"/>
      <c r="AE67" s="71"/>
      <c r="AF67" s="71"/>
      <c r="AG67" s="71"/>
      <c r="AH67" s="71"/>
      <c r="AI67" s="71"/>
      <c r="AJ67" s="71"/>
      <c r="AK67" s="71"/>
      <c r="AL67" s="71"/>
      <c r="AM67" s="71"/>
      <c r="AN67" s="71"/>
      <c r="AO67" s="71"/>
      <c r="AP67" s="71"/>
      <c r="AQ67" s="71"/>
      <c r="AR67" s="71"/>
      <c r="AS67" s="71"/>
      <c r="AT67" s="114"/>
      <c r="AU67" s="114"/>
    </row>
    <row r="68" spans="2:50" ht="12.75" customHeight="1" x14ac:dyDescent="0.2">
      <c r="B68" s="59"/>
      <c r="C68" s="59"/>
      <c r="D68" s="71"/>
      <c r="E68" s="71"/>
      <c r="F68" s="71"/>
      <c r="G68" s="71"/>
      <c r="H68" s="71"/>
      <c r="I68" s="71"/>
      <c r="J68" s="71"/>
      <c r="K68" s="71"/>
      <c r="L68" s="71"/>
      <c r="M68" s="71"/>
      <c r="N68" s="71"/>
      <c r="O68" s="71"/>
      <c r="P68" s="71"/>
      <c r="Q68" s="71"/>
      <c r="R68" s="71"/>
      <c r="S68" s="71"/>
      <c r="T68" s="71"/>
      <c r="U68" s="71"/>
      <c r="V68" s="71"/>
      <c r="W68" s="71"/>
      <c r="X68" s="71"/>
      <c r="Y68" s="71"/>
      <c r="Z68" s="71"/>
      <c r="AA68" s="71"/>
      <c r="AB68" s="122"/>
      <c r="AC68" s="71"/>
      <c r="AD68" s="121"/>
      <c r="AE68" s="71"/>
      <c r="AF68" s="71"/>
      <c r="AG68" s="71"/>
      <c r="AH68" s="71"/>
      <c r="AI68" s="71"/>
      <c r="AJ68" s="71"/>
      <c r="AK68" s="71"/>
      <c r="AL68" s="71"/>
      <c r="AM68" s="71"/>
      <c r="AN68" s="71"/>
      <c r="AO68" s="71"/>
      <c r="AP68" s="71"/>
      <c r="AQ68" s="71"/>
      <c r="AR68" s="71"/>
      <c r="AS68" s="71"/>
      <c r="AT68" s="114"/>
      <c r="AU68" s="114"/>
    </row>
    <row r="69" spans="2:50" ht="12.75" customHeight="1" x14ac:dyDescent="0.2">
      <c r="B69" s="59"/>
      <c r="C69" s="59"/>
      <c r="D69" s="71"/>
      <c r="E69" s="71"/>
      <c r="F69" s="71"/>
      <c r="G69" s="71"/>
      <c r="H69" s="71"/>
      <c r="I69" s="71"/>
      <c r="J69" s="71"/>
      <c r="K69" s="71"/>
      <c r="L69" s="71"/>
      <c r="M69" s="71"/>
      <c r="N69" s="71"/>
      <c r="O69" s="71"/>
      <c r="P69" s="71"/>
      <c r="Q69" s="71"/>
      <c r="R69" s="71"/>
      <c r="S69" s="71"/>
      <c r="T69" s="71"/>
      <c r="U69" s="71"/>
      <c r="V69" s="71"/>
      <c r="W69" s="71"/>
      <c r="X69" s="71"/>
      <c r="Y69" s="71"/>
      <c r="Z69" s="71"/>
      <c r="AA69" s="71"/>
      <c r="AB69" s="122"/>
      <c r="AC69" s="71"/>
      <c r="AD69" s="121"/>
      <c r="AE69" s="71"/>
      <c r="AF69" s="71"/>
      <c r="AG69" s="71"/>
      <c r="AH69" s="71"/>
      <c r="AI69" s="71"/>
      <c r="AJ69" s="71"/>
      <c r="AK69" s="71"/>
      <c r="AL69" s="71"/>
      <c r="AM69" s="71"/>
      <c r="AN69" s="71"/>
      <c r="AO69" s="71"/>
      <c r="AP69" s="71"/>
      <c r="AQ69" s="71"/>
      <c r="AR69" s="71"/>
      <c r="AS69" s="71"/>
      <c r="AT69" s="114"/>
      <c r="AU69" s="114"/>
    </row>
    <row r="70" spans="2:50" ht="12.75" customHeight="1" x14ac:dyDescent="0.2">
      <c r="B70" s="59"/>
      <c r="C70" s="59"/>
      <c r="D70" s="71"/>
      <c r="E70" s="71"/>
      <c r="F70" s="71"/>
      <c r="G70" s="71"/>
      <c r="H70" s="71"/>
      <c r="I70" s="71"/>
      <c r="J70" s="71"/>
      <c r="K70" s="71"/>
      <c r="L70" s="71"/>
      <c r="M70" s="71"/>
      <c r="N70" s="71"/>
      <c r="O70" s="71"/>
      <c r="P70" s="71"/>
      <c r="Q70" s="71"/>
      <c r="R70" s="71"/>
      <c r="S70" s="71"/>
      <c r="T70" s="71"/>
      <c r="U70" s="71"/>
      <c r="V70" s="71"/>
      <c r="W70" s="71"/>
      <c r="X70" s="71"/>
      <c r="Y70" s="71"/>
      <c r="Z70" s="71"/>
      <c r="AA70" s="71"/>
      <c r="AB70" s="122"/>
      <c r="AC70" s="71"/>
      <c r="AD70" s="121"/>
      <c r="AE70" s="556"/>
      <c r="AF70" s="557"/>
      <c r="AG70" s="557"/>
      <c r="AH70" s="557"/>
      <c r="AI70" s="557"/>
      <c r="AJ70" s="557"/>
      <c r="AK70" s="557"/>
      <c r="AL70" s="558"/>
      <c r="AM70" s="71"/>
      <c r="AN70" s="580"/>
      <c r="AO70" s="581"/>
      <c r="AP70" s="581"/>
      <c r="AQ70" s="581"/>
      <c r="AR70" s="581"/>
      <c r="AS70" s="582"/>
      <c r="AT70" s="114"/>
      <c r="AU70" s="114"/>
    </row>
    <row r="71" spans="2:50" ht="12.75" customHeight="1" x14ac:dyDescent="0.2">
      <c r="B71" s="59"/>
      <c r="C71" s="59"/>
      <c r="D71" s="71"/>
      <c r="E71" s="71"/>
      <c r="F71" s="72" t="str">
        <f>'Sprachen &amp; Rückgabewerte'!$B$41</f>
        <v>120101/120101</v>
      </c>
      <c r="G71" s="71"/>
      <c r="H71" s="71"/>
      <c r="I71" s="71"/>
      <c r="J71" s="71"/>
      <c r="K71" s="71"/>
      <c r="L71" s="72" t="str">
        <f>'Sprachen &amp; Rückgabewerte'!$B$42</f>
        <v>120101/120401</v>
      </c>
      <c r="M71" s="60"/>
      <c r="N71" s="71"/>
      <c r="O71" s="71"/>
      <c r="P71" s="71"/>
      <c r="Q71" s="71"/>
      <c r="R71" s="72" t="str">
        <f>'Sprachen &amp; Rückgabewerte'!$B$43</f>
        <v>120401/120401</v>
      </c>
      <c r="S71" s="71"/>
      <c r="T71" s="71"/>
      <c r="U71" s="71"/>
      <c r="V71" s="71"/>
      <c r="W71" s="71"/>
      <c r="X71" s="72" t="str">
        <f>'Sprachen &amp; Rückgabewerte'!$B$44</f>
        <v>121101/121101</v>
      </c>
      <c r="Y71" s="60"/>
      <c r="Z71" s="71"/>
      <c r="AA71" s="71"/>
      <c r="AB71" s="122"/>
      <c r="AC71" s="71"/>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59"/>
      <c r="C72" s="59"/>
      <c r="D72" s="71"/>
      <c r="E72" s="71"/>
      <c r="F72" s="665"/>
      <c r="G72" s="666"/>
      <c r="H72" s="666"/>
      <c r="I72" s="667"/>
      <c r="J72" s="71"/>
      <c r="K72" s="71"/>
      <c r="L72" s="665"/>
      <c r="M72" s="666"/>
      <c r="N72" s="666"/>
      <c r="O72" s="667"/>
      <c r="P72" s="71"/>
      <c r="Q72" s="71"/>
      <c r="R72" s="665"/>
      <c r="S72" s="666"/>
      <c r="T72" s="666"/>
      <c r="U72" s="667"/>
      <c r="V72" s="71"/>
      <c r="W72" s="71"/>
      <c r="X72" s="665"/>
      <c r="Y72" s="666"/>
      <c r="Z72" s="666"/>
      <c r="AA72" s="667"/>
      <c r="AB72" s="122"/>
      <c r="AC72" s="71"/>
      <c r="AD72" s="71"/>
      <c r="AE72" s="71"/>
      <c r="AF72" s="71"/>
      <c r="AG72" s="71"/>
      <c r="AH72" s="71"/>
      <c r="AI72" s="71"/>
      <c r="AJ72" s="71"/>
      <c r="AK72" s="71"/>
      <c r="AL72" s="71"/>
      <c r="AM72" s="71"/>
      <c r="AN72" s="71"/>
      <c r="AO72" s="71"/>
      <c r="AP72" s="71"/>
      <c r="AQ72" s="71"/>
      <c r="AR72" s="71"/>
      <c r="AS72" s="71"/>
      <c r="AT72" s="60"/>
      <c r="AU72" s="114"/>
    </row>
    <row r="73" spans="2:50" ht="12.75" customHeight="1" x14ac:dyDescent="0.2">
      <c r="B73" s="59"/>
      <c r="C73" s="59"/>
      <c r="D73" s="71"/>
      <c r="E73" s="71"/>
      <c r="F73" s="71"/>
      <c r="G73" s="71"/>
      <c r="H73" s="71"/>
      <c r="I73" s="71"/>
      <c r="J73" s="71"/>
      <c r="K73" s="71"/>
      <c r="L73" s="71"/>
      <c r="M73" s="71"/>
      <c r="N73" s="71"/>
      <c r="O73" s="71"/>
      <c r="P73" s="71"/>
      <c r="Q73" s="71"/>
      <c r="R73" s="71"/>
      <c r="S73" s="71"/>
      <c r="T73" s="71"/>
      <c r="U73" s="71"/>
      <c r="V73" s="71"/>
      <c r="W73" s="71"/>
      <c r="X73" s="71"/>
      <c r="Y73" s="71"/>
      <c r="Z73" s="71"/>
      <c r="AA73" s="71"/>
      <c r="AB73" s="332"/>
      <c r="AC73" s="71"/>
      <c r="AD73" s="118"/>
      <c r="AE73" s="120" t="str">
        <f>'Sprachen &amp; Rückgabewerte'!$H$70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59"/>
      <c r="C74" s="59"/>
      <c r="D74" s="71"/>
      <c r="E74" s="71"/>
      <c r="F74" s="71"/>
      <c r="G74" s="71"/>
      <c r="H74" s="71"/>
      <c r="I74" s="71"/>
      <c r="J74" s="71"/>
      <c r="K74" s="71"/>
      <c r="L74" s="71"/>
      <c r="M74" s="71"/>
      <c r="N74" s="71"/>
      <c r="O74" s="71"/>
      <c r="P74" s="71"/>
      <c r="Q74" s="71"/>
      <c r="R74" s="71"/>
      <c r="S74" s="71"/>
      <c r="T74" s="71"/>
      <c r="U74" s="71"/>
      <c r="V74" s="71"/>
      <c r="W74" s="71"/>
      <c r="X74" s="71"/>
      <c r="Y74" s="71"/>
      <c r="Z74" s="71"/>
      <c r="AA74" s="71"/>
      <c r="AB74" s="122"/>
      <c r="AC74" s="71"/>
      <c r="AD74" s="121"/>
      <c r="AE74" s="71"/>
      <c r="AF74" s="71" t="str">
        <f>'Sprachen &amp; Rückgabewerte'!$H$71</f>
        <v>Universalschrauben (A2):</v>
      </c>
      <c r="AG74" s="71"/>
      <c r="AH74" s="71"/>
      <c r="AI74" s="71"/>
      <c r="AJ74" s="71"/>
      <c r="AK74" s="71"/>
      <c r="AL74" s="71"/>
      <c r="AM74" s="71" t="str">
        <f>'Sprachen &amp; Rückgabewerte'!H72</f>
        <v>L=52mm</v>
      </c>
      <c r="AN74" s="380"/>
      <c r="AO74" s="382"/>
      <c r="AP74" s="383"/>
      <c r="AQ74" s="141" t="str">
        <f>'Sprachen &amp; Rückgabewerte'!$H$180</f>
        <v>VE</v>
      </c>
      <c r="AR74" s="71"/>
      <c r="AS74" s="71"/>
      <c r="AT74" s="114"/>
      <c r="AU74" s="114"/>
    </row>
    <row r="75" spans="2:50" ht="12.75" customHeight="1" thickBot="1" x14ac:dyDescent="0.25">
      <c r="B75" s="59"/>
      <c r="C75" s="59"/>
      <c r="D75" s="71"/>
      <c r="E75" s="71"/>
      <c r="F75" s="71"/>
      <c r="G75" s="71"/>
      <c r="H75" s="71"/>
      <c r="I75" s="71"/>
      <c r="J75" s="71"/>
      <c r="K75" s="71"/>
      <c r="L75" s="71"/>
      <c r="M75" s="71"/>
      <c r="N75" s="71"/>
      <c r="O75" s="71"/>
      <c r="P75" s="71"/>
      <c r="Q75" s="71"/>
      <c r="R75" s="71"/>
      <c r="S75" s="71"/>
      <c r="T75" s="71"/>
      <c r="U75" s="71"/>
      <c r="V75" s="71"/>
      <c r="W75" s="71"/>
      <c r="X75" s="71"/>
      <c r="Y75" s="71"/>
      <c r="Z75" s="71"/>
      <c r="AA75" s="71"/>
      <c r="AB75" s="122"/>
      <c r="AC75" s="71"/>
      <c r="AD75" s="121"/>
      <c r="AE75" s="71"/>
      <c r="AF75" s="71"/>
      <c r="AG75" s="78" t="str">
        <f>'Sprachen &amp; Rückgabewerte'!H75</f>
        <v>(VE à 100 Stk.)</v>
      </c>
      <c r="AH75" s="71"/>
      <c r="AI75" s="71"/>
      <c r="AJ75" s="71"/>
      <c r="AK75" s="71"/>
      <c r="AL75" s="71"/>
      <c r="AM75" s="71" t="str">
        <f>'Sprachen &amp; Rückgabewerte'!H73</f>
        <v>L=82mm</v>
      </c>
      <c r="AN75" s="381"/>
      <c r="AO75" s="71"/>
      <c r="AP75" s="383"/>
      <c r="AQ75" s="141" t="str">
        <f>'Sprachen &amp; Rückgabewerte'!$H$180</f>
        <v>VE</v>
      </c>
      <c r="AR75" s="71"/>
      <c r="AS75" s="71"/>
      <c r="AT75" s="114"/>
      <c r="AU75" s="114"/>
    </row>
    <row r="76" spans="2:50" ht="12.75" customHeight="1" x14ac:dyDescent="0.2">
      <c r="B76" s="59"/>
      <c r="C76" s="59"/>
      <c r="D76" s="71"/>
      <c r="E76" s="71"/>
      <c r="F76" s="71"/>
      <c r="G76" s="71"/>
      <c r="H76" s="71"/>
      <c r="I76" s="71"/>
      <c r="J76" s="71"/>
      <c r="K76" s="71"/>
      <c r="L76" s="71"/>
      <c r="M76" s="71"/>
      <c r="N76" s="71"/>
      <c r="O76" s="71"/>
      <c r="P76" s="71"/>
      <c r="Q76" s="71"/>
      <c r="R76" s="71"/>
      <c r="S76" s="71"/>
      <c r="T76" s="71"/>
      <c r="U76" s="71"/>
      <c r="V76" s="71"/>
      <c r="W76" s="71"/>
      <c r="X76" s="71"/>
      <c r="Y76" s="71"/>
      <c r="Z76" s="71"/>
      <c r="AA76" s="71"/>
      <c r="AB76" s="122"/>
      <c r="AC76" s="71"/>
      <c r="AD76" s="121"/>
      <c r="AE76" s="71"/>
      <c r="AF76" s="71"/>
      <c r="AG76" s="71"/>
      <c r="AH76" s="71"/>
      <c r="AI76" s="71"/>
      <c r="AJ76" s="71"/>
      <c r="AK76" s="71"/>
      <c r="AL76" s="71"/>
      <c r="AM76" s="71" t="str">
        <f>'Sprachen &amp; Rückgabewerte'!H74</f>
        <v>L=112mm</v>
      </c>
      <c r="AN76" s="96"/>
      <c r="AO76" s="71"/>
      <c r="AP76" s="383"/>
      <c r="AQ76" s="141" t="str">
        <f>'Sprachen &amp; Rückgabewerte'!$H$180</f>
        <v>VE</v>
      </c>
      <c r="AR76" s="71"/>
      <c r="AS76" s="71"/>
      <c r="AT76" s="114"/>
      <c r="AU76" s="114"/>
      <c r="AW76" s="587"/>
      <c r="AX76" s="587"/>
    </row>
    <row r="77" spans="2:50" ht="12.75" customHeight="1" x14ac:dyDescent="0.2">
      <c r="B77" s="59"/>
      <c r="C77" s="59"/>
      <c r="D77" s="71"/>
      <c r="E77" s="71"/>
      <c r="F77" s="71"/>
      <c r="G77" s="71"/>
      <c r="H77" s="71"/>
      <c r="I77" s="71"/>
      <c r="J77" s="71"/>
      <c r="K77" s="71"/>
      <c r="L77" s="71"/>
      <c r="M77" s="71"/>
      <c r="N77" s="71"/>
      <c r="O77" s="71"/>
      <c r="P77" s="71"/>
      <c r="Q77" s="71"/>
      <c r="R77" s="71"/>
      <c r="S77" s="71"/>
      <c r="T77" s="71"/>
      <c r="U77" s="71"/>
      <c r="V77" s="71"/>
      <c r="W77" s="71"/>
      <c r="X77" s="71"/>
      <c r="Y77" s="71"/>
      <c r="Z77" s="71"/>
      <c r="AA77" s="71"/>
      <c r="AB77" s="122"/>
      <c r="AC77" s="71"/>
      <c r="AD77" s="121"/>
      <c r="AE77" s="80" t="str">
        <f>'Sprachen &amp; Rückgabewerte'!$H$76</f>
        <v>Sockelbefestigung:</v>
      </c>
      <c r="AF77" s="80"/>
      <c r="AG77" s="71"/>
      <c r="AH77" s="71"/>
      <c r="AI77" s="71"/>
      <c r="AJ77" s="71"/>
      <c r="AK77" s="71"/>
      <c r="AL77" s="71"/>
      <c r="AM77" s="71"/>
      <c r="AN77" s="71"/>
      <c r="AO77" s="71"/>
      <c r="AP77" s="71"/>
      <c r="AQ77" s="71"/>
      <c r="AR77" s="71"/>
      <c r="AS77" s="71"/>
      <c r="AT77" s="114"/>
      <c r="AU77" s="114"/>
      <c r="AW77" s="588"/>
      <c r="AX77" s="588"/>
    </row>
    <row r="78" spans="2:50" ht="12.75" customHeight="1" x14ac:dyDescent="0.2">
      <c r="B78" s="59"/>
      <c r="C78" s="59"/>
      <c r="D78" s="71"/>
      <c r="E78" s="71"/>
      <c r="F78" s="71"/>
      <c r="G78" s="71"/>
      <c r="H78" s="71"/>
      <c r="I78" s="71"/>
      <c r="J78" s="71"/>
      <c r="K78" s="71"/>
      <c r="L78" s="71"/>
      <c r="M78" s="71"/>
      <c r="N78" s="71"/>
      <c r="O78" s="71"/>
      <c r="P78" s="71"/>
      <c r="Q78" s="71"/>
      <c r="R78" s="71"/>
      <c r="S78" s="71"/>
      <c r="T78" s="71"/>
      <c r="U78" s="71"/>
      <c r="V78" s="71"/>
      <c r="W78" s="71"/>
      <c r="X78" s="71"/>
      <c r="Y78" s="71"/>
      <c r="Z78" s="71"/>
      <c r="AA78" s="71"/>
      <c r="AB78" s="122"/>
      <c r="AC78" s="71"/>
      <c r="AD78" s="121"/>
      <c r="AE78" s="71" t="str">
        <f>'Sprachen &amp; Rückgabewerte'!$H$77</f>
        <v>Verstellschrauben M10 x</v>
      </c>
      <c r="AF78" s="71"/>
      <c r="AG78" s="71"/>
      <c r="AH78" s="71"/>
      <c r="AI78" s="71"/>
      <c r="AJ78" s="71"/>
      <c r="AK78" s="71"/>
      <c r="AL78" s="71"/>
      <c r="AM78" s="71"/>
      <c r="AN78" s="563"/>
      <c r="AO78" s="563"/>
      <c r="AP78" s="563"/>
      <c r="AQ78" s="71"/>
      <c r="AR78" s="71"/>
      <c r="AS78" s="71"/>
      <c r="AT78" s="114"/>
      <c r="AU78" s="114"/>
      <c r="AW78" s="588"/>
      <c r="AX78" s="588"/>
    </row>
    <row r="79" spans="2:50" ht="12.75" customHeight="1" x14ac:dyDescent="0.2">
      <c r="B79" s="59"/>
      <c r="C79" s="59"/>
      <c r="D79" s="71"/>
      <c r="E79" s="71"/>
      <c r="F79" s="71"/>
      <c r="G79" s="71"/>
      <c r="H79" s="71"/>
      <c r="I79" s="71"/>
      <c r="J79" s="71"/>
      <c r="K79" s="71"/>
      <c r="L79" s="71"/>
      <c r="M79" s="71"/>
      <c r="N79" s="71"/>
      <c r="O79" s="71"/>
      <c r="P79" s="71"/>
      <c r="Q79" s="71"/>
      <c r="R79" s="71"/>
      <c r="S79" s="71"/>
      <c r="T79" s="71"/>
      <c r="U79" s="71"/>
      <c r="V79" s="71"/>
      <c r="W79" s="71"/>
      <c r="X79" s="71"/>
      <c r="Y79" s="71"/>
      <c r="Z79" s="71"/>
      <c r="AA79" s="71"/>
      <c r="AB79" s="122"/>
      <c r="AC79" s="71"/>
      <c r="AD79" s="121"/>
      <c r="AE79" s="71" t="str">
        <f>'Sprachen &amp; Rückgabewerte'!$H$52</f>
        <v>Standardgrundplatten:</v>
      </c>
      <c r="AF79" s="71"/>
      <c r="AG79" s="71"/>
      <c r="AH79" s="71"/>
      <c r="AI79" s="71"/>
      <c r="AJ79" s="71"/>
      <c r="AK79" s="71"/>
      <c r="AL79" s="71"/>
      <c r="AM79" s="71"/>
      <c r="AN79" s="563"/>
      <c r="AO79" s="563"/>
      <c r="AP79" s="563"/>
      <c r="AQ79" s="71"/>
      <c r="AR79" s="71"/>
      <c r="AS79" s="71"/>
      <c r="AT79" s="114"/>
      <c r="AU79" s="114"/>
      <c r="AW79" s="588"/>
      <c r="AX79" s="588"/>
    </row>
    <row r="80" spans="2:50" ht="12" customHeight="1" thickBot="1" x14ac:dyDescent="0.25">
      <c r="B80" s="59"/>
      <c r="C80" s="59"/>
      <c r="D80" s="71"/>
      <c r="E80" s="71"/>
      <c r="F80" s="71"/>
      <c r="G80" s="71"/>
      <c r="H80" s="71"/>
      <c r="I80" s="71"/>
      <c r="J80" s="71"/>
      <c r="K80" s="71"/>
      <c r="L80" s="71"/>
      <c r="M80" s="71"/>
      <c r="N80" s="71"/>
      <c r="O80" s="71"/>
      <c r="P80" s="71"/>
      <c r="Q80" s="71"/>
      <c r="R80" s="71"/>
      <c r="S80" s="71"/>
      <c r="T80" s="71"/>
      <c r="U80" s="71"/>
      <c r="V80" s="71"/>
      <c r="W80" s="71"/>
      <c r="X80" s="71"/>
      <c r="Y80" s="71"/>
      <c r="Z80" s="71"/>
      <c r="AA80" s="71"/>
      <c r="AB80" s="122"/>
      <c r="AC80" s="71"/>
      <c r="AD80" s="121"/>
      <c r="AE80" s="188" t="str">
        <f>'Sprachen &amp; Rückgabewerte'!$H$84</f>
        <v>Rahmenzusammenbau:</v>
      </c>
      <c r="AF80" s="71"/>
      <c r="AG80" s="71"/>
      <c r="AH80" s="71"/>
      <c r="AI80" s="71"/>
      <c r="AJ80" s="71"/>
      <c r="AK80" s="71"/>
      <c r="AL80" s="71"/>
      <c r="AM80" s="71"/>
      <c r="AN80" s="564"/>
      <c r="AO80" s="565"/>
      <c r="AP80" s="565"/>
      <c r="AQ80" s="565"/>
      <c r="AR80" s="565"/>
      <c r="AS80" s="566"/>
      <c r="AT80" s="325"/>
      <c r="AU80" s="115"/>
      <c r="AV80" s="326"/>
      <c r="AW80" s="589"/>
      <c r="AX80" s="589"/>
    </row>
    <row r="81" spans="2:50" ht="12.75" customHeight="1" x14ac:dyDescent="0.2">
      <c r="B81" s="59"/>
      <c r="C81" s="59"/>
      <c r="D81" s="71"/>
      <c r="E81" s="71"/>
      <c r="F81" s="71"/>
      <c r="G81" s="71"/>
      <c r="H81" s="71"/>
      <c r="I81" s="71"/>
      <c r="J81" s="71"/>
      <c r="K81" s="71"/>
      <c r="L81" s="71"/>
      <c r="M81" s="71"/>
      <c r="N81" s="71"/>
      <c r="O81" s="71"/>
      <c r="P81" s="71"/>
      <c r="Q81" s="71"/>
      <c r="R81" s="71"/>
      <c r="S81" s="71"/>
      <c r="T81" s="71"/>
      <c r="U81" s="71"/>
      <c r="V81" s="71"/>
      <c r="W81" s="71"/>
      <c r="X81" s="71"/>
      <c r="Y81" s="71"/>
      <c r="Z81" s="71"/>
      <c r="AA81" s="71"/>
      <c r="AB81" s="122"/>
      <c r="AC81" s="71"/>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59"/>
      <c r="C82" s="59"/>
      <c r="D82" s="71"/>
      <c r="E82" s="71"/>
      <c r="F82" s="71"/>
      <c r="G82" s="71"/>
      <c r="H82" s="71"/>
      <c r="I82" s="71"/>
      <c r="J82" s="71"/>
      <c r="K82" s="71"/>
      <c r="L82" s="71"/>
      <c r="M82" s="71"/>
      <c r="N82" s="71"/>
      <c r="O82" s="71"/>
      <c r="P82" s="71"/>
      <c r="Q82" s="71"/>
      <c r="R82" s="71"/>
      <c r="S82" s="71"/>
      <c r="T82" s="71"/>
      <c r="U82" s="71"/>
      <c r="V82" s="71"/>
      <c r="W82" s="71"/>
      <c r="X82" s="71"/>
      <c r="Y82" s="71"/>
      <c r="Z82" s="71"/>
      <c r="AA82" s="71"/>
      <c r="AB82" s="122"/>
      <c r="AC82" s="71"/>
      <c r="AD82" s="71"/>
      <c r="AE82" s="71"/>
      <c r="AF82" s="71"/>
      <c r="AG82" s="71"/>
      <c r="AH82" s="71"/>
      <c r="AI82" s="71"/>
      <c r="AJ82" s="71"/>
      <c r="AK82" s="71"/>
      <c r="AL82" s="71"/>
      <c r="AM82" s="71"/>
      <c r="AN82" s="71"/>
      <c r="AO82" s="71"/>
      <c r="AP82" s="71"/>
      <c r="AQ82" s="71"/>
      <c r="AR82" s="71"/>
      <c r="AS82" s="71"/>
      <c r="AT82" s="60"/>
      <c r="AU82" s="114"/>
    </row>
    <row r="83" spans="2:50" ht="12.75" customHeight="1" x14ac:dyDescent="0.2">
      <c r="B83" s="59"/>
      <c r="C83" s="59"/>
      <c r="D83" s="71"/>
      <c r="E83" s="71"/>
      <c r="F83" s="71"/>
      <c r="G83" s="71"/>
      <c r="H83" s="71"/>
      <c r="I83" s="71"/>
      <c r="J83" s="71"/>
      <c r="K83" s="71"/>
      <c r="L83" s="71"/>
      <c r="M83" s="71"/>
      <c r="N83" s="71"/>
      <c r="O83" s="71"/>
      <c r="P83" s="71"/>
      <c r="Q83" s="71"/>
      <c r="R83" s="71"/>
      <c r="S83" s="71"/>
      <c r="T83" s="71"/>
      <c r="U83" s="71"/>
      <c r="V83" s="71"/>
      <c r="W83" s="71"/>
      <c r="X83" s="71"/>
      <c r="Y83" s="71"/>
      <c r="Z83" s="71"/>
      <c r="AA83" s="71"/>
      <c r="AB83" s="122"/>
      <c r="AC83" s="71"/>
      <c r="AD83" s="118"/>
      <c r="AE83" s="120" t="str">
        <f>'Sprachen &amp; Rückgabewerte'!$H$87</f>
        <v>Logistik:</v>
      </c>
      <c r="AF83" s="120"/>
      <c r="AG83" s="119"/>
      <c r="AH83" s="119"/>
      <c r="AI83" s="119"/>
      <c r="AJ83" s="119"/>
      <c r="AK83" s="119"/>
      <c r="AL83" s="119"/>
      <c r="AM83" s="119"/>
      <c r="AN83" s="120" t="str">
        <f>'Sprachen &amp; Rückgabewerte'!$H$49</f>
        <v>Zubehör:</v>
      </c>
      <c r="AO83" s="119"/>
      <c r="AP83" s="119"/>
      <c r="AQ83" s="119"/>
      <c r="AR83" s="119"/>
      <c r="AS83" s="119"/>
      <c r="AT83" s="113"/>
      <c r="AU83" s="114"/>
    </row>
    <row r="84" spans="2:50" ht="12.75" customHeight="1" x14ac:dyDescent="0.2">
      <c r="B84" s="59"/>
      <c r="C84" s="59"/>
      <c r="D84" s="71"/>
      <c r="E84" s="71"/>
      <c r="F84" s="71"/>
      <c r="G84" s="71"/>
      <c r="H84" s="72" t="str">
        <f>'Sprachen &amp; Rückgabewerte'!$B$45</f>
        <v>321901/321901</v>
      </c>
      <c r="I84" s="71"/>
      <c r="J84" s="71"/>
      <c r="K84" s="71"/>
      <c r="L84" s="71"/>
      <c r="M84" s="71"/>
      <c r="N84" s="60"/>
      <c r="O84" s="72" t="str">
        <f>'Sprachen &amp; Rückgabewerte'!$B$46</f>
        <v>321901/322301</v>
      </c>
      <c r="P84" s="71"/>
      <c r="Q84" s="71"/>
      <c r="R84" s="71"/>
      <c r="S84" s="71"/>
      <c r="T84" s="71"/>
      <c r="U84" s="60"/>
      <c r="V84" s="72" t="str">
        <f>'Sprachen &amp; Rückgabewerte'!$B$47</f>
        <v>322301/322301</v>
      </c>
      <c r="W84" s="71"/>
      <c r="X84" s="71"/>
      <c r="Y84" s="71"/>
      <c r="Z84" s="71"/>
      <c r="AA84" s="71"/>
      <c r="AB84" s="122"/>
      <c r="AC84" s="71"/>
      <c r="AD84" s="121"/>
      <c r="AE84" s="544"/>
      <c r="AF84" s="571"/>
      <c r="AG84" s="571"/>
      <c r="AH84" s="571"/>
      <c r="AI84" s="571"/>
      <c r="AJ84" s="571"/>
      <c r="AK84" s="571"/>
      <c r="AL84" s="545"/>
      <c r="AM84" s="71"/>
      <c r="AN84" s="71"/>
      <c r="AO84" s="71" t="str">
        <f>'Sprachen &amp; Rückgabewerte'!$H$50</f>
        <v>Rinne (siehe unten)</v>
      </c>
      <c r="AP84" s="71"/>
      <c r="AQ84" s="71"/>
      <c r="AR84" s="71"/>
      <c r="AS84" s="71"/>
      <c r="AT84" s="114"/>
      <c r="AU84" s="204"/>
      <c r="AV84" s="204"/>
    </row>
    <row r="85" spans="2:50" ht="12.75" customHeight="1" x14ac:dyDescent="0.2">
      <c r="B85" s="59"/>
      <c r="C85" s="59"/>
      <c r="D85" s="71"/>
      <c r="E85" s="71"/>
      <c r="F85" s="71"/>
      <c r="G85" s="71"/>
      <c r="H85" s="665"/>
      <c r="I85" s="666"/>
      <c r="J85" s="666"/>
      <c r="K85" s="667"/>
      <c r="L85" s="71"/>
      <c r="M85" s="71"/>
      <c r="N85" s="71"/>
      <c r="O85" s="665"/>
      <c r="P85" s="666"/>
      <c r="Q85" s="666"/>
      <c r="R85" s="667"/>
      <c r="S85" s="71"/>
      <c r="T85" s="71"/>
      <c r="U85" s="71"/>
      <c r="V85" s="665"/>
      <c r="W85" s="666"/>
      <c r="X85" s="666"/>
      <c r="Y85" s="667"/>
      <c r="Z85" s="71"/>
      <c r="AA85" s="71"/>
      <c r="AB85" s="122"/>
      <c r="AC85" s="71"/>
      <c r="AD85" s="121"/>
      <c r="AE85" s="576"/>
      <c r="AF85" s="576"/>
      <c r="AG85" s="576"/>
      <c r="AH85" s="576"/>
      <c r="AI85" s="576"/>
      <c r="AJ85" s="576"/>
      <c r="AK85" s="576"/>
      <c r="AL85" s="576"/>
      <c r="AM85" s="71"/>
      <c r="AN85" s="71"/>
      <c r="AO85" s="71" t="str">
        <f>'Sprachen &amp; Rückgabewerte'!$H$51</f>
        <v>Wetterschenkel</v>
      </c>
      <c r="AP85" s="71"/>
      <c r="AQ85" s="71"/>
      <c r="AR85" s="71"/>
      <c r="AS85" s="71"/>
      <c r="AT85" s="114"/>
      <c r="AU85" s="114"/>
      <c r="AV85" s="227"/>
    </row>
    <row r="86" spans="2:50" ht="12.75" customHeight="1" x14ac:dyDescent="0.2">
      <c r="B86" s="59"/>
      <c r="C86" s="59"/>
      <c r="D86" s="60"/>
      <c r="E86" s="60"/>
      <c r="F86" s="60"/>
      <c r="G86" s="60"/>
      <c r="H86" s="60"/>
      <c r="I86" s="60"/>
      <c r="J86" s="60"/>
      <c r="K86" s="60"/>
      <c r="L86" s="60"/>
      <c r="M86" s="60"/>
      <c r="N86" s="60"/>
      <c r="O86" s="60"/>
      <c r="P86" s="60"/>
      <c r="Q86" s="60"/>
      <c r="R86" s="60"/>
      <c r="S86" s="60"/>
      <c r="T86" s="60"/>
      <c r="U86" s="60"/>
      <c r="V86" s="60"/>
      <c r="W86" s="60"/>
      <c r="X86" s="60"/>
      <c r="Y86" s="60"/>
      <c r="Z86" s="60"/>
      <c r="AA86" s="60"/>
      <c r="AB86" s="114"/>
      <c r="AC86" s="60"/>
      <c r="AD86" s="59"/>
      <c r="AE86" s="60"/>
      <c r="AF86" s="60"/>
      <c r="AG86" s="60"/>
      <c r="AH86" s="60"/>
      <c r="AI86" s="60"/>
      <c r="AJ86" s="60"/>
      <c r="AK86" s="60"/>
      <c r="AL86" s="60"/>
      <c r="AM86" s="60"/>
      <c r="AN86" s="60"/>
      <c r="AO86" s="60" t="str">
        <f>IF('Sprachen &amp; Rückgabewerte'!$I$51=TRUE,"L=","")</f>
        <v/>
      </c>
      <c r="AP86" s="562"/>
      <c r="AQ86" s="562"/>
      <c r="AR86" s="562"/>
      <c r="AS86" s="60" t="str">
        <f>IF('Sprachen &amp; Rückgabewerte'!$I$51=TRUE,"mm","")</f>
        <v/>
      </c>
      <c r="AT86" s="114"/>
      <c r="AU86" s="114"/>
      <c r="AV86" s="227"/>
    </row>
    <row r="87" spans="2:50" ht="12.75" customHeight="1" x14ac:dyDescent="0.2">
      <c r="B87" s="59"/>
      <c r="C87" s="59"/>
      <c r="D87" s="60"/>
      <c r="E87" s="60"/>
      <c r="F87" s="60"/>
      <c r="G87" s="60"/>
      <c r="H87" s="60"/>
      <c r="I87" s="60"/>
      <c r="J87" s="60"/>
      <c r="K87" s="60"/>
      <c r="L87" s="60"/>
      <c r="M87" s="60"/>
      <c r="N87" s="60"/>
      <c r="O87" s="60"/>
      <c r="P87" s="60"/>
      <c r="Q87" s="60"/>
      <c r="R87" s="60"/>
      <c r="S87" s="60"/>
      <c r="T87" s="60"/>
      <c r="U87" s="60"/>
      <c r="V87" s="60"/>
      <c r="W87" s="60"/>
      <c r="X87" s="60"/>
      <c r="Y87" s="60"/>
      <c r="Z87" s="676"/>
      <c r="AA87" s="676"/>
      <c r="AB87" s="677"/>
      <c r="AC87" s="60"/>
      <c r="AD87" s="59"/>
      <c r="AE87" s="320" t="str">
        <f>'Sprachen &amp; Rückgabewerte'!$H$47</f>
        <v>Windlast:</v>
      </c>
      <c r="AF87" s="80"/>
      <c r="AG87" s="155"/>
      <c r="AH87" s="60"/>
      <c r="AI87" s="60"/>
      <c r="AJ87" s="60"/>
      <c r="AK87" s="60"/>
      <c r="AL87" s="60"/>
      <c r="AM87" s="584"/>
      <c r="AN87" s="585"/>
      <c r="AO87" s="586"/>
      <c r="AP87" s="321" t="s">
        <v>764</v>
      </c>
      <c r="AS87" s="184"/>
      <c r="AT87" s="114"/>
      <c r="AU87" s="114"/>
      <c r="AV87" s="227"/>
    </row>
    <row r="88" spans="2:50" ht="12.75" customHeight="1" x14ac:dyDescent="0.2">
      <c r="B88" s="59"/>
      <c r="C88" s="59"/>
      <c r="D88" s="60"/>
      <c r="E88" s="60"/>
      <c r="F88" s="60"/>
      <c r="G88" s="60"/>
      <c r="H88" s="60"/>
      <c r="I88" s="60"/>
      <c r="J88" s="60"/>
      <c r="K88" s="60"/>
      <c r="L88" s="60"/>
      <c r="M88" s="60"/>
      <c r="N88" s="60"/>
      <c r="O88" s="60"/>
      <c r="P88" s="60"/>
      <c r="Q88" s="60"/>
      <c r="R88" s="60"/>
      <c r="S88" s="60"/>
      <c r="T88" s="60"/>
      <c r="U88" s="60"/>
      <c r="V88" s="60"/>
      <c r="W88" s="60"/>
      <c r="X88" s="60"/>
      <c r="Y88" s="60"/>
      <c r="Z88" s="676"/>
      <c r="AA88" s="676"/>
      <c r="AB88" s="677"/>
      <c r="AC88" s="60"/>
      <c r="AD88" s="59"/>
      <c r="AE88" s="188" t="str">
        <f>'Sprachen &amp; Rückgabewerte'!$H$90</f>
        <v>Wunschtermin:</v>
      </c>
      <c r="AF88" s="319"/>
      <c r="AG88" s="319"/>
      <c r="AH88" s="319"/>
      <c r="AI88" s="319"/>
      <c r="AJ88" s="319"/>
      <c r="AK88" s="319"/>
      <c r="AL88" s="319"/>
      <c r="AM88" s="572"/>
      <c r="AN88" s="573"/>
      <c r="AO88" s="573"/>
      <c r="AP88" s="574"/>
      <c r="AQ88" s="574"/>
      <c r="AR88" s="575"/>
      <c r="AS88" s="319"/>
      <c r="AT88" s="114"/>
      <c r="AU88" s="114"/>
      <c r="AV88" s="227"/>
    </row>
    <row r="89" spans="2:50" ht="12.75" customHeight="1" x14ac:dyDescent="0.2">
      <c r="B89" s="59"/>
      <c r="C89" s="59"/>
      <c r="D89" s="60"/>
      <c r="E89" s="60"/>
      <c r="F89" s="60"/>
      <c r="G89" s="60"/>
      <c r="H89" s="60"/>
      <c r="I89" s="60"/>
      <c r="J89" s="60"/>
      <c r="K89" s="60"/>
      <c r="L89" s="60"/>
      <c r="M89" s="60"/>
      <c r="N89" s="60"/>
      <c r="O89" s="60"/>
      <c r="P89" s="60"/>
      <c r="Q89" s="60"/>
      <c r="R89" s="60"/>
      <c r="S89" s="60"/>
      <c r="T89" s="60"/>
      <c r="U89" s="60"/>
      <c r="V89" s="60"/>
      <c r="W89" s="60"/>
      <c r="X89" s="60"/>
      <c r="Y89" s="60"/>
      <c r="Z89" s="676"/>
      <c r="AA89" s="676"/>
      <c r="AB89" s="677"/>
      <c r="AC89" s="60"/>
      <c r="AD89" s="59"/>
      <c r="AF89" s="319"/>
      <c r="AG89" s="319"/>
      <c r="AH89" s="319"/>
      <c r="AI89" s="319"/>
      <c r="AJ89" s="319"/>
      <c r="AK89" s="319"/>
      <c r="AL89" s="319"/>
      <c r="AS89" s="319"/>
      <c r="AT89" s="114"/>
      <c r="AU89" s="114"/>
      <c r="AV89" s="227"/>
    </row>
    <row r="90" spans="2:50" ht="12.75" customHeight="1" x14ac:dyDescent="0.2">
      <c r="B90" s="59"/>
      <c r="C90" s="59"/>
      <c r="D90" s="60"/>
      <c r="E90" s="60"/>
      <c r="F90" s="60"/>
      <c r="G90" s="60"/>
      <c r="H90" s="60"/>
      <c r="I90" s="60"/>
      <c r="J90" s="60"/>
      <c r="K90" s="60"/>
      <c r="L90" s="60"/>
      <c r="M90" s="60"/>
      <c r="N90" s="60"/>
      <c r="O90" s="60"/>
      <c r="P90" s="60"/>
      <c r="Q90" s="60"/>
      <c r="R90" s="60"/>
      <c r="S90" s="60"/>
      <c r="T90" s="60"/>
      <c r="U90" s="60"/>
      <c r="W90" s="60"/>
      <c r="X90" s="60"/>
      <c r="Y90" s="60"/>
      <c r="Z90" s="60"/>
      <c r="AA90" s="60"/>
      <c r="AB90" s="114"/>
      <c r="AC90" s="60"/>
      <c r="AD90" s="59"/>
      <c r="AE90" s="583" t="str">
        <f>'Sprachen &amp; Rückgabewerte'!$H$102</f>
        <v>Diese Bestellung ist verbindlich und muss komplett ausgefüllt werden. Änderungen werden als Mehraufwand verrechnet.</v>
      </c>
      <c r="AF90" s="583"/>
      <c r="AG90" s="583"/>
      <c r="AH90" s="583"/>
      <c r="AI90" s="583"/>
      <c r="AJ90" s="583"/>
      <c r="AK90" s="583"/>
      <c r="AL90" s="583"/>
      <c r="AM90" s="583"/>
      <c r="AN90" s="583"/>
      <c r="AO90" s="583"/>
      <c r="AP90" s="583"/>
      <c r="AQ90" s="583"/>
      <c r="AR90" s="583"/>
      <c r="AS90" s="583"/>
      <c r="AT90" s="114"/>
      <c r="AU90" s="114"/>
      <c r="AV90" s="227"/>
    </row>
    <row r="91" spans="2:50" ht="12.75" customHeight="1" x14ac:dyDescent="0.2">
      <c r="B91" s="59"/>
      <c r="C91" s="59"/>
      <c r="D91" s="60"/>
      <c r="E91" s="60"/>
      <c r="F91" s="60"/>
      <c r="G91" s="60"/>
      <c r="H91" s="60"/>
      <c r="I91" s="60"/>
      <c r="J91" s="60"/>
      <c r="K91" s="60"/>
      <c r="L91" s="60"/>
      <c r="M91" s="60"/>
      <c r="N91" s="60"/>
      <c r="O91" s="60"/>
      <c r="P91" s="60"/>
      <c r="Q91" s="60"/>
      <c r="R91" s="60"/>
      <c r="S91" s="60"/>
      <c r="T91" s="60"/>
      <c r="U91" s="60"/>
      <c r="V91" s="60"/>
      <c r="W91" s="60"/>
      <c r="X91" s="60"/>
      <c r="Y91" s="60"/>
      <c r="Z91" s="678"/>
      <c r="AA91" s="678"/>
      <c r="AB91" s="679"/>
      <c r="AC91" s="60"/>
      <c r="AD91" s="59"/>
      <c r="AE91" s="583"/>
      <c r="AF91" s="583"/>
      <c r="AG91" s="583"/>
      <c r="AH91" s="583"/>
      <c r="AI91" s="583"/>
      <c r="AJ91" s="583"/>
      <c r="AK91" s="583"/>
      <c r="AL91" s="583"/>
      <c r="AM91" s="583"/>
      <c r="AN91" s="583"/>
      <c r="AO91" s="583"/>
      <c r="AP91" s="583"/>
      <c r="AQ91" s="583"/>
      <c r="AR91" s="583"/>
      <c r="AS91" s="583"/>
      <c r="AT91" s="114"/>
      <c r="AU91" s="114"/>
      <c r="AV91" s="227"/>
    </row>
    <row r="92" spans="2:50" ht="12.75" customHeight="1" x14ac:dyDescent="0.2">
      <c r="B92" s="59"/>
      <c r="C92" s="59"/>
      <c r="D92" s="60"/>
      <c r="E92" s="60"/>
      <c r="F92" s="60"/>
      <c r="G92" s="60"/>
      <c r="H92" s="60"/>
      <c r="I92" s="60"/>
      <c r="J92" s="60"/>
      <c r="K92" s="60"/>
      <c r="L92" s="60"/>
      <c r="M92" s="60"/>
      <c r="N92" s="60"/>
      <c r="O92" s="60"/>
      <c r="P92" s="60"/>
      <c r="Q92" s="60"/>
      <c r="R92" s="60"/>
      <c r="S92" s="60"/>
      <c r="T92" s="60"/>
      <c r="U92" s="60"/>
      <c r="V92" s="60"/>
      <c r="W92" s="60"/>
      <c r="X92" s="60"/>
      <c r="Y92" s="60"/>
      <c r="Z92" s="678"/>
      <c r="AA92" s="678"/>
      <c r="AB92" s="679"/>
      <c r="AC92" s="60"/>
      <c r="AD92" s="59"/>
      <c r="AE92" s="583"/>
      <c r="AF92" s="583"/>
      <c r="AG92" s="583"/>
      <c r="AH92" s="583"/>
      <c r="AI92" s="583"/>
      <c r="AJ92" s="583"/>
      <c r="AK92" s="583"/>
      <c r="AL92" s="583"/>
      <c r="AM92" s="583"/>
      <c r="AN92" s="583"/>
      <c r="AO92" s="583"/>
      <c r="AP92" s="583"/>
      <c r="AQ92" s="583"/>
      <c r="AR92" s="583"/>
      <c r="AS92" s="583"/>
      <c r="AT92" s="114"/>
      <c r="AU92" s="114"/>
      <c r="AV92" s="227"/>
    </row>
    <row r="93" spans="2:50" ht="12.75" customHeight="1" x14ac:dyDescent="0.2">
      <c r="B93" s="59"/>
      <c r="C93" s="59"/>
      <c r="D93" s="60"/>
      <c r="E93" s="60"/>
      <c r="F93" s="60"/>
      <c r="G93" s="60"/>
      <c r="H93" s="60"/>
      <c r="I93" s="60"/>
      <c r="J93" s="60"/>
      <c r="K93" s="60"/>
      <c r="L93" s="60"/>
      <c r="M93" s="60"/>
      <c r="N93" s="60"/>
      <c r="O93" s="60"/>
      <c r="P93" s="60"/>
      <c r="Q93" s="60"/>
      <c r="R93" s="60"/>
      <c r="S93" s="60"/>
      <c r="T93" s="60"/>
      <c r="U93" s="60"/>
      <c r="V93" s="60"/>
      <c r="W93" s="60"/>
      <c r="X93" s="60"/>
      <c r="Y93" s="60"/>
      <c r="Z93" s="678"/>
      <c r="AA93" s="678"/>
      <c r="AB93" s="679"/>
      <c r="AC93" s="60"/>
      <c r="AD93" s="67"/>
      <c r="AE93" s="83"/>
      <c r="AF93" s="83"/>
      <c r="AG93" s="83"/>
      <c r="AH93" s="83"/>
      <c r="AI93" s="83"/>
      <c r="AJ93" s="83"/>
      <c r="AK93" s="83"/>
      <c r="AL93" s="83"/>
      <c r="AM93" s="83"/>
      <c r="AN93" s="83"/>
      <c r="AO93" s="83"/>
      <c r="AP93" s="83"/>
      <c r="AQ93" s="83"/>
      <c r="AR93" s="83"/>
      <c r="AS93" s="83"/>
      <c r="AT93" s="115"/>
      <c r="AU93" s="114"/>
      <c r="AV93" s="227"/>
    </row>
    <row r="94" spans="2:50" ht="12.75" customHeight="1" x14ac:dyDescent="0.2">
      <c r="B94" s="59"/>
      <c r="C94" s="59"/>
      <c r="D94" s="60"/>
      <c r="E94" s="60"/>
      <c r="F94" s="60"/>
      <c r="G94" s="60"/>
      <c r="H94" s="60"/>
      <c r="I94" s="60"/>
      <c r="J94" s="60"/>
      <c r="K94" s="60"/>
      <c r="L94" s="60"/>
      <c r="M94" s="60"/>
      <c r="N94" s="60"/>
      <c r="O94" s="60"/>
      <c r="P94" s="60"/>
      <c r="Q94" s="60"/>
      <c r="R94" s="60"/>
      <c r="S94" s="60"/>
      <c r="T94" s="60"/>
      <c r="U94" s="60"/>
      <c r="V94" s="60"/>
      <c r="W94" s="60"/>
      <c r="X94" s="60"/>
      <c r="Y94" s="60"/>
      <c r="Z94" s="60"/>
      <c r="AA94" s="60"/>
      <c r="AB94" s="114"/>
      <c r="AC94" s="60"/>
      <c r="AD94" s="60"/>
      <c r="AE94" s="60"/>
      <c r="AF94" s="60"/>
      <c r="AG94" s="60"/>
      <c r="AH94" s="60"/>
      <c r="AI94" s="60"/>
      <c r="AJ94" s="60"/>
      <c r="AK94" s="71"/>
      <c r="AL94" s="71"/>
      <c r="AM94" s="71"/>
      <c r="AN94" s="71"/>
      <c r="AO94" s="71"/>
      <c r="AP94" s="71"/>
      <c r="AQ94" s="71"/>
      <c r="AR94" s="60"/>
      <c r="AS94" s="60"/>
      <c r="AT94" s="60"/>
      <c r="AU94" s="114"/>
      <c r="AV94" s="227"/>
    </row>
    <row r="95" spans="2:50" ht="12.75" customHeight="1" x14ac:dyDescent="0.2">
      <c r="B95" s="59"/>
      <c r="C95" s="59"/>
      <c r="D95" s="60"/>
      <c r="E95" s="60"/>
      <c r="F95" s="60"/>
      <c r="G95" s="60"/>
      <c r="H95" s="156" t="str">
        <f>'Sprachen &amp; Rückgabewerte'!$B$48</f>
        <v>110101/110301</v>
      </c>
      <c r="I95" s="60"/>
      <c r="J95" s="60"/>
      <c r="K95" s="60"/>
      <c r="L95" s="60"/>
      <c r="M95" s="60"/>
      <c r="N95" s="60"/>
      <c r="O95" s="156" t="str">
        <f>'Sprachen &amp; Rückgabewerte'!$B$49</f>
        <v>110101/110501</v>
      </c>
      <c r="P95" s="60"/>
      <c r="Q95" s="60"/>
      <c r="R95" s="60"/>
      <c r="S95" s="60"/>
      <c r="T95" s="60"/>
      <c r="U95" s="60"/>
      <c r="V95" s="156" t="str">
        <f>'Sprachen &amp; Rückgabewerte'!$H$116</f>
        <v>Ganzglas-Ecke</v>
      </c>
      <c r="W95" s="60"/>
      <c r="X95" s="60"/>
      <c r="Y95" s="60"/>
      <c r="Z95" s="60"/>
      <c r="AA95" s="60"/>
      <c r="AB95" s="114"/>
      <c r="AC95" s="60"/>
      <c r="AD95" s="111"/>
      <c r="AE95" s="119"/>
      <c r="AF95" s="119"/>
      <c r="AG95" s="119"/>
      <c r="AH95" s="119"/>
      <c r="AI95" s="119"/>
      <c r="AJ95" s="119"/>
      <c r="AK95" s="119"/>
      <c r="AL95" s="119"/>
      <c r="AM95" s="119"/>
      <c r="AN95" s="119"/>
      <c r="AO95" s="119"/>
      <c r="AP95" s="119"/>
      <c r="AQ95" s="119"/>
      <c r="AR95" s="119"/>
      <c r="AS95" s="119"/>
      <c r="AT95" s="406"/>
      <c r="AU95" s="114"/>
      <c r="AV95" s="227"/>
      <c r="AW95" s="407" t="str">
        <f>'Sprachen &amp; Rückgabewerte'!H182</f>
        <v>Beratungsnummer: (z.B. P123456)</v>
      </c>
    </row>
    <row r="96" spans="2:50" ht="12.75" customHeight="1" x14ac:dyDescent="0.2">
      <c r="B96" s="59"/>
      <c r="C96" s="59"/>
      <c r="D96" s="60"/>
      <c r="E96" s="60"/>
      <c r="F96" s="60"/>
      <c r="G96" s="60"/>
      <c r="H96" s="665"/>
      <c r="I96" s="666"/>
      <c r="J96" s="666"/>
      <c r="K96" s="667"/>
      <c r="L96" s="60"/>
      <c r="M96" s="60"/>
      <c r="N96" s="60"/>
      <c r="O96" s="665"/>
      <c r="P96" s="666"/>
      <c r="Q96" s="666"/>
      <c r="R96" s="667"/>
      <c r="S96" s="60"/>
      <c r="T96" s="60"/>
      <c r="U96" s="60"/>
      <c r="V96" s="60"/>
      <c r="W96" s="60"/>
      <c r="X96" s="60"/>
      <c r="Y96" s="60"/>
      <c r="Z96" s="60"/>
      <c r="AA96" s="60"/>
      <c r="AB96" s="114"/>
      <c r="AC96" s="60"/>
      <c r="AD96" s="59"/>
      <c r="AE96" s="72" t="str">
        <f>'Sprachen &amp; Rückgabewerte'!H181</f>
        <v>Sky-Frame Beratung vorhanden:</v>
      </c>
      <c r="AF96" s="71"/>
      <c r="AG96" s="71"/>
      <c r="AH96" s="71"/>
      <c r="AI96" s="71"/>
      <c r="AJ96" s="71"/>
      <c r="AK96" s="71"/>
      <c r="AL96" s="71"/>
      <c r="AM96" s="71"/>
      <c r="AN96" s="71"/>
      <c r="AO96" s="71"/>
      <c r="AP96" s="71"/>
      <c r="AQ96" s="544"/>
      <c r="AR96" s="545"/>
      <c r="AS96" s="408"/>
      <c r="AT96" s="125"/>
      <c r="AU96" s="115"/>
      <c r="AV96" s="409"/>
      <c r="AW96" s="546"/>
      <c r="AX96" s="547"/>
    </row>
    <row r="97" spans="2:48" ht="12.75" customHeight="1" x14ac:dyDescent="0.2">
      <c r="B97" s="59"/>
      <c r="C97" s="67"/>
      <c r="D97" s="83"/>
      <c r="E97" s="83"/>
      <c r="F97" s="83"/>
      <c r="G97" s="83"/>
      <c r="H97" s="83"/>
      <c r="I97" s="83"/>
      <c r="J97" s="83"/>
      <c r="K97" s="83"/>
      <c r="L97" s="83"/>
      <c r="M97" s="83"/>
      <c r="N97" s="83"/>
      <c r="O97" s="83"/>
      <c r="P97" s="83"/>
      <c r="Q97" s="83"/>
      <c r="R97" s="83"/>
      <c r="S97" s="83"/>
      <c r="T97" s="83"/>
      <c r="U97" s="83"/>
      <c r="V97" s="83"/>
      <c r="W97" s="83"/>
      <c r="X97" s="83"/>
      <c r="Y97" s="83"/>
      <c r="Z97" s="83"/>
      <c r="AA97" s="83"/>
      <c r="AB97" s="115"/>
      <c r="AC97" s="60"/>
      <c r="AD97" s="67"/>
      <c r="AE97" s="124"/>
      <c r="AF97" s="124"/>
      <c r="AG97" s="124"/>
      <c r="AH97" s="124"/>
      <c r="AI97" s="124"/>
      <c r="AJ97" s="124"/>
      <c r="AK97" s="124"/>
      <c r="AL97" s="124"/>
      <c r="AM97" s="124"/>
      <c r="AN97" s="124"/>
      <c r="AO97" s="124"/>
      <c r="AP97" s="124"/>
      <c r="AQ97" s="124"/>
      <c r="AR97" s="124"/>
      <c r="AS97" s="124"/>
      <c r="AT97" s="125"/>
      <c r="AU97" s="114"/>
      <c r="AV97" s="227"/>
    </row>
    <row r="98" spans="2:48" ht="19.5" customHeight="1" x14ac:dyDescent="0.2">
      <c r="B98" s="67"/>
      <c r="C98" s="680" t="s">
        <v>891</v>
      </c>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83"/>
      <c r="AQ98" s="83"/>
      <c r="AR98" s="83"/>
      <c r="AS98" s="83"/>
      <c r="AT98" s="158" t="s">
        <v>892</v>
      </c>
      <c r="AU98" s="115"/>
      <c r="AV98" s="227"/>
    </row>
    <row r="99" spans="2:48" ht="19.5" customHeight="1" x14ac:dyDescent="0.2">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254"/>
      <c r="AU99" s="60"/>
      <c r="AV99" s="114"/>
    </row>
    <row r="100" spans="2:48" x14ac:dyDescent="0.2">
      <c r="AV100" s="115"/>
    </row>
    <row r="101" spans="2:48" ht="13.5" thickBot="1" x14ac:dyDescent="0.25">
      <c r="B101" s="11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113"/>
    </row>
    <row r="102" spans="2:48" ht="16.5" thickTop="1" x14ac:dyDescent="0.25">
      <c r="B102" s="59"/>
      <c r="C102" s="111"/>
      <c r="D102" s="81"/>
      <c r="E102" s="272" t="str">
        <f>'Sprachen &amp; Rückgabewerte'!$H$138</f>
        <v>Rinnenbestellung</v>
      </c>
      <c r="F102" s="81"/>
      <c r="G102" s="81"/>
      <c r="H102" s="81"/>
      <c r="I102" s="81"/>
      <c r="J102" s="81"/>
      <c r="K102" s="81"/>
      <c r="L102" s="81"/>
      <c r="M102" s="81"/>
      <c r="N102" s="81"/>
      <c r="O102" s="81"/>
      <c r="P102" s="81"/>
      <c r="Q102" s="81"/>
      <c r="R102" s="81"/>
      <c r="S102" s="81"/>
      <c r="T102" s="81"/>
      <c r="U102" s="81"/>
      <c r="V102" s="81"/>
      <c r="W102" s="81"/>
      <c r="X102" s="81"/>
      <c r="Y102" s="81"/>
      <c r="Z102" s="113"/>
      <c r="AA102" s="60"/>
      <c r="AB102" s="239"/>
      <c r="AC102" s="240"/>
      <c r="AD102" s="240"/>
      <c r="AE102" s="240"/>
      <c r="AF102" s="255"/>
      <c r="AG102" s="256"/>
      <c r="AH102" s="259"/>
      <c r="AI102" s="255"/>
      <c r="AJ102" s="255"/>
      <c r="AK102" s="255"/>
      <c r="AL102" s="255"/>
      <c r="AM102" s="256"/>
      <c r="AN102" s="259"/>
      <c r="AO102" s="255"/>
      <c r="AP102" s="255"/>
      <c r="AQ102" s="255"/>
      <c r="AR102" s="255"/>
      <c r="AS102" s="255"/>
      <c r="AT102" s="256"/>
      <c r="AU102" s="114"/>
    </row>
    <row r="103" spans="2:48" x14ac:dyDescent="0.2">
      <c r="B103" s="59"/>
      <c r="C103" s="59"/>
      <c r="D103" s="60"/>
      <c r="E103" s="60"/>
      <c r="F103" s="60"/>
      <c r="G103" s="60"/>
      <c r="H103" s="60"/>
      <c r="I103" s="60"/>
      <c r="J103" s="60"/>
      <c r="K103" s="60"/>
      <c r="L103" s="60"/>
      <c r="M103" s="60"/>
      <c r="N103" s="60"/>
      <c r="O103" s="60"/>
      <c r="P103" s="60"/>
      <c r="Q103" s="60"/>
      <c r="R103" s="60"/>
      <c r="S103" s="60"/>
      <c r="T103" s="60"/>
      <c r="U103" s="60"/>
      <c r="V103" s="60"/>
      <c r="W103" s="60"/>
      <c r="X103" s="60"/>
      <c r="Y103" s="60"/>
      <c r="Z103" s="114"/>
      <c r="AA103" s="60"/>
      <c r="AB103" s="242"/>
      <c r="AC103" s="60"/>
      <c r="AD103" s="60"/>
      <c r="AE103" s="60"/>
      <c r="AF103" s="132"/>
      <c r="AG103" s="257"/>
      <c r="AH103" s="260"/>
      <c r="AI103" s="132"/>
      <c r="AJ103" s="132"/>
      <c r="AK103" s="132"/>
      <c r="AL103" s="132"/>
      <c r="AM103" s="257"/>
      <c r="AN103" s="260"/>
      <c r="AO103" s="132"/>
      <c r="AP103" s="132"/>
      <c r="AQ103" s="132"/>
      <c r="AR103" s="132"/>
      <c r="AS103" s="132"/>
      <c r="AT103" s="257"/>
      <c r="AU103" s="133"/>
    </row>
    <row r="104" spans="2:48" ht="15" customHeight="1" x14ac:dyDescent="0.2">
      <c r="B104" s="59"/>
      <c r="C104" s="59"/>
      <c r="D104" s="60"/>
      <c r="E104" s="71" t="str">
        <f>'Sprachen &amp; Rückgabewerte'!$H$139</f>
        <v>Wahl des Rinnensystems:</v>
      </c>
      <c r="F104" s="60"/>
      <c r="G104" s="60"/>
      <c r="H104" s="60"/>
      <c r="I104" s="60"/>
      <c r="J104" s="60"/>
      <c r="K104" s="60"/>
      <c r="L104" s="60"/>
      <c r="M104" s="60"/>
      <c r="N104" s="60"/>
      <c r="O104" s="60"/>
      <c r="P104" s="60"/>
      <c r="Q104" s="60"/>
      <c r="R104" s="60"/>
      <c r="S104" s="60"/>
      <c r="T104" s="668"/>
      <c r="U104" s="669"/>
      <c r="V104" s="237"/>
      <c r="W104" s="237"/>
      <c r="X104" s="60"/>
      <c r="Y104" s="60"/>
      <c r="Z104" s="114"/>
      <c r="AB104" s="242"/>
      <c r="AC104" s="60"/>
      <c r="AD104" s="60"/>
      <c r="AE104" s="60"/>
      <c r="AF104" s="132"/>
      <c r="AG104" s="257"/>
      <c r="AH104" s="260"/>
      <c r="AI104" s="132"/>
      <c r="AJ104" s="132"/>
      <c r="AK104" s="132"/>
      <c r="AL104" s="132"/>
      <c r="AM104" s="257"/>
      <c r="AN104" s="260"/>
      <c r="AO104" s="132"/>
      <c r="AP104" s="132"/>
      <c r="AQ104" s="132"/>
      <c r="AR104" s="132"/>
      <c r="AS104" s="132"/>
      <c r="AT104" s="257"/>
      <c r="AU104" s="133"/>
    </row>
    <row r="105" spans="2:48" x14ac:dyDescent="0.2">
      <c r="B105" s="59"/>
      <c r="C105" s="59"/>
      <c r="D105" s="60"/>
      <c r="E105" s="60"/>
      <c r="F105" s="60"/>
      <c r="G105" s="60"/>
      <c r="H105" s="60"/>
      <c r="I105" s="60"/>
      <c r="J105" s="60"/>
      <c r="K105" s="60"/>
      <c r="L105" s="60"/>
      <c r="M105" s="60"/>
      <c r="N105" s="60"/>
      <c r="O105" s="60"/>
      <c r="P105" s="60"/>
      <c r="Q105" s="60"/>
      <c r="R105" s="60"/>
      <c r="S105" s="60"/>
      <c r="T105" s="60"/>
      <c r="U105" s="60"/>
      <c r="V105" s="60"/>
      <c r="W105" s="60"/>
      <c r="X105" s="60"/>
      <c r="Y105" s="60"/>
      <c r="Z105" s="114"/>
      <c r="AB105" s="242"/>
      <c r="AC105" s="60"/>
      <c r="AD105" s="60"/>
      <c r="AE105" s="60"/>
      <c r="AF105" s="132"/>
      <c r="AG105" s="257"/>
      <c r="AH105" s="260"/>
      <c r="AI105" s="132"/>
      <c r="AJ105" s="132"/>
      <c r="AK105" s="132"/>
      <c r="AL105" s="132"/>
      <c r="AM105" s="257"/>
      <c r="AN105" s="260"/>
      <c r="AO105" s="132"/>
      <c r="AP105" s="132"/>
      <c r="AQ105" s="132"/>
      <c r="AR105" s="132"/>
      <c r="AS105" s="132"/>
      <c r="AT105" s="257"/>
      <c r="AU105" s="133"/>
    </row>
    <row r="106" spans="2:48" ht="15" customHeight="1" x14ac:dyDescent="0.2">
      <c r="B106" s="59"/>
      <c r="C106" s="59"/>
      <c r="D106" s="60"/>
      <c r="E106" s="71" t="str">
        <f>'Sprachen &amp; Rückgabewerte'!$H$140</f>
        <v>Einzug an der linken Anlagenseite:</v>
      </c>
      <c r="F106" s="60"/>
      <c r="G106" s="60"/>
      <c r="H106" s="60"/>
      <c r="I106" s="60"/>
      <c r="J106" s="60"/>
      <c r="K106" s="60"/>
      <c r="L106" s="60"/>
      <c r="M106" s="60"/>
      <c r="N106" s="60"/>
      <c r="O106" s="60"/>
      <c r="P106" s="60"/>
      <c r="Q106" s="60"/>
      <c r="R106" s="60"/>
      <c r="S106" s="60"/>
      <c r="T106" s="670"/>
      <c r="U106" s="671"/>
      <c r="V106" s="60" t="s">
        <v>179</v>
      </c>
      <c r="W106" s="60"/>
      <c r="X106" s="60"/>
      <c r="Y106" s="60"/>
      <c r="Z106" s="114"/>
      <c r="AB106" s="242"/>
      <c r="AC106" s="60"/>
      <c r="AD106" s="60"/>
      <c r="AE106" s="60"/>
      <c r="AF106" s="132"/>
      <c r="AG106" s="257"/>
      <c r="AH106" s="260"/>
      <c r="AI106" s="132"/>
      <c r="AJ106" s="132"/>
      <c r="AK106" s="132"/>
      <c r="AL106" s="132"/>
      <c r="AM106" s="257"/>
      <c r="AN106" s="260"/>
      <c r="AO106" s="132"/>
      <c r="AP106" s="132"/>
      <c r="AQ106" s="132"/>
      <c r="AR106" s="132"/>
      <c r="AS106" s="132"/>
      <c r="AT106" s="257"/>
      <c r="AU106" s="133"/>
    </row>
    <row r="107" spans="2:48" x14ac:dyDescent="0.2">
      <c r="B107" s="59"/>
      <c r="C107" s="59"/>
      <c r="D107" s="60"/>
      <c r="E107" s="60"/>
      <c r="F107" s="60"/>
      <c r="G107" s="60"/>
      <c r="H107" s="60"/>
      <c r="I107" s="60"/>
      <c r="J107" s="60"/>
      <c r="K107" s="60"/>
      <c r="L107" s="60"/>
      <c r="M107" s="60"/>
      <c r="N107" s="60"/>
      <c r="O107" s="60"/>
      <c r="P107" s="60"/>
      <c r="Q107" s="60"/>
      <c r="R107" s="60"/>
      <c r="S107" s="60"/>
      <c r="T107" s="60"/>
      <c r="U107" s="60"/>
      <c r="V107" s="60"/>
      <c r="W107" s="60"/>
      <c r="X107" s="60"/>
      <c r="Y107" s="60"/>
      <c r="Z107" s="114"/>
      <c r="AB107" s="242"/>
      <c r="AC107" s="60"/>
      <c r="AD107" s="60"/>
      <c r="AE107" s="60"/>
      <c r="AF107" s="132"/>
      <c r="AG107" s="257"/>
      <c r="AH107" s="260"/>
      <c r="AI107" s="132"/>
      <c r="AJ107" s="132"/>
      <c r="AK107" s="132"/>
      <c r="AL107" s="132"/>
      <c r="AM107" s="257"/>
      <c r="AN107" s="260"/>
      <c r="AO107" s="132"/>
      <c r="AP107" s="132"/>
      <c r="AQ107" s="132"/>
      <c r="AR107" s="132"/>
      <c r="AS107" s="132"/>
      <c r="AT107" s="257"/>
      <c r="AU107" s="133"/>
    </row>
    <row r="108" spans="2:48" ht="15" customHeight="1" x14ac:dyDescent="0.2">
      <c r="B108" s="59"/>
      <c r="C108" s="59"/>
      <c r="D108" s="60"/>
      <c r="E108" s="71" t="str">
        <f>'Sprachen &amp; Rückgabewerte'!$H$141</f>
        <v>Einzug an der rechten Anlagenseite:</v>
      </c>
      <c r="F108" s="60"/>
      <c r="G108" s="60"/>
      <c r="H108" s="60"/>
      <c r="I108" s="60"/>
      <c r="J108" s="60"/>
      <c r="K108" s="60"/>
      <c r="L108" s="60"/>
      <c r="M108" s="60"/>
      <c r="N108" s="60"/>
      <c r="O108" s="60"/>
      <c r="P108" s="60"/>
      <c r="Q108" s="60"/>
      <c r="R108" s="60"/>
      <c r="S108" s="60"/>
      <c r="T108" s="670"/>
      <c r="U108" s="671"/>
      <c r="V108" s="60" t="s">
        <v>179</v>
      </c>
      <c r="W108" s="60"/>
      <c r="X108" s="60"/>
      <c r="Y108" s="60"/>
      <c r="Z108" s="114"/>
      <c r="AB108" s="242"/>
      <c r="AC108" s="60"/>
      <c r="AD108" s="60"/>
      <c r="AE108" s="60"/>
      <c r="AF108" s="132"/>
      <c r="AG108" s="257"/>
      <c r="AH108" s="260"/>
      <c r="AI108" s="132"/>
      <c r="AJ108" s="132"/>
      <c r="AK108" s="132"/>
      <c r="AL108" s="132"/>
      <c r="AM108" s="257"/>
      <c r="AN108" s="260"/>
      <c r="AO108" s="132"/>
      <c r="AP108" s="132"/>
      <c r="AQ108" s="132"/>
      <c r="AR108" s="132"/>
      <c r="AS108" s="132"/>
      <c r="AT108" s="257"/>
      <c r="AU108" s="133"/>
    </row>
    <row r="109" spans="2:48" x14ac:dyDescent="0.2">
      <c r="B109" s="59"/>
      <c r="C109" s="59"/>
      <c r="D109" s="60"/>
      <c r="E109" s="60"/>
      <c r="F109" s="60"/>
      <c r="G109" s="60"/>
      <c r="H109" s="60"/>
      <c r="I109" s="60"/>
      <c r="J109" s="60"/>
      <c r="K109" s="60"/>
      <c r="L109" s="60"/>
      <c r="M109" s="60"/>
      <c r="N109" s="60"/>
      <c r="O109" s="60"/>
      <c r="P109" s="60"/>
      <c r="Q109" s="60"/>
      <c r="R109" s="60"/>
      <c r="S109" s="60"/>
      <c r="T109" s="60"/>
      <c r="U109" s="60"/>
      <c r="V109" s="60"/>
      <c r="W109" s="60"/>
      <c r="X109" s="60"/>
      <c r="Y109" s="60"/>
      <c r="Z109" s="114"/>
      <c r="AB109" s="242"/>
      <c r="AC109" s="60"/>
      <c r="AD109" s="60"/>
      <c r="AE109" s="60"/>
      <c r="AF109" s="132"/>
      <c r="AG109" s="257"/>
      <c r="AH109" s="260"/>
      <c r="AI109" s="132"/>
      <c r="AJ109" s="132"/>
      <c r="AK109" s="132"/>
      <c r="AL109" s="132"/>
      <c r="AM109" s="257"/>
      <c r="AN109" s="260"/>
      <c r="AO109" s="132"/>
      <c r="AP109" s="132"/>
      <c r="AQ109" s="132"/>
      <c r="AR109" s="132"/>
      <c r="AS109" s="132"/>
      <c r="AT109" s="257"/>
      <c r="AU109" s="133"/>
    </row>
    <row r="110" spans="2:48" ht="15" customHeight="1" x14ac:dyDescent="0.2">
      <c r="B110" s="59"/>
      <c r="C110" s="59"/>
      <c r="D110" s="60"/>
      <c r="E110" s="71" t="str">
        <f>'Sprachen &amp; Rückgabewerte'!$H$142</f>
        <v>Anschlussstutzen:</v>
      </c>
      <c r="F110" s="60"/>
      <c r="G110" s="60"/>
      <c r="H110" s="60"/>
      <c r="I110" s="60"/>
      <c r="J110" s="60"/>
      <c r="K110" s="60"/>
      <c r="L110" s="60"/>
      <c r="M110" s="60"/>
      <c r="N110" s="60"/>
      <c r="O110" s="60"/>
      <c r="P110" s="60"/>
      <c r="Q110" s="60"/>
      <c r="R110" s="60"/>
      <c r="S110" s="60"/>
      <c r="T110" s="668"/>
      <c r="U110" s="672"/>
      <c r="V110" s="672"/>
      <c r="W110" s="672"/>
      <c r="X110" s="672"/>
      <c r="Y110" s="669"/>
      <c r="Z110" s="273"/>
      <c r="AB110" s="261"/>
      <c r="AC110" s="262"/>
      <c r="AD110" s="262"/>
      <c r="AE110" s="262"/>
      <c r="AF110" s="263"/>
      <c r="AG110" s="264"/>
      <c r="AH110" s="265"/>
      <c r="AI110" s="263"/>
      <c r="AJ110" s="263"/>
      <c r="AK110" s="263"/>
      <c r="AL110" s="263"/>
      <c r="AM110" s="264"/>
      <c r="AN110" s="265"/>
      <c r="AO110" s="263"/>
      <c r="AP110" s="263"/>
      <c r="AQ110" s="263"/>
      <c r="AR110" s="263"/>
      <c r="AS110" s="263"/>
      <c r="AT110" s="264"/>
      <c r="AU110" s="133"/>
    </row>
    <row r="111" spans="2:48" x14ac:dyDescent="0.2">
      <c r="B111" s="59"/>
      <c r="C111" s="59"/>
      <c r="D111" s="60"/>
      <c r="E111" s="60"/>
      <c r="F111" s="60"/>
      <c r="G111" s="60"/>
      <c r="H111" s="60"/>
      <c r="I111" s="60"/>
      <c r="J111" s="60"/>
      <c r="K111" s="60"/>
      <c r="L111" s="60"/>
      <c r="M111" s="60"/>
      <c r="N111" s="60"/>
      <c r="O111" s="60"/>
      <c r="P111" s="60"/>
      <c r="Q111" s="60"/>
      <c r="R111" s="60"/>
      <c r="S111" s="60"/>
      <c r="T111" s="60"/>
      <c r="U111" s="60"/>
      <c r="V111" s="60"/>
      <c r="W111" s="60"/>
      <c r="X111" s="60"/>
      <c r="Y111" s="60"/>
      <c r="Z111" s="114"/>
      <c r="AB111" s="266"/>
      <c r="AC111" s="267"/>
      <c r="AD111" s="267"/>
      <c r="AE111" s="267"/>
      <c r="AF111" s="268"/>
      <c r="AG111" s="269"/>
      <c r="AH111" s="268"/>
      <c r="AI111" s="268"/>
      <c r="AJ111" s="268"/>
      <c r="AK111" s="268"/>
      <c r="AL111" s="268"/>
      <c r="AM111" s="268"/>
      <c r="AN111" s="270"/>
      <c r="AO111" s="268"/>
      <c r="AP111" s="268"/>
      <c r="AQ111" s="268"/>
      <c r="AR111" s="268"/>
      <c r="AS111" s="268"/>
      <c r="AT111" s="269"/>
      <c r="AU111" s="133"/>
    </row>
    <row r="112" spans="2:48" ht="15" customHeight="1" x14ac:dyDescent="0.2">
      <c r="B112" s="59"/>
      <c r="C112" s="59"/>
      <c r="D112" s="60"/>
      <c r="E112" s="60"/>
      <c r="F112" s="60"/>
      <c r="G112" s="60"/>
      <c r="H112" s="60"/>
      <c r="I112" s="60"/>
      <c r="J112" s="60"/>
      <c r="K112" s="60"/>
      <c r="L112" s="60"/>
      <c r="M112" s="60"/>
      <c r="N112" s="60"/>
      <c r="O112" s="60"/>
      <c r="P112" s="60"/>
      <c r="Q112" s="60"/>
      <c r="R112" s="275" t="str">
        <f>IF($T$110='Sprachen &amp; Rückgabewerte'!$J$143,'Sprachen &amp; Rückgabewerte'!$H$145,'Sprachen &amp; Rückgabewerte'!$H$148)</f>
        <v>Abstände Ablaufstutzen (E):</v>
      </c>
      <c r="S112" s="60"/>
      <c r="T112" s="673"/>
      <c r="U112" s="674"/>
      <c r="V112" s="674"/>
      <c r="W112" s="674"/>
      <c r="X112" s="674"/>
      <c r="Y112" s="675"/>
      <c r="Z112" s="274"/>
      <c r="AB112" s="242"/>
      <c r="AC112" s="60"/>
      <c r="AD112" s="60"/>
      <c r="AE112" s="60"/>
      <c r="AF112" s="132"/>
      <c r="AG112" s="257"/>
      <c r="AH112" s="132"/>
      <c r="AI112" s="132"/>
      <c r="AJ112" s="132"/>
      <c r="AK112" s="132"/>
      <c r="AL112" s="132"/>
      <c r="AM112" s="132"/>
      <c r="AN112" s="260"/>
      <c r="AO112" s="132"/>
      <c r="AP112" s="132"/>
      <c r="AQ112" s="132"/>
      <c r="AR112" s="132"/>
      <c r="AS112" s="132"/>
      <c r="AT112" s="257"/>
      <c r="AU112" s="133"/>
    </row>
    <row r="113" spans="2:47" x14ac:dyDescent="0.2">
      <c r="B113" s="59"/>
      <c r="C113" s="59"/>
      <c r="D113" s="60"/>
      <c r="E113" s="276"/>
      <c r="F113" s="276"/>
      <c r="G113" s="276"/>
      <c r="H113" s="276"/>
      <c r="I113" s="276"/>
      <c r="J113" s="276"/>
      <c r="K113" s="276"/>
      <c r="L113" s="276"/>
      <c r="M113" s="276"/>
      <c r="N113" s="276"/>
      <c r="O113" s="276"/>
      <c r="P113" s="276"/>
      <c r="Q113" s="276"/>
      <c r="R113" s="276"/>
      <c r="S113" s="276"/>
      <c r="T113" s="60"/>
      <c r="U113" s="60"/>
      <c r="V113" s="60"/>
      <c r="W113" s="60"/>
      <c r="X113" s="60"/>
      <c r="Y113" s="60"/>
      <c r="Z113" s="114"/>
      <c r="AB113" s="242"/>
      <c r="AC113" s="60"/>
      <c r="AD113" s="60"/>
      <c r="AE113" s="60"/>
      <c r="AF113" s="132"/>
      <c r="AG113" s="257"/>
      <c r="AH113" s="132"/>
      <c r="AI113" s="132"/>
      <c r="AJ113" s="132"/>
      <c r="AK113" s="132"/>
      <c r="AL113" s="132"/>
      <c r="AM113" s="132"/>
      <c r="AN113" s="260"/>
      <c r="AO113" s="132"/>
      <c r="AP113" s="132"/>
      <c r="AQ113" s="132"/>
      <c r="AR113" s="132"/>
      <c r="AS113" s="132"/>
      <c r="AT113" s="257"/>
      <c r="AU113" s="114"/>
    </row>
    <row r="114" spans="2:47" ht="15" customHeight="1" x14ac:dyDescent="0.2">
      <c r="B114" s="59"/>
      <c r="C114" s="59"/>
      <c r="D114" s="60"/>
      <c r="E114" s="276"/>
      <c r="F114" s="276"/>
      <c r="G114" s="276"/>
      <c r="H114" s="276"/>
      <c r="I114" s="276"/>
      <c r="J114" s="276"/>
      <c r="K114" s="276"/>
      <c r="L114" s="276"/>
      <c r="M114" s="276"/>
      <c r="N114" s="276"/>
      <c r="O114" s="276"/>
      <c r="P114" s="276"/>
      <c r="Q114" s="276"/>
      <c r="R114" s="275" t="str">
        <f>'Sprachen &amp; Rückgabewerte'!H149</f>
        <v>Rinnenanschluss:</v>
      </c>
      <c r="S114" s="276"/>
      <c r="T114" s="668"/>
      <c r="U114" s="669"/>
      <c r="V114" s="60"/>
      <c r="W114" s="60"/>
      <c r="X114" s="60"/>
      <c r="Y114" s="60"/>
      <c r="Z114" s="114"/>
      <c r="AB114" s="242"/>
      <c r="AC114" s="60"/>
      <c r="AD114" s="60"/>
      <c r="AE114" s="60"/>
      <c r="AF114" s="132"/>
      <c r="AG114" s="257"/>
      <c r="AH114" s="132"/>
      <c r="AI114" s="132"/>
      <c r="AJ114" s="132"/>
      <c r="AK114" s="132"/>
      <c r="AL114" s="132"/>
      <c r="AM114" s="132"/>
      <c r="AN114" s="260"/>
      <c r="AO114" s="132"/>
      <c r="AP114" s="132"/>
      <c r="AQ114" s="132"/>
      <c r="AR114" s="132"/>
      <c r="AS114" s="132"/>
      <c r="AT114" s="257"/>
      <c r="AU114" s="114"/>
    </row>
    <row r="115" spans="2:47" x14ac:dyDescent="0.2">
      <c r="B115" s="59"/>
      <c r="C115" s="59"/>
      <c r="D115" s="60"/>
      <c r="E115" s="60"/>
      <c r="F115" s="60"/>
      <c r="G115" s="60"/>
      <c r="H115" s="60"/>
      <c r="I115" s="60"/>
      <c r="J115" s="60"/>
      <c r="K115" s="60"/>
      <c r="L115" s="60"/>
      <c r="M115" s="60"/>
      <c r="N115" s="60"/>
      <c r="O115" s="60"/>
      <c r="P115" s="60"/>
      <c r="Q115" s="60"/>
      <c r="R115" s="60"/>
      <c r="S115" s="60"/>
      <c r="T115" s="60"/>
      <c r="U115" s="60"/>
      <c r="V115" s="60"/>
      <c r="W115" s="60"/>
      <c r="X115" s="60"/>
      <c r="Y115" s="60"/>
      <c r="Z115" s="114"/>
      <c r="AA115" s="60"/>
      <c r="AB115" s="242"/>
      <c r="AC115" s="60"/>
      <c r="AD115" s="60"/>
      <c r="AE115" s="60"/>
      <c r="AF115" s="60"/>
      <c r="AG115" s="257"/>
      <c r="AH115" s="132"/>
      <c r="AI115" s="132"/>
      <c r="AJ115" s="132"/>
      <c r="AK115" s="132"/>
      <c r="AL115" s="132"/>
      <c r="AM115" s="132"/>
      <c r="AN115" s="260"/>
      <c r="AO115" s="60"/>
      <c r="AP115" s="60"/>
      <c r="AQ115" s="60"/>
      <c r="AR115" s="60"/>
      <c r="AS115" s="60"/>
      <c r="AT115" s="244"/>
      <c r="AU115" s="114"/>
    </row>
    <row r="116" spans="2:47" x14ac:dyDescent="0.2">
      <c r="B116" s="59"/>
      <c r="C116" s="59"/>
      <c r="D116" s="60"/>
      <c r="E116" s="664" t="str">
        <f>IF('Sprachen &amp; Rückgabewerte'!$I$50=TRUE,'Sprachen &amp; Rückgabewerte'!$H$102,"")</f>
        <v/>
      </c>
      <c r="F116" s="664"/>
      <c r="G116" s="664"/>
      <c r="H116" s="664"/>
      <c r="I116" s="664"/>
      <c r="J116" s="664"/>
      <c r="K116" s="664"/>
      <c r="L116" s="664"/>
      <c r="M116" s="664"/>
      <c r="N116" s="664"/>
      <c r="O116" s="664"/>
      <c r="P116" s="664"/>
      <c r="Q116" s="664"/>
      <c r="R116" s="664"/>
      <c r="S116" s="60"/>
      <c r="T116" s="60"/>
      <c r="U116" s="60"/>
      <c r="V116" s="60"/>
      <c r="W116" s="60"/>
      <c r="X116" s="60"/>
      <c r="Y116" s="60"/>
      <c r="Z116" s="114"/>
      <c r="AA116" s="60"/>
      <c r="AB116" s="242"/>
      <c r="AC116" s="60"/>
      <c r="AD116" s="60"/>
      <c r="AE116" s="60"/>
      <c r="AF116" s="60"/>
      <c r="AG116" s="257"/>
      <c r="AH116" s="132"/>
      <c r="AI116" s="132"/>
      <c r="AJ116" s="132"/>
      <c r="AK116" s="132"/>
      <c r="AL116" s="132"/>
      <c r="AM116" s="132"/>
      <c r="AN116" s="260"/>
      <c r="AO116" s="60"/>
      <c r="AP116" s="60"/>
      <c r="AQ116" s="60"/>
      <c r="AR116" s="60"/>
      <c r="AS116" s="60"/>
      <c r="AT116" s="244"/>
      <c r="AU116" s="114"/>
    </row>
    <row r="117" spans="2:47" ht="12.75" customHeight="1" x14ac:dyDescent="0.2">
      <c r="B117" s="59"/>
      <c r="C117" s="59"/>
      <c r="D117" s="60"/>
      <c r="E117" s="664"/>
      <c r="F117" s="664"/>
      <c r="G117" s="664"/>
      <c r="H117" s="664"/>
      <c r="I117" s="664"/>
      <c r="J117" s="664"/>
      <c r="K117" s="664"/>
      <c r="L117" s="664"/>
      <c r="M117" s="664"/>
      <c r="N117" s="664"/>
      <c r="O117" s="664"/>
      <c r="P117" s="664"/>
      <c r="Q117" s="664"/>
      <c r="R117" s="664"/>
      <c r="S117" s="132"/>
      <c r="T117" s="132"/>
      <c r="U117" s="132"/>
      <c r="V117" s="132"/>
      <c r="W117" s="132"/>
      <c r="X117" s="132"/>
      <c r="Y117" s="132"/>
      <c r="Z117" s="133"/>
      <c r="AA117" s="132"/>
      <c r="AB117" s="260"/>
      <c r="AC117" s="132"/>
      <c r="AD117" s="132"/>
      <c r="AE117" s="132"/>
      <c r="AF117" s="132"/>
      <c r="AG117" s="257"/>
      <c r="AH117" s="132"/>
      <c r="AI117" s="132"/>
      <c r="AJ117" s="132"/>
      <c r="AK117" s="132"/>
      <c r="AL117" s="132"/>
      <c r="AM117" s="132"/>
      <c r="AN117" s="260"/>
      <c r="AO117" s="60"/>
      <c r="AP117" s="60"/>
      <c r="AQ117" s="60"/>
      <c r="AR117" s="60"/>
      <c r="AS117" s="60"/>
      <c r="AT117" s="244"/>
      <c r="AU117" s="114"/>
    </row>
    <row r="118" spans="2:47" x14ac:dyDescent="0.2">
      <c r="B118" s="59"/>
      <c r="C118" s="59"/>
      <c r="D118" s="60"/>
      <c r="E118" s="664"/>
      <c r="F118" s="664"/>
      <c r="G118" s="664"/>
      <c r="H118" s="664"/>
      <c r="I118" s="664"/>
      <c r="J118" s="664"/>
      <c r="K118" s="664"/>
      <c r="L118" s="664"/>
      <c r="M118" s="664"/>
      <c r="N118" s="664"/>
      <c r="O118" s="664"/>
      <c r="P118" s="664"/>
      <c r="Q118" s="664"/>
      <c r="R118" s="664"/>
      <c r="S118" s="60"/>
      <c r="T118" s="60"/>
      <c r="U118" s="60"/>
      <c r="V118" s="60"/>
      <c r="W118" s="60"/>
      <c r="X118" s="60"/>
      <c r="Y118" s="60"/>
      <c r="Z118" s="114"/>
      <c r="AB118" s="242"/>
      <c r="AC118" s="60"/>
      <c r="AD118" s="60"/>
      <c r="AE118" s="60"/>
      <c r="AF118" s="60"/>
      <c r="AG118" s="244"/>
      <c r="AH118" s="60"/>
      <c r="AI118" s="60"/>
      <c r="AJ118" s="60"/>
      <c r="AK118" s="60"/>
      <c r="AL118" s="60"/>
      <c r="AM118" s="60"/>
      <c r="AN118" s="242"/>
      <c r="AO118" s="60"/>
      <c r="AP118" s="60"/>
      <c r="AQ118" s="60"/>
      <c r="AR118" s="60"/>
      <c r="AS118" s="60"/>
      <c r="AT118" s="244"/>
      <c r="AU118" s="114"/>
    </row>
    <row r="119" spans="2:47" x14ac:dyDescent="0.2">
      <c r="B119" s="59"/>
      <c r="C119" s="59"/>
      <c r="D119" s="60"/>
      <c r="E119" s="60"/>
      <c r="F119" s="60"/>
      <c r="G119" s="60"/>
      <c r="H119" s="60"/>
      <c r="I119" s="60"/>
      <c r="J119" s="60"/>
      <c r="K119" s="60"/>
      <c r="L119" s="60"/>
      <c r="M119" s="60"/>
      <c r="N119" s="60"/>
      <c r="O119" s="60"/>
      <c r="P119" s="60"/>
      <c r="Q119" s="60"/>
      <c r="R119" s="60"/>
      <c r="S119" s="60"/>
      <c r="T119" s="60"/>
      <c r="U119" s="60"/>
      <c r="V119" s="60"/>
      <c r="W119" s="60"/>
      <c r="X119" s="60"/>
      <c r="Y119" s="60"/>
      <c r="Z119" s="114"/>
      <c r="AB119" s="242"/>
      <c r="AC119" s="60"/>
      <c r="AD119" s="60"/>
      <c r="AE119" s="60"/>
      <c r="AF119" s="60"/>
      <c r="AG119" s="244"/>
      <c r="AH119" s="60"/>
      <c r="AI119" s="60"/>
      <c r="AJ119" s="60"/>
      <c r="AK119" s="60"/>
      <c r="AL119" s="60"/>
      <c r="AM119" s="60"/>
      <c r="AN119" s="242"/>
      <c r="AO119" s="60"/>
      <c r="AP119" s="60"/>
      <c r="AQ119" s="60"/>
      <c r="AR119" s="60"/>
      <c r="AS119" s="60"/>
      <c r="AT119" s="244"/>
      <c r="AU119" s="114"/>
    </row>
    <row r="120" spans="2:47" ht="13.5" thickBot="1" x14ac:dyDescent="0.25">
      <c r="B120" s="59"/>
      <c r="C120" s="67"/>
      <c r="D120" s="83"/>
      <c r="E120" s="83"/>
      <c r="F120" s="83"/>
      <c r="G120" s="83"/>
      <c r="H120" s="83"/>
      <c r="I120" s="83"/>
      <c r="J120" s="83"/>
      <c r="K120" s="83"/>
      <c r="L120" s="83"/>
      <c r="M120" s="83"/>
      <c r="N120" s="83"/>
      <c r="O120" s="83"/>
      <c r="P120" s="83"/>
      <c r="Q120" s="83"/>
      <c r="R120" s="83"/>
      <c r="S120" s="83"/>
      <c r="T120" s="83"/>
      <c r="U120" s="83"/>
      <c r="V120" s="83"/>
      <c r="W120" s="83"/>
      <c r="X120" s="83"/>
      <c r="Y120" s="83"/>
      <c r="Z120" s="115"/>
      <c r="AB120" s="258"/>
      <c r="AC120" s="248"/>
      <c r="AD120" s="248"/>
      <c r="AE120" s="248"/>
      <c r="AF120" s="248"/>
      <c r="AG120" s="250"/>
      <c r="AH120" s="248"/>
      <c r="AI120" s="248"/>
      <c r="AJ120" s="248"/>
      <c r="AK120" s="248"/>
      <c r="AL120" s="248"/>
      <c r="AM120" s="248"/>
      <c r="AN120" s="258"/>
      <c r="AO120" s="248"/>
      <c r="AP120" s="248"/>
      <c r="AQ120" s="248"/>
      <c r="AR120" s="248"/>
      <c r="AS120" s="248"/>
      <c r="AT120" s="250"/>
      <c r="AU120" s="114"/>
    </row>
    <row r="121" spans="2:47" ht="13.5" thickTop="1" x14ac:dyDescent="0.2">
      <c r="B121" s="59"/>
      <c r="AU121" s="114"/>
    </row>
    <row r="122" spans="2:47" ht="12.95" customHeight="1" x14ac:dyDescent="0.2">
      <c r="B122" s="59"/>
      <c r="L122" s="60"/>
      <c r="M122" s="60"/>
      <c r="N122" s="60"/>
      <c r="O122" s="60"/>
      <c r="P122" s="60"/>
      <c r="Q122" s="60"/>
      <c r="R122" s="60"/>
      <c r="S122" s="60"/>
      <c r="T122" s="60"/>
      <c r="U122" s="60"/>
      <c r="V122" s="60"/>
      <c r="W122" s="60"/>
      <c r="X122" s="60"/>
      <c r="Y122" s="60"/>
      <c r="Z122" s="60"/>
      <c r="AA122" s="60"/>
      <c r="AB122" s="111"/>
      <c r="AC122" s="81"/>
      <c r="AD122" s="81"/>
      <c r="AE122" s="81"/>
      <c r="AF122" s="81"/>
      <c r="AG122" s="81"/>
      <c r="AH122" s="81"/>
      <c r="AI122" s="81"/>
      <c r="AJ122" s="81"/>
      <c r="AK122" s="81"/>
      <c r="AL122" s="81"/>
      <c r="AM122" s="81"/>
      <c r="AN122" s="81"/>
      <c r="AO122" s="81"/>
      <c r="AP122" s="81"/>
      <c r="AQ122" s="81"/>
      <c r="AR122" s="81"/>
      <c r="AS122" s="81"/>
      <c r="AT122" s="113"/>
      <c r="AU122" s="114"/>
    </row>
    <row r="123" spans="2:47" ht="12.95" customHeight="1" x14ac:dyDescent="0.2">
      <c r="B123" s="59"/>
      <c r="L123" s="60"/>
      <c r="M123" s="60"/>
      <c r="N123" s="60"/>
      <c r="O123" s="60"/>
      <c r="P123" s="60"/>
      <c r="Q123" s="60"/>
      <c r="R123" s="60"/>
      <c r="S123" s="60"/>
      <c r="T123" s="60"/>
      <c r="U123" s="60"/>
      <c r="V123" s="60"/>
      <c r="W123" s="60"/>
      <c r="X123" s="60"/>
      <c r="Y123" s="60"/>
      <c r="Z123" s="60"/>
      <c r="AA123" s="60"/>
      <c r="AB123" s="59"/>
      <c r="AC123" s="60"/>
      <c r="AD123" s="60"/>
      <c r="AE123" s="60"/>
      <c r="AF123" s="60"/>
      <c r="AG123" s="60"/>
      <c r="AH123" s="60"/>
      <c r="AI123" s="60"/>
      <c r="AJ123" s="60"/>
      <c r="AK123" s="60"/>
      <c r="AL123" s="60"/>
      <c r="AM123" s="60"/>
      <c r="AN123" s="60"/>
      <c r="AO123" s="60"/>
      <c r="AP123" s="60"/>
      <c r="AQ123" s="60"/>
      <c r="AR123" s="60"/>
      <c r="AS123" s="60"/>
      <c r="AT123" s="114"/>
      <c r="AU123" s="114"/>
    </row>
    <row r="124" spans="2:47" ht="12.95" customHeight="1" x14ac:dyDescent="0.2">
      <c r="B124" s="59"/>
      <c r="L124" s="60"/>
      <c r="M124" s="60"/>
      <c r="N124" s="60"/>
      <c r="O124" s="60"/>
      <c r="P124" s="60"/>
      <c r="Q124" s="60"/>
      <c r="R124" s="60"/>
      <c r="S124" s="60"/>
      <c r="T124" s="60"/>
      <c r="U124" s="60"/>
      <c r="V124" s="60"/>
      <c r="W124" s="60"/>
      <c r="X124" s="60"/>
      <c r="Y124" s="60"/>
      <c r="Z124" s="60"/>
      <c r="AA124" s="60"/>
      <c r="AB124" s="59"/>
      <c r="AC124" s="60"/>
      <c r="AD124" s="60"/>
      <c r="AE124" s="60"/>
      <c r="AF124" s="60"/>
      <c r="AG124" s="60"/>
      <c r="AH124" s="60"/>
      <c r="AI124" s="60"/>
      <c r="AJ124" s="60"/>
      <c r="AK124" s="60"/>
      <c r="AL124" s="60"/>
      <c r="AM124" s="60"/>
      <c r="AN124" s="60"/>
      <c r="AO124" s="60"/>
      <c r="AP124" s="60"/>
      <c r="AQ124" s="60"/>
      <c r="AR124" s="60"/>
      <c r="AS124" s="60"/>
      <c r="AT124" s="114"/>
      <c r="AU124" s="114"/>
    </row>
    <row r="125" spans="2:47" ht="12.95" customHeight="1" x14ac:dyDescent="0.2">
      <c r="B125" s="59"/>
      <c r="L125" s="60"/>
      <c r="M125" s="60"/>
      <c r="N125" s="60"/>
      <c r="O125" s="60"/>
      <c r="P125" s="60"/>
      <c r="Q125" s="60"/>
      <c r="R125" s="60"/>
      <c r="S125" s="60"/>
      <c r="T125" s="60"/>
      <c r="U125" s="60"/>
      <c r="V125" s="60"/>
      <c r="W125" s="60"/>
      <c r="X125" s="60"/>
      <c r="Y125" s="60"/>
      <c r="Z125" s="60"/>
      <c r="AA125" s="60"/>
      <c r="AB125" s="59"/>
      <c r="AC125" s="60"/>
      <c r="AD125" s="60"/>
      <c r="AE125" s="60"/>
      <c r="AF125" s="60"/>
      <c r="AG125" s="60"/>
      <c r="AH125" s="60"/>
      <c r="AI125" s="60"/>
      <c r="AJ125" s="60"/>
      <c r="AK125" s="60"/>
      <c r="AL125" s="60"/>
      <c r="AM125" s="60"/>
      <c r="AN125" s="60"/>
      <c r="AO125" s="60"/>
      <c r="AP125" s="60"/>
      <c r="AQ125" s="60"/>
      <c r="AR125" s="60"/>
      <c r="AS125" s="60"/>
      <c r="AT125" s="114"/>
      <c r="AU125" s="114"/>
    </row>
    <row r="126" spans="2:47" ht="12.95" customHeight="1" x14ac:dyDescent="0.2">
      <c r="B126" s="59"/>
      <c r="L126" s="60"/>
      <c r="M126" s="60"/>
      <c r="N126" s="60"/>
      <c r="O126" s="60"/>
      <c r="P126" s="60"/>
      <c r="Q126" s="60"/>
      <c r="R126" s="60"/>
      <c r="S126" s="60"/>
      <c r="T126" s="60"/>
      <c r="U126" s="60"/>
      <c r="V126" s="60"/>
      <c r="W126" s="60"/>
      <c r="X126" s="60"/>
      <c r="Y126" s="60"/>
      <c r="Z126" s="60"/>
      <c r="AA126" s="60"/>
      <c r="AB126" s="59"/>
      <c r="AC126" s="60"/>
      <c r="AD126" s="60"/>
      <c r="AE126" s="60"/>
      <c r="AF126" s="60"/>
      <c r="AG126" s="60"/>
      <c r="AH126" s="60"/>
      <c r="AI126" s="60"/>
      <c r="AJ126" s="60"/>
      <c r="AK126" s="132"/>
      <c r="AL126" s="132"/>
      <c r="AM126" s="132"/>
      <c r="AN126" s="132"/>
      <c r="AO126" s="132"/>
      <c r="AP126" s="60"/>
      <c r="AQ126" s="60"/>
      <c r="AR126" s="60"/>
      <c r="AS126" s="60"/>
      <c r="AT126" s="114"/>
      <c r="AU126" s="114"/>
    </row>
    <row r="127" spans="2:47" ht="12.95" customHeight="1" x14ac:dyDescent="0.2">
      <c r="B127" s="59"/>
      <c r="L127" s="60"/>
      <c r="M127" s="60"/>
      <c r="N127" s="60"/>
      <c r="O127" s="60"/>
      <c r="P127" s="60"/>
      <c r="Q127" s="60"/>
      <c r="R127" s="60"/>
      <c r="S127" s="60"/>
      <c r="T127" s="60"/>
      <c r="U127" s="60"/>
      <c r="V127" s="60"/>
      <c r="W127" s="60"/>
      <c r="X127" s="60"/>
      <c r="Y127" s="60"/>
      <c r="Z127" s="60"/>
      <c r="AA127" s="60"/>
      <c r="AB127" s="59"/>
      <c r="AC127" s="60"/>
      <c r="AD127" s="60"/>
      <c r="AE127" s="60"/>
      <c r="AF127" s="60"/>
      <c r="AG127" s="60"/>
      <c r="AH127" s="60"/>
      <c r="AI127" s="60"/>
      <c r="AJ127" s="60"/>
      <c r="AK127" s="132"/>
      <c r="AL127" s="132"/>
      <c r="AM127" s="132"/>
      <c r="AN127" s="132"/>
      <c r="AO127" s="132"/>
      <c r="AP127" s="60"/>
      <c r="AQ127" s="60"/>
      <c r="AR127" s="60"/>
      <c r="AS127" s="60"/>
      <c r="AT127" s="114"/>
      <c r="AU127" s="114"/>
    </row>
    <row r="128" spans="2:47" ht="12.95" customHeight="1" x14ac:dyDescent="0.2">
      <c r="B128" s="59"/>
      <c r="L128" s="60"/>
      <c r="M128" s="60"/>
      <c r="N128" s="60"/>
      <c r="O128" s="60"/>
      <c r="P128" s="60"/>
      <c r="Q128" s="60"/>
      <c r="R128" s="60"/>
      <c r="S128" s="60"/>
      <c r="T128" s="60"/>
      <c r="U128" s="60"/>
      <c r="V128" s="60"/>
      <c r="W128" s="60"/>
      <c r="X128" s="60"/>
      <c r="Y128" s="60"/>
      <c r="Z128" s="60"/>
      <c r="AA128" s="60"/>
      <c r="AB128" s="59"/>
      <c r="AC128" s="60"/>
      <c r="AD128" s="60"/>
      <c r="AE128" s="60"/>
      <c r="AF128" s="60"/>
      <c r="AG128" s="60"/>
      <c r="AH128" s="60"/>
      <c r="AI128" s="60"/>
      <c r="AJ128" s="60"/>
      <c r="AK128" s="132"/>
      <c r="AL128" s="132"/>
      <c r="AM128" s="132"/>
      <c r="AN128" s="132"/>
      <c r="AO128" s="132"/>
      <c r="AP128" s="60"/>
      <c r="AQ128" s="60"/>
      <c r="AR128" s="60"/>
      <c r="AS128" s="60"/>
      <c r="AT128" s="114"/>
      <c r="AU128" s="114"/>
    </row>
    <row r="129" spans="2:47" ht="12.95" customHeight="1" x14ac:dyDescent="0.2">
      <c r="B129" s="59"/>
      <c r="L129" s="60"/>
      <c r="M129" s="60"/>
      <c r="N129" s="60"/>
      <c r="O129" s="60"/>
      <c r="P129" s="60"/>
      <c r="Q129" s="60"/>
      <c r="R129" s="60"/>
      <c r="S129" s="60"/>
      <c r="T129" s="60"/>
      <c r="U129" s="60"/>
      <c r="V129" s="60"/>
      <c r="W129" s="60"/>
      <c r="X129" s="60"/>
      <c r="Y129" s="60"/>
      <c r="Z129" s="60"/>
      <c r="AA129" s="60"/>
      <c r="AB129" s="59"/>
      <c r="AC129" s="60"/>
      <c r="AD129" s="60"/>
      <c r="AE129" s="60"/>
      <c r="AF129" s="155"/>
      <c r="AG129" s="60"/>
      <c r="AH129" s="60"/>
      <c r="AI129" s="60"/>
      <c r="AJ129" s="60"/>
      <c r="AK129" s="132"/>
      <c r="AL129" s="132"/>
      <c r="AM129" s="132"/>
      <c r="AN129" s="132"/>
      <c r="AO129" s="132"/>
      <c r="AP129" s="60"/>
      <c r="AQ129" s="60"/>
      <c r="AR129" s="60"/>
      <c r="AS129" s="60"/>
      <c r="AT129" s="114"/>
      <c r="AU129" s="114"/>
    </row>
    <row r="130" spans="2:47" ht="12.95" customHeight="1" x14ac:dyDescent="0.2">
      <c r="B130" s="59"/>
      <c r="L130" s="60"/>
      <c r="M130" s="60"/>
      <c r="N130" s="60"/>
      <c r="O130" s="60"/>
      <c r="P130" s="60"/>
      <c r="Q130" s="60"/>
      <c r="R130" s="60"/>
      <c r="S130" s="60"/>
      <c r="T130" s="60"/>
      <c r="U130" s="60"/>
      <c r="V130" s="60"/>
      <c r="W130" s="60"/>
      <c r="X130" s="60"/>
      <c r="Y130" s="60"/>
      <c r="Z130" s="60"/>
      <c r="AA130" s="60"/>
      <c r="AB130" s="59"/>
      <c r="AC130" s="60"/>
      <c r="AD130" s="60"/>
      <c r="AE130" s="60"/>
      <c r="AF130" s="60"/>
      <c r="AG130" s="60"/>
      <c r="AH130" s="60"/>
      <c r="AI130" s="60"/>
      <c r="AJ130" s="60"/>
      <c r="AK130" s="132"/>
      <c r="AL130" s="132"/>
      <c r="AM130" s="132"/>
      <c r="AN130" s="132"/>
      <c r="AO130" s="132"/>
      <c r="AP130" s="60"/>
      <c r="AQ130" s="60"/>
      <c r="AR130" s="60"/>
      <c r="AS130" s="60"/>
      <c r="AT130" s="114"/>
      <c r="AU130" s="114"/>
    </row>
    <row r="131" spans="2:47" ht="12.95" customHeight="1" x14ac:dyDescent="0.2">
      <c r="B131" s="59"/>
      <c r="L131" s="60"/>
      <c r="M131" s="60"/>
      <c r="N131" s="60"/>
      <c r="O131" s="60"/>
      <c r="P131" s="60"/>
      <c r="Q131" s="60"/>
      <c r="R131" s="60"/>
      <c r="S131" s="60"/>
      <c r="T131" s="60"/>
      <c r="U131" s="60"/>
      <c r="V131" s="60"/>
      <c r="W131" s="60"/>
      <c r="X131" s="60"/>
      <c r="Y131" s="60"/>
      <c r="Z131" s="60"/>
      <c r="AA131" s="60"/>
      <c r="AB131" s="59"/>
      <c r="AC131" s="60"/>
      <c r="AD131" s="60"/>
      <c r="AE131" s="215"/>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59"/>
      <c r="L132" s="60"/>
      <c r="M132" s="60"/>
      <c r="N132" s="60"/>
      <c r="O132" s="60"/>
      <c r="P132" s="60"/>
      <c r="Q132" s="60"/>
      <c r="R132" s="60"/>
      <c r="S132" s="60"/>
      <c r="T132" s="60"/>
      <c r="U132" s="60"/>
      <c r="V132" s="60"/>
      <c r="W132" s="60"/>
      <c r="X132" s="60"/>
      <c r="Y132" s="60"/>
      <c r="Z132" s="60"/>
      <c r="AA132" s="60"/>
      <c r="AB132" s="59"/>
      <c r="AC132" s="60"/>
      <c r="AD132" s="60"/>
      <c r="AE132" s="215"/>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59"/>
      <c r="L133" s="60"/>
      <c r="M133" s="60"/>
      <c r="N133" s="60"/>
      <c r="O133" s="60"/>
      <c r="P133" s="60"/>
      <c r="Q133" s="60"/>
      <c r="R133" s="60"/>
      <c r="S133" s="60"/>
      <c r="T133" s="60"/>
      <c r="U133" s="60"/>
      <c r="V133" s="60"/>
      <c r="W133" s="60"/>
      <c r="X133" s="60"/>
      <c r="Y133" s="60"/>
      <c r="Z133" s="60"/>
      <c r="AA133" s="60"/>
      <c r="AB133" s="59"/>
      <c r="AC133" s="60"/>
      <c r="AD133" s="60"/>
      <c r="AE133" s="215"/>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59"/>
      <c r="L134" s="60"/>
      <c r="M134" s="60"/>
      <c r="N134" s="60"/>
      <c r="O134" s="60"/>
      <c r="P134" s="60"/>
      <c r="Q134" s="60"/>
      <c r="R134" s="60"/>
      <c r="S134" s="60"/>
      <c r="T134" s="60"/>
      <c r="U134" s="60"/>
      <c r="V134" s="60"/>
      <c r="W134" s="60"/>
      <c r="X134" s="60"/>
      <c r="Y134" s="60"/>
      <c r="Z134" s="60"/>
      <c r="AA134" s="60"/>
      <c r="AB134" s="59"/>
      <c r="AC134" s="60"/>
      <c r="AD134" s="60"/>
      <c r="AE134" s="215"/>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59"/>
      <c r="L135" s="60"/>
      <c r="M135" s="60"/>
      <c r="N135" s="60"/>
      <c r="O135" s="60"/>
      <c r="P135" s="60"/>
      <c r="Q135" s="60"/>
      <c r="R135" s="60"/>
      <c r="S135" s="60"/>
      <c r="T135" s="60"/>
      <c r="U135" s="60"/>
      <c r="V135" s="60"/>
      <c r="W135" s="60"/>
      <c r="X135" s="60"/>
      <c r="Y135" s="60"/>
      <c r="Z135" s="60"/>
      <c r="AA135" s="60"/>
      <c r="AB135" s="67"/>
      <c r="AC135" s="83"/>
      <c r="AD135" s="83"/>
      <c r="AE135" s="271"/>
      <c r="AF135" s="136"/>
      <c r="AG135" s="136"/>
      <c r="AH135" s="136"/>
      <c r="AI135" s="136"/>
      <c r="AJ135" s="136"/>
      <c r="AK135" s="136"/>
      <c r="AL135" s="136"/>
      <c r="AM135" s="136"/>
      <c r="AN135" s="136"/>
      <c r="AO135" s="136"/>
      <c r="AP135" s="136"/>
      <c r="AQ135" s="136"/>
      <c r="AR135" s="136"/>
      <c r="AS135" s="136"/>
      <c r="AT135" s="137"/>
      <c r="AU135" s="114"/>
    </row>
    <row r="136" spans="2:47" x14ac:dyDescent="0.2">
      <c r="B136" s="67"/>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115"/>
    </row>
    <row r="137" spans="2:47" x14ac:dyDescent="0.2">
      <c r="AE137" s="211"/>
      <c r="AF137" s="132"/>
      <c r="AG137" s="132"/>
      <c r="AH137" s="132"/>
      <c r="AI137" s="132"/>
      <c r="AJ137" s="132"/>
      <c r="AK137" s="132"/>
      <c r="AL137" s="132"/>
      <c r="AM137" s="132"/>
      <c r="AN137" s="132"/>
      <c r="AO137" s="132"/>
      <c r="AP137" s="132"/>
      <c r="AQ137" s="132"/>
      <c r="AR137" s="132"/>
      <c r="AS137" s="132"/>
      <c r="AT137" s="132"/>
    </row>
    <row r="138" spans="2:47" x14ac:dyDescent="0.2">
      <c r="AE138" s="211"/>
      <c r="AF138" s="132"/>
      <c r="AG138" s="132"/>
      <c r="AH138" s="132"/>
      <c r="AI138" s="132"/>
      <c r="AJ138" s="132"/>
      <c r="AK138" s="132"/>
      <c r="AL138" s="132"/>
      <c r="AM138" s="132"/>
      <c r="AN138" s="132"/>
      <c r="AO138" s="132"/>
      <c r="AP138" s="132"/>
      <c r="AQ138" s="132"/>
      <c r="AR138" s="132"/>
      <c r="AS138" s="132"/>
      <c r="AT138" s="132"/>
    </row>
    <row r="139" spans="2:47" x14ac:dyDescent="0.2">
      <c r="AE139" s="211"/>
      <c r="AF139" s="132"/>
      <c r="AG139" s="132"/>
      <c r="AH139" s="132"/>
      <c r="AI139" s="132"/>
      <c r="AJ139" s="132"/>
      <c r="AK139" s="132"/>
      <c r="AL139" s="132"/>
      <c r="AM139" s="132"/>
      <c r="AN139" s="132"/>
      <c r="AO139" s="132"/>
      <c r="AP139" s="132"/>
      <c r="AQ139" s="132"/>
      <c r="AR139" s="132"/>
      <c r="AS139" s="132"/>
      <c r="AT139" s="132"/>
    </row>
    <row r="140" spans="2:47" x14ac:dyDescent="0.2">
      <c r="AE140" s="211"/>
      <c r="AF140" s="132"/>
      <c r="AG140" s="132"/>
      <c r="AH140" s="132"/>
      <c r="AI140" s="132"/>
      <c r="AJ140" s="132"/>
      <c r="AK140" s="132"/>
      <c r="AL140" s="132"/>
      <c r="AM140" s="132"/>
      <c r="AN140" s="132"/>
      <c r="AO140" s="132"/>
      <c r="AP140" s="132"/>
      <c r="AQ140" s="132"/>
      <c r="AR140" s="132"/>
      <c r="AS140" s="132"/>
      <c r="AT140" s="132"/>
    </row>
    <row r="141" spans="2:47" x14ac:dyDescent="0.2">
      <c r="AE141" s="211"/>
      <c r="AF141" s="132"/>
      <c r="AG141" s="132"/>
      <c r="AH141" s="132"/>
      <c r="AI141" s="132"/>
      <c r="AJ141" s="132"/>
      <c r="AK141" s="132"/>
      <c r="AL141" s="132"/>
      <c r="AM141" s="132"/>
      <c r="AN141" s="132"/>
      <c r="AO141" s="132"/>
      <c r="AP141" s="132"/>
      <c r="AQ141" s="132"/>
      <c r="AR141" s="132"/>
      <c r="AS141" s="132"/>
      <c r="AT141" s="132"/>
    </row>
    <row r="142" spans="2:47" x14ac:dyDescent="0.2">
      <c r="AE142" s="211"/>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1"/>
      <c r="AF143" s="132"/>
      <c r="AG143" s="132"/>
      <c r="AH143" s="132"/>
      <c r="AI143" s="132"/>
      <c r="AJ143" s="132"/>
      <c r="AK143" s="132"/>
      <c r="AL143" s="132"/>
      <c r="AM143" s="132"/>
      <c r="AN143" s="132"/>
      <c r="AO143" s="132"/>
      <c r="AP143" s="132"/>
      <c r="AQ143" s="132"/>
      <c r="AR143" s="132"/>
      <c r="AS143" s="132"/>
      <c r="AT143" s="132"/>
    </row>
    <row r="144" spans="2:47" x14ac:dyDescent="0.2">
      <c r="AE144" s="211"/>
      <c r="AG144" s="132"/>
      <c r="AH144" s="132"/>
      <c r="AI144" s="132"/>
      <c r="AJ144" s="132"/>
      <c r="AK144" s="132"/>
      <c r="AL144" s="132"/>
      <c r="AM144" s="132"/>
      <c r="AN144" s="132"/>
      <c r="AO144" s="132"/>
    </row>
    <row r="145" spans="24:47" x14ac:dyDescent="0.2">
      <c r="AE145" s="211"/>
      <c r="AF145" s="132"/>
      <c r="AG145" s="132"/>
      <c r="AH145" s="132"/>
      <c r="AI145" s="132"/>
      <c r="AJ145" s="132"/>
      <c r="AK145" s="132"/>
      <c r="AL145" s="132"/>
      <c r="AM145" s="132"/>
      <c r="AN145" s="132"/>
      <c r="AO145" s="132"/>
      <c r="AP145" s="132"/>
      <c r="AQ145" s="132"/>
      <c r="AR145" s="132"/>
      <c r="AS145" s="132"/>
      <c r="AT145" s="132"/>
    </row>
    <row r="146" spans="24:47" x14ac:dyDescent="0.2">
      <c r="AE146" s="211"/>
      <c r="AF146" s="132"/>
      <c r="AG146" s="132"/>
      <c r="AH146" s="132"/>
      <c r="AI146" s="132"/>
      <c r="AJ146" s="132"/>
      <c r="AK146" s="132"/>
      <c r="AL146" s="132"/>
      <c r="AM146" s="132"/>
      <c r="AN146" s="132"/>
      <c r="AO146" s="132"/>
      <c r="AP146" s="132"/>
      <c r="AQ146" s="132"/>
      <c r="AR146" s="132"/>
      <c r="AS146" s="132"/>
      <c r="AT146" s="132"/>
      <c r="AU146" s="212"/>
    </row>
    <row r="147" spans="24:47" x14ac:dyDescent="0.2">
      <c r="AE147" s="211"/>
      <c r="AF147" s="132"/>
      <c r="AG147" s="132"/>
      <c r="AH147" s="132"/>
      <c r="AI147" s="132"/>
      <c r="AJ147" s="132"/>
      <c r="AK147" s="132"/>
      <c r="AL147" s="132"/>
      <c r="AM147" s="132"/>
      <c r="AN147" s="132"/>
      <c r="AO147" s="132"/>
      <c r="AP147" s="132"/>
      <c r="AQ147" s="132"/>
      <c r="AR147" s="132"/>
      <c r="AS147" s="132"/>
      <c r="AT147" s="132"/>
      <c r="AU147" s="212"/>
    </row>
    <row r="148" spans="24:47" x14ac:dyDescent="0.2">
      <c r="AE148" s="211"/>
      <c r="AF148" s="132"/>
      <c r="AG148" s="132"/>
      <c r="AH148" s="132"/>
      <c r="AI148" s="132"/>
      <c r="AJ148" s="132"/>
      <c r="AK148" s="132"/>
      <c r="AL148" s="132"/>
      <c r="AM148" s="132"/>
      <c r="AN148" s="132"/>
      <c r="AO148" s="132"/>
      <c r="AP148" s="132"/>
      <c r="AQ148" s="132"/>
      <c r="AR148" s="132"/>
      <c r="AS148" s="132"/>
      <c r="AT148" s="132"/>
      <c r="AU148" s="212"/>
    </row>
    <row r="149" spans="24:47" x14ac:dyDescent="0.2">
      <c r="AE149" s="211"/>
      <c r="AF149" s="132"/>
      <c r="AG149" s="132"/>
      <c r="AH149" s="132"/>
      <c r="AI149" s="132"/>
      <c r="AJ149" s="132"/>
      <c r="AK149" s="132"/>
      <c r="AL149" s="132"/>
      <c r="AM149" s="132"/>
      <c r="AN149" s="132"/>
      <c r="AO149" s="132"/>
      <c r="AP149" s="132"/>
      <c r="AQ149" s="132"/>
      <c r="AR149" s="132"/>
      <c r="AS149" s="132"/>
      <c r="AT149" s="132"/>
      <c r="AU149" s="212"/>
    </row>
    <row r="150" spans="24:47" x14ac:dyDescent="0.2">
      <c r="AE150" s="211"/>
      <c r="AF150" s="132"/>
      <c r="AG150" s="132"/>
      <c r="AH150" s="132"/>
      <c r="AI150" s="132"/>
      <c r="AJ150" s="132"/>
      <c r="AK150" s="132"/>
      <c r="AL150" s="132"/>
      <c r="AM150" s="132"/>
      <c r="AN150" s="132"/>
      <c r="AO150" s="132"/>
      <c r="AP150" s="132"/>
      <c r="AQ150" s="132"/>
      <c r="AR150" s="132"/>
      <c r="AS150" s="132"/>
      <c r="AT150" s="132"/>
      <c r="AU150" s="212"/>
    </row>
    <row r="151" spans="24:47" x14ac:dyDescent="0.2">
      <c r="AE151" s="211"/>
      <c r="AF151" s="132"/>
      <c r="AG151" s="132"/>
      <c r="AH151" s="132"/>
      <c r="AI151" s="132"/>
      <c r="AJ151" s="132"/>
      <c r="AK151" s="132"/>
      <c r="AL151" s="132"/>
      <c r="AM151" s="132"/>
      <c r="AN151" s="132"/>
      <c r="AO151" s="132"/>
      <c r="AP151" s="132"/>
      <c r="AQ151" s="132"/>
      <c r="AR151" s="132"/>
      <c r="AS151" s="132"/>
      <c r="AT151" s="132"/>
      <c r="AU151" s="212"/>
    </row>
    <row r="152" spans="24:47" x14ac:dyDescent="0.2">
      <c r="AE152" s="211"/>
      <c r="AF152" s="132"/>
      <c r="AG152" s="132"/>
      <c r="AH152" s="132"/>
      <c r="AI152" s="132"/>
      <c r="AJ152" s="132"/>
      <c r="AK152" s="132"/>
      <c r="AL152" s="132"/>
      <c r="AM152" s="132"/>
      <c r="AN152" s="132"/>
      <c r="AO152" s="132"/>
      <c r="AP152" s="132"/>
      <c r="AQ152" s="132"/>
      <c r="AR152" s="132"/>
      <c r="AS152" s="132"/>
      <c r="AT152" s="132"/>
      <c r="AU152" s="212"/>
    </row>
    <row r="153" spans="24:47" x14ac:dyDescent="0.2">
      <c r="AE153" s="211"/>
      <c r="AF153" s="132"/>
      <c r="AG153" s="132"/>
      <c r="AH153" s="132"/>
      <c r="AI153" s="132"/>
      <c r="AJ153" s="132"/>
      <c r="AK153" s="132"/>
      <c r="AL153" s="132"/>
      <c r="AM153" s="132"/>
      <c r="AN153" s="132"/>
      <c r="AO153" s="132"/>
      <c r="AP153" s="132"/>
      <c r="AQ153" s="132"/>
      <c r="AR153" s="132"/>
      <c r="AS153" s="132"/>
      <c r="AT153" s="132"/>
      <c r="AU153" s="212"/>
    </row>
    <row r="154" spans="24:47" x14ac:dyDescent="0.2">
      <c r="AE154" s="211"/>
      <c r="AF154" s="132"/>
      <c r="AG154" s="132"/>
      <c r="AH154" s="132"/>
      <c r="AI154" s="132"/>
      <c r="AJ154" s="132"/>
      <c r="AK154" s="132"/>
      <c r="AL154" s="132"/>
      <c r="AM154" s="132"/>
      <c r="AN154" s="132"/>
      <c r="AO154" s="132"/>
      <c r="AP154" s="132"/>
      <c r="AQ154" s="132"/>
      <c r="AR154" s="132"/>
      <c r="AS154" s="132"/>
      <c r="AT154" s="132"/>
      <c r="AU154" s="212"/>
    </row>
    <row r="155" spans="24:47" x14ac:dyDescent="0.2">
      <c r="AE155" s="211"/>
      <c r="AF155" s="132"/>
      <c r="AG155" s="132"/>
      <c r="AH155" s="132"/>
      <c r="AI155" s="132"/>
      <c r="AJ155" s="132"/>
      <c r="AK155" s="132"/>
      <c r="AL155" s="132"/>
      <c r="AM155" s="132"/>
      <c r="AN155" s="132"/>
      <c r="AO155" s="132"/>
      <c r="AP155" s="132"/>
      <c r="AQ155" s="132"/>
      <c r="AR155" s="132"/>
      <c r="AS155" s="132"/>
      <c r="AT155" s="132"/>
      <c r="AU155" s="212"/>
    </row>
    <row r="156" spans="24:47" x14ac:dyDescent="0.2">
      <c r="AE156" s="211"/>
      <c r="AF156" s="132"/>
      <c r="AG156" s="132"/>
      <c r="AH156" s="132"/>
      <c r="AI156" s="132"/>
      <c r="AJ156" s="132"/>
      <c r="AK156" s="132"/>
      <c r="AL156" s="132"/>
      <c r="AM156" s="132"/>
      <c r="AN156" s="132"/>
      <c r="AO156" s="132"/>
      <c r="AP156" s="132"/>
      <c r="AQ156" s="132"/>
      <c r="AR156" s="132"/>
      <c r="AS156" s="132"/>
      <c r="AT156" s="132"/>
      <c r="AU156" s="212"/>
    </row>
    <row r="157" spans="24:47" x14ac:dyDescent="0.2">
      <c r="AE157" s="211"/>
      <c r="AF157" s="132"/>
      <c r="AG157" s="132"/>
      <c r="AH157" s="132"/>
      <c r="AI157" s="132"/>
      <c r="AJ157" s="132"/>
      <c r="AK157" s="132"/>
      <c r="AL157" s="132"/>
      <c r="AM157" s="132"/>
      <c r="AN157" s="132"/>
      <c r="AO157" s="132"/>
      <c r="AP157" s="132"/>
      <c r="AQ157" s="132"/>
      <c r="AR157" s="132"/>
      <c r="AS157" s="132"/>
      <c r="AT157" s="132"/>
      <c r="AU157" s="212"/>
    </row>
    <row r="158" spans="24:47" ht="15" customHeight="1" x14ac:dyDescent="0.2">
      <c r="X158" s="132"/>
      <c r="Y158" s="132"/>
      <c r="AE158" s="211"/>
      <c r="AF158" s="212"/>
      <c r="AG158" s="212"/>
      <c r="AH158" s="212"/>
      <c r="AI158" s="212"/>
      <c r="AJ158" s="212"/>
      <c r="AK158" s="212"/>
      <c r="AL158" s="212"/>
      <c r="AM158" s="212"/>
      <c r="AN158" s="212"/>
      <c r="AO158" s="212"/>
      <c r="AP158" s="212"/>
      <c r="AQ158" s="212"/>
      <c r="AR158" s="212"/>
      <c r="AS158" s="212"/>
      <c r="AT158" s="212"/>
      <c r="AU158" s="212"/>
    </row>
    <row r="159" spans="24:47" x14ac:dyDescent="0.2">
      <c r="AE159" s="211"/>
      <c r="AF159" s="132"/>
      <c r="AG159" s="132"/>
      <c r="AH159" s="132"/>
      <c r="AI159" s="132"/>
      <c r="AJ159" s="132"/>
      <c r="AK159" s="132"/>
      <c r="AL159" s="132"/>
      <c r="AM159" s="132"/>
      <c r="AN159" s="132"/>
      <c r="AO159" s="132"/>
      <c r="AP159" s="132"/>
      <c r="AQ159" s="132"/>
      <c r="AR159" s="132"/>
      <c r="AS159" s="132"/>
      <c r="AT159" s="132"/>
      <c r="AU159" s="212"/>
    </row>
    <row r="160" spans="24:47" x14ac:dyDescent="0.2">
      <c r="AE160" s="211"/>
      <c r="AF160" s="132"/>
      <c r="AG160" s="132"/>
      <c r="AH160" s="132"/>
      <c r="AI160" s="132"/>
      <c r="AJ160" s="132"/>
      <c r="AK160" s="132"/>
      <c r="AL160" s="132"/>
      <c r="AM160" s="132"/>
      <c r="AN160" s="132"/>
      <c r="AO160" s="132"/>
      <c r="AP160" s="132"/>
      <c r="AQ160" s="132"/>
      <c r="AR160" s="132"/>
      <c r="AS160" s="132"/>
      <c r="AT160" s="132"/>
      <c r="AU160" s="212"/>
    </row>
    <row r="161" spans="24:47" x14ac:dyDescent="0.2">
      <c r="AE161" s="211"/>
      <c r="AF161" s="132"/>
      <c r="AG161" s="132"/>
      <c r="AH161" s="132"/>
      <c r="AI161" s="132"/>
      <c r="AJ161" s="132"/>
      <c r="AK161" s="132"/>
      <c r="AL161" s="132"/>
      <c r="AM161" s="132"/>
      <c r="AN161" s="132"/>
      <c r="AO161" s="132"/>
      <c r="AP161" s="132"/>
      <c r="AQ161" s="132"/>
      <c r="AR161" s="132"/>
      <c r="AS161" s="132"/>
      <c r="AT161" s="132"/>
      <c r="AU161" s="212"/>
    </row>
    <row r="162" spans="24:47" x14ac:dyDescent="0.2">
      <c r="AE162" s="211"/>
      <c r="AF162" s="132"/>
      <c r="AG162" s="132"/>
      <c r="AH162" s="132"/>
      <c r="AI162" s="132"/>
      <c r="AJ162" s="132"/>
      <c r="AK162" s="132"/>
      <c r="AL162" s="132"/>
      <c r="AM162" s="132"/>
      <c r="AN162" s="132"/>
      <c r="AO162" s="132"/>
      <c r="AP162" s="132"/>
      <c r="AQ162" s="132"/>
      <c r="AR162" s="132"/>
      <c r="AS162" s="132"/>
      <c r="AT162" s="132"/>
      <c r="AU162" s="212"/>
    </row>
    <row r="163" spans="24:47" x14ac:dyDescent="0.2">
      <c r="AE163" s="211"/>
      <c r="AF163" s="132"/>
      <c r="AG163" s="132"/>
      <c r="AH163" s="132"/>
      <c r="AI163" s="132"/>
      <c r="AJ163" s="132"/>
      <c r="AK163" s="132"/>
      <c r="AL163" s="132"/>
      <c r="AM163" s="132"/>
      <c r="AN163" s="132"/>
      <c r="AO163" s="132"/>
      <c r="AP163" s="132"/>
      <c r="AQ163" s="132"/>
      <c r="AR163" s="132"/>
      <c r="AS163" s="132"/>
      <c r="AT163" s="132"/>
      <c r="AU163" s="212"/>
    </row>
    <row r="164" spans="24:47" x14ac:dyDescent="0.2">
      <c r="AE164" s="211"/>
      <c r="AF164" s="132"/>
      <c r="AG164" s="132"/>
      <c r="AH164" s="132"/>
      <c r="AI164" s="132"/>
      <c r="AJ164" s="132"/>
      <c r="AK164" s="132"/>
      <c r="AL164" s="132"/>
      <c r="AM164" s="132"/>
      <c r="AN164" s="132"/>
      <c r="AO164" s="132"/>
      <c r="AP164" s="132"/>
      <c r="AQ164" s="132"/>
      <c r="AR164" s="132"/>
      <c r="AS164" s="132"/>
      <c r="AT164" s="132"/>
      <c r="AU164" s="212"/>
    </row>
    <row r="165" spans="24:47" x14ac:dyDescent="0.2">
      <c r="AE165" s="211"/>
      <c r="AF165" s="132"/>
      <c r="AG165" s="132"/>
      <c r="AH165" s="132"/>
      <c r="AI165" s="132"/>
      <c r="AJ165" s="132"/>
      <c r="AK165" s="132"/>
      <c r="AL165" s="132"/>
      <c r="AM165" s="132"/>
      <c r="AN165" s="132"/>
      <c r="AO165" s="132"/>
      <c r="AP165" s="132"/>
      <c r="AQ165" s="132"/>
      <c r="AR165" s="132"/>
      <c r="AS165" s="132"/>
      <c r="AT165" s="132"/>
      <c r="AU165" s="212"/>
    </row>
    <row r="166" spans="24:47" x14ac:dyDescent="0.2">
      <c r="AE166" s="211"/>
      <c r="AF166" s="132"/>
      <c r="AG166" s="132"/>
      <c r="AH166" s="132"/>
      <c r="AI166" s="132"/>
      <c r="AJ166" s="132"/>
      <c r="AK166" s="132"/>
      <c r="AL166" s="132"/>
      <c r="AM166" s="132"/>
      <c r="AN166" s="132"/>
      <c r="AO166" s="132"/>
      <c r="AP166" s="132"/>
      <c r="AQ166" s="132"/>
      <c r="AR166" s="132"/>
      <c r="AS166" s="132"/>
      <c r="AT166" s="132"/>
    </row>
    <row r="167" spans="24:47" x14ac:dyDescent="0.2">
      <c r="AE167" s="211"/>
      <c r="AF167" s="132"/>
      <c r="AG167" s="132"/>
      <c r="AH167" s="132"/>
      <c r="AI167" s="132"/>
      <c r="AJ167" s="132"/>
      <c r="AK167" s="132"/>
      <c r="AL167" s="132"/>
      <c r="AM167" s="132"/>
      <c r="AN167" s="132"/>
      <c r="AO167" s="132"/>
      <c r="AP167" s="132"/>
      <c r="AQ167" s="132"/>
      <c r="AR167" s="132"/>
      <c r="AS167" s="132"/>
      <c r="AT167" s="132"/>
    </row>
    <row r="168" spans="24:47" x14ac:dyDescent="0.2">
      <c r="AE168" s="211"/>
      <c r="AF168" s="132"/>
      <c r="AG168" s="132"/>
      <c r="AH168" s="132"/>
      <c r="AI168" s="132"/>
      <c r="AJ168" s="132"/>
      <c r="AK168" s="132"/>
      <c r="AL168" s="132"/>
      <c r="AM168" s="132"/>
      <c r="AN168" s="132"/>
      <c r="AO168" s="132"/>
      <c r="AP168" s="132"/>
      <c r="AQ168" s="132"/>
      <c r="AR168" s="132"/>
      <c r="AS168" s="132"/>
      <c r="AT168" s="132"/>
    </row>
    <row r="169" spans="24:47" x14ac:dyDescent="0.2">
      <c r="AE169" s="211"/>
      <c r="AF169" s="132"/>
      <c r="AG169" s="132"/>
      <c r="AH169" s="132"/>
      <c r="AI169" s="132"/>
      <c r="AJ169" s="132"/>
      <c r="AK169" s="132"/>
      <c r="AL169" s="132"/>
      <c r="AM169" s="132"/>
      <c r="AN169" s="132"/>
      <c r="AO169" s="132"/>
      <c r="AP169" s="132"/>
      <c r="AQ169" s="132"/>
      <c r="AR169" s="132"/>
      <c r="AS169" s="132"/>
      <c r="AT169" s="132"/>
    </row>
    <row r="170" spans="24:47" x14ac:dyDescent="0.2">
      <c r="AE170" s="211"/>
      <c r="AF170" s="132"/>
      <c r="AG170" s="132"/>
      <c r="AH170" s="132"/>
      <c r="AI170" s="132"/>
      <c r="AJ170" s="132"/>
      <c r="AK170" s="132"/>
      <c r="AL170" s="132"/>
      <c r="AM170" s="132"/>
      <c r="AN170" s="132"/>
      <c r="AO170" s="132"/>
      <c r="AP170" s="132"/>
      <c r="AQ170" s="132"/>
      <c r="AR170" s="132"/>
      <c r="AS170" s="132"/>
      <c r="AT170" s="132"/>
    </row>
    <row r="171" spans="24:47" x14ac:dyDescent="0.2">
      <c r="AE171" s="211"/>
      <c r="AF171" s="132"/>
      <c r="AG171" s="132"/>
      <c r="AH171" s="132"/>
      <c r="AI171" s="132"/>
      <c r="AJ171" s="132"/>
      <c r="AK171" s="132"/>
      <c r="AL171" s="132"/>
      <c r="AM171" s="132"/>
      <c r="AN171" s="132"/>
      <c r="AO171" s="132"/>
      <c r="AP171" s="132"/>
      <c r="AQ171" s="132"/>
      <c r="AR171" s="132"/>
      <c r="AS171" s="132"/>
      <c r="AT171" s="132"/>
    </row>
    <row r="172" spans="24:47" x14ac:dyDescent="0.2">
      <c r="AE172" s="211"/>
      <c r="AG172" s="132"/>
      <c r="AH172" s="132"/>
      <c r="AI172" s="132"/>
      <c r="AJ172" s="132"/>
      <c r="AK172" s="132"/>
      <c r="AL172" s="132"/>
      <c r="AM172" s="132"/>
      <c r="AN172" s="132"/>
    </row>
    <row r="173" spans="24:47" ht="15" customHeight="1" x14ac:dyDescent="0.2">
      <c r="X173" s="132"/>
      <c r="Y173" s="132"/>
      <c r="AE173" s="211"/>
      <c r="AF173" s="132"/>
      <c r="AG173" s="132"/>
      <c r="AH173" s="132"/>
      <c r="AI173" s="132"/>
      <c r="AJ173" s="132"/>
      <c r="AK173" s="132"/>
      <c r="AL173" s="132"/>
      <c r="AM173" s="132"/>
      <c r="AN173" s="132"/>
      <c r="AO173" s="132"/>
      <c r="AP173" s="132"/>
      <c r="AQ173" s="132"/>
      <c r="AR173" s="132"/>
      <c r="AS173" s="132"/>
      <c r="AT173" s="132"/>
    </row>
    <row r="174" spans="24:47" x14ac:dyDescent="0.2">
      <c r="AE174" s="211"/>
      <c r="AF174" s="132"/>
      <c r="AG174" s="132"/>
      <c r="AH174" s="132"/>
      <c r="AI174" s="132"/>
      <c r="AJ174" s="132"/>
      <c r="AK174" s="132"/>
      <c r="AL174" s="132"/>
      <c r="AM174" s="132"/>
      <c r="AN174" s="132"/>
      <c r="AO174" s="132"/>
      <c r="AP174" s="132"/>
      <c r="AQ174" s="132"/>
      <c r="AR174" s="132"/>
      <c r="AS174" s="132"/>
      <c r="AT174" s="132"/>
    </row>
    <row r="175" spans="24:47" x14ac:dyDescent="0.2">
      <c r="AE175" s="211"/>
      <c r="AF175" s="132"/>
      <c r="AG175" s="132"/>
      <c r="AH175" s="132"/>
      <c r="AI175" s="132"/>
      <c r="AJ175" s="132"/>
      <c r="AK175" s="132"/>
      <c r="AL175" s="132"/>
      <c r="AM175" s="132"/>
      <c r="AN175" s="132"/>
      <c r="AO175" s="132"/>
      <c r="AP175" s="132"/>
      <c r="AQ175" s="132"/>
      <c r="AR175" s="132"/>
      <c r="AS175" s="132"/>
      <c r="AT175" s="132"/>
    </row>
    <row r="176" spans="24:47" x14ac:dyDescent="0.2">
      <c r="AE176" s="211"/>
      <c r="AF176" s="132"/>
      <c r="AG176" s="132"/>
      <c r="AH176" s="132"/>
      <c r="AI176" s="132"/>
      <c r="AJ176" s="132"/>
      <c r="AK176" s="132"/>
      <c r="AL176" s="132"/>
      <c r="AM176" s="132"/>
      <c r="AN176" s="132"/>
      <c r="AO176" s="132"/>
      <c r="AP176" s="132"/>
      <c r="AQ176" s="132"/>
      <c r="AR176" s="132"/>
      <c r="AS176" s="132"/>
      <c r="AT176" s="132"/>
    </row>
    <row r="177" spans="31:46" x14ac:dyDescent="0.2">
      <c r="AE177" s="211"/>
      <c r="AF177" s="132"/>
      <c r="AG177" s="132"/>
      <c r="AH177" s="132"/>
      <c r="AI177" s="132"/>
      <c r="AJ177" s="132"/>
      <c r="AK177" s="132"/>
      <c r="AL177" s="132"/>
      <c r="AM177" s="132"/>
      <c r="AN177" s="132"/>
      <c r="AO177" s="132"/>
      <c r="AP177" s="132"/>
      <c r="AQ177" s="132"/>
      <c r="AR177" s="132"/>
      <c r="AS177" s="132"/>
      <c r="AT177" s="132"/>
    </row>
    <row r="178" spans="31:46" x14ac:dyDescent="0.2">
      <c r="AE178" s="211"/>
      <c r="AF178" s="132"/>
      <c r="AG178" s="132"/>
      <c r="AH178" s="132"/>
      <c r="AI178" s="132"/>
      <c r="AJ178" s="132"/>
      <c r="AK178" s="132"/>
      <c r="AL178" s="132"/>
      <c r="AM178" s="132"/>
      <c r="AN178" s="132"/>
      <c r="AO178" s="132"/>
      <c r="AP178" s="132"/>
      <c r="AQ178" s="132"/>
      <c r="AR178" s="132"/>
      <c r="AS178" s="132"/>
      <c r="AT178" s="132"/>
    </row>
    <row r="179" spans="31:46" x14ac:dyDescent="0.2">
      <c r="AE179" s="211"/>
      <c r="AF179" s="132"/>
      <c r="AG179" s="132"/>
      <c r="AH179" s="132"/>
      <c r="AI179" s="132"/>
      <c r="AJ179" s="132"/>
      <c r="AK179" s="132"/>
      <c r="AL179" s="132"/>
      <c r="AM179" s="132"/>
      <c r="AN179" s="132"/>
      <c r="AO179" s="132"/>
      <c r="AP179" s="132"/>
      <c r="AQ179" s="132"/>
      <c r="AR179" s="132"/>
      <c r="AS179" s="132"/>
      <c r="AT179" s="132"/>
    </row>
    <row r="180" spans="31:46" x14ac:dyDescent="0.2">
      <c r="AE180" s="211"/>
      <c r="AF180" s="132"/>
      <c r="AG180" s="132"/>
      <c r="AH180" s="132"/>
      <c r="AI180" s="132"/>
      <c r="AJ180" s="132"/>
      <c r="AK180" s="132"/>
      <c r="AL180" s="132"/>
      <c r="AM180" s="132"/>
      <c r="AN180" s="132"/>
      <c r="AO180" s="132"/>
      <c r="AP180" s="132"/>
      <c r="AQ180" s="132"/>
      <c r="AR180" s="132"/>
      <c r="AS180" s="132"/>
      <c r="AT180" s="132"/>
    </row>
    <row r="181" spans="31:46" x14ac:dyDescent="0.2">
      <c r="AE181" s="211"/>
      <c r="AF181" s="132"/>
      <c r="AG181" s="132"/>
      <c r="AH181" s="132"/>
      <c r="AI181" s="132"/>
      <c r="AJ181" s="132"/>
      <c r="AK181" s="132"/>
      <c r="AL181" s="132"/>
      <c r="AM181" s="132"/>
      <c r="AN181" s="132"/>
      <c r="AO181" s="132"/>
      <c r="AP181" s="132"/>
      <c r="AQ181" s="132"/>
      <c r="AR181" s="132"/>
      <c r="AS181" s="132"/>
      <c r="AT181" s="132"/>
    </row>
    <row r="182" spans="31:46" x14ac:dyDescent="0.2">
      <c r="AE182" s="211"/>
      <c r="AF182" s="132"/>
      <c r="AG182" s="132"/>
      <c r="AH182" s="132"/>
      <c r="AI182" s="132"/>
      <c r="AJ182" s="132"/>
      <c r="AK182" s="132"/>
      <c r="AL182" s="132"/>
      <c r="AM182" s="132"/>
      <c r="AN182" s="132"/>
      <c r="AO182" s="132"/>
      <c r="AP182" s="132"/>
      <c r="AQ182" s="132"/>
      <c r="AR182" s="132"/>
      <c r="AS182" s="132"/>
      <c r="AT182" s="132"/>
    </row>
    <row r="183" spans="31:46" x14ac:dyDescent="0.2">
      <c r="AE183" s="211"/>
      <c r="AF183" s="132"/>
      <c r="AG183" s="132"/>
      <c r="AH183" s="132"/>
      <c r="AI183" s="132"/>
      <c r="AJ183" s="132"/>
      <c r="AK183" s="132"/>
      <c r="AL183" s="132"/>
      <c r="AM183" s="132"/>
      <c r="AN183" s="132"/>
      <c r="AO183" s="132"/>
      <c r="AP183" s="132"/>
      <c r="AQ183" s="132"/>
      <c r="AR183" s="132"/>
      <c r="AS183" s="132"/>
      <c r="AT183" s="132"/>
    </row>
    <row r="184" spans="31:46" x14ac:dyDescent="0.2">
      <c r="AE184" s="211"/>
      <c r="AF184" s="132"/>
      <c r="AG184" s="132"/>
      <c r="AH184" s="132"/>
      <c r="AI184" s="132"/>
      <c r="AJ184" s="132"/>
      <c r="AK184" s="132"/>
      <c r="AL184" s="132"/>
      <c r="AM184" s="132"/>
      <c r="AN184" s="132"/>
      <c r="AO184" s="132"/>
      <c r="AP184" s="132"/>
      <c r="AQ184" s="132"/>
      <c r="AR184" s="132"/>
      <c r="AS184" s="132"/>
      <c r="AT184" s="132"/>
    </row>
    <row r="185" spans="31:46" x14ac:dyDescent="0.2">
      <c r="AE185" s="211"/>
      <c r="AF185" s="132"/>
      <c r="AG185" s="132"/>
      <c r="AH185" s="132"/>
      <c r="AI185" s="132"/>
      <c r="AJ185" s="132"/>
      <c r="AK185" s="132"/>
      <c r="AL185" s="132"/>
      <c r="AM185" s="132"/>
      <c r="AN185" s="132"/>
      <c r="AO185" s="132"/>
      <c r="AP185" s="132"/>
      <c r="AQ185" s="132"/>
      <c r="AR185" s="132"/>
      <c r="AS185" s="132"/>
      <c r="AT185" s="132"/>
    </row>
    <row r="186" spans="31:46" x14ac:dyDescent="0.2">
      <c r="AE186" s="211"/>
      <c r="AG186" s="132"/>
      <c r="AH186" s="132"/>
      <c r="AI186" s="132"/>
      <c r="AJ186" s="132"/>
      <c r="AK186" s="132"/>
      <c r="AL186" s="132"/>
      <c r="AM186" s="132"/>
      <c r="AN186" s="132"/>
    </row>
    <row r="187" spans="31:46" x14ac:dyDescent="0.2">
      <c r="AE187" s="211"/>
      <c r="AF187" s="132"/>
      <c r="AG187" s="132"/>
      <c r="AH187" s="132"/>
      <c r="AI187" s="132"/>
      <c r="AJ187" s="132"/>
      <c r="AK187" s="132"/>
      <c r="AL187" s="132"/>
      <c r="AM187" s="132"/>
      <c r="AN187" s="132"/>
      <c r="AO187" s="132"/>
      <c r="AP187" s="132"/>
      <c r="AQ187" s="132"/>
      <c r="AR187" s="132"/>
      <c r="AS187" s="132"/>
      <c r="AT187" s="132"/>
    </row>
    <row r="188" spans="31:46" x14ac:dyDescent="0.2">
      <c r="AE188" s="211"/>
      <c r="AF188" s="132"/>
      <c r="AG188" s="132"/>
      <c r="AH188" s="132"/>
      <c r="AI188" s="132"/>
      <c r="AJ188" s="132"/>
      <c r="AK188" s="132"/>
      <c r="AL188" s="132"/>
      <c r="AM188" s="132"/>
      <c r="AN188" s="132"/>
      <c r="AO188" s="132"/>
      <c r="AP188" s="132"/>
      <c r="AQ188" s="132"/>
      <c r="AR188" s="132"/>
      <c r="AS188" s="132"/>
      <c r="AT188" s="132"/>
    </row>
    <row r="189" spans="31:46" x14ac:dyDescent="0.2">
      <c r="AE189" s="211"/>
      <c r="AF189" s="132"/>
      <c r="AG189" s="132"/>
      <c r="AH189" s="132"/>
      <c r="AI189" s="132"/>
      <c r="AJ189" s="132"/>
      <c r="AK189" s="132"/>
      <c r="AL189" s="132"/>
      <c r="AM189" s="132"/>
      <c r="AN189" s="132"/>
      <c r="AO189" s="132"/>
      <c r="AP189" s="132"/>
      <c r="AQ189" s="132"/>
      <c r="AR189" s="132"/>
      <c r="AS189" s="132"/>
      <c r="AT189" s="132"/>
    </row>
    <row r="190" spans="31:46" x14ac:dyDescent="0.2">
      <c r="AE190" s="211"/>
      <c r="AF190" s="132"/>
      <c r="AG190" s="132"/>
      <c r="AH190" s="132"/>
      <c r="AI190" s="132"/>
      <c r="AJ190" s="132"/>
      <c r="AK190" s="132"/>
      <c r="AL190" s="132"/>
      <c r="AM190" s="132"/>
      <c r="AN190" s="132"/>
      <c r="AO190" s="132"/>
      <c r="AP190" s="132"/>
      <c r="AQ190" s="132"/>
      <c r="AR190" s="132"/>
      <c r="AS190" s="132"/>
      <c r="AT190" s="132"/>
    </row>
    <row r="191" spans="31:46" x14ac:dyDescent="0.2">
      <c r="AE191" s="211"/>
      <c r="AF191" s="132"/>
      <c r="AG191" s="132"/>
      <c r="AH191" s="132"/>
      <c r="AI191" s="132"/>
      <c r="AJ191" s="132"/>
      <c r="AK191" s="132"/>
      <c r="AL191" s="132"/>
      <c r="AM191" s="132"/>
      <c r="AN191" s="132"/>
      <c r="AO191" s="132"/>
      <c r="AP191" s="132"/>
      <c r="AQ191" s="132"/>
      <c r="AR191" s="132"/>
      <c r="AS191" s="132"/>
      <c r="AT191" s="132"/>
    </row>
    <row r="192" spans="31:46" x14ac:dyDescent="0.2">
      <c r="AE192" s="211"/>
      <c r="AF192" s="132"/>
      <c r="AG192" s="132"/>
      <c r="AH192" s="132"/>
      <c r="AI192" s="132"/>
      <c r="AJ192" s="132"/>
      <c r="AK192" s="132"/>
      <c r="AL192" s="132"/>
      <c r="AM192" s="132"/>
      <c r="AN192" s="132"/>
      <c r="AO192" s="132"/>
      <c r="AP192" s="132"/>
      <c r="AQ192" s="132"/>
      <c r="AR192" s="132"/>
      <c r="AS192" s="132"/>
      <c r="AT192" s="132"/>
    </row>
    <row r="193" spans="31:46" x14ac:dyDescent="0.2">
      <c r="AE193" s="211"/>
      <c r="AF193" s="132"/>
      <c r="AG193" s="132"/>
      <c r="AH193" s="132"/>
      <c r="AI193" s="132"/>
      <c r="AJ193" s="132"/>
      <c r="AK193" s="132"/>
      <c r="AL193" s="132"/>
      <c r="AM193" s="132"/>
      <c r="AN193" s="132"/>
      <c r="AO193" s="132"/>
      <c r="AP193" s="132"/>
      <c r="AQ193" s="132"/>
      <c r="AR193" s="132"/>
      <c r="AS193" s="132"/>
      <c r="AT193" s="132"/>
    </row>
    <row r="194" spans="31:46" x14ac:dyDescent="0.2">
      <c r="AE194" s="211"/>
      <c r="AF194" s="132"/>
      <c r="AG194" s="132"/>
      <c r="AH194" s="132"/>
      <c r="AI194" s="132"/>
      <c r="AJ194" s="132"/>
      <c r="AK194" s="132"/>
      <c r="AL194" s="132"/>
      <c r="AM194" s="132"/>
      <c r="AN194" s="132"/>
      <c r="AO194" s="132"/>
      <c r="AP194" s="132"/>
      <c r="AQ194" s="132"/>
      <c r="AR194" s="132"/>
      <c r="AS194" s="132"/>
      <c r="AT194" s="132"/>
    </row>
    <row r="195" spans="31:46" x14ac:dyDescent="0.2">
      <c r="AE195" s="211"/>
      <c r="AF195" s="132"/>
      <c r="AG195" s="132"/>
      <c r="AH195" s="132"/>
      <c r="AI195" s="132"/>
      <c r="AJ195" s="132"/>
      <c r="AK195" s="132"/>
      <c r="AL195" s="132"/>
      <c r="AM195" s="132"/>
      <c r="AN195" s="132"/>
      <c r="AO195" s="132"/>
      <c r="AP195" s="132"/>
      <c r="AQ195" s="132"/>
      <c r="AR195" s="132"/>
      <c r="AS195" s="132"/>
      <c r="AT195" s="132"/>
    </row>
    <row r="196" spans="31:46" x14ac:dyDescent="0.2">
      <c r="AE196" s="211"/>
      <c r="AF196" s="132"/>
      <c r="AG196" s="132"/>
      <c r="AH196" s="132"/>
      <c r="AI196" s="132"/>
      <c r="AJ196" s="132"/>
      <c r="AK196" s="132"/>
      <c r="AL196" s="132"/>
      <c r="AM196" s="132"/>
      <c r="AN196" s="132"/>
      <c r="AO196" s="132"/>
      <c r="AP196" s="132"/>
      <c r="AQ196" s="132"/>
      <c r="AR196" s="132"/>
      <c r="AS196" s="132"/>
      <c r="AT196" s="132"/>
    </row>
    <row r="197" spans="31:46" x14ac:dyDescent="0.2">
      <c r="AE197" s="211"/>
      <c r="AF197" s="132"/>
      <c r="AG197" s="132"/>
      <c r="AH197" s="132"/>
      <c r="AI197" s="132"/>
      <c r="AJ197" s="132"/>
      <c r="AK197" s="132"/>
      <c r="AL197" s="132"/>
      <c r="AM197" s="132"/>
      <c r="AN197" s="132"/>
      <c r="AO197" s="132"/>
      <c r="AP197" s="132"/>
      <c r="AQ197" s="132"/>
      <c r="AR197" s="132"/>
      <c r="AS197" s="132"/>
      <c r="AT197" s="132"/>
    </row>
    <row r="198" spans="31:46" x14ac:dyDescent="0.2">
      <c r="AE198" s="211"/>
      <c r="AF198" s="132"/>
      <c r="AG198" s="132"/>
      <c r="AH198" s="132"/>
      <c r="AI198" s="132"/>
      <c r="AJ198" s="132"/>
      <c r="AK198" s="132"/>
      <c r="AL198" s="132"/>
      <c r="AM198" s="132"/>
      <c r="AN198" s="132"/>
      <c r="AO198" s="132"/>
      <c r="AP198" s="132"/>
      <c r="AQ198" s="132"/>
      <c r="AR198" s="132"/>
      <c r="AS198" s="132"/>
      <c r="AT198" s="132"/>
    </row>
    <row r="199" spans="31:46" x14ac:dyDescent="0.2">
      <c r="AE199" s="211"/>
      <c r="AF199" s="132"/>
      <c r="AG199" s="132"/>
      <c r="AH199" s="132"/>
      <c r="AI199" s="132"/>
      <c r="AJ199" s="132"/>
      <c r="AK199" s="132"/>
      <c r="AL199" s="132"/>
      <c r="AM199" s="132"/>
      <c r="AN199" s="132"/>
      <c r="AO199" s="132"/>
      <c r="AP199" s="132"/>
      <c r="AQ199" s="132"/>
      <c r="AR199" s="132"/>
      <c r="AS199" s="132"/>
      <c r="AT199" s="132"/>
    </row>
    <row r="200" spans="31:46" x14ac:dyDescent="0.2">
      <c r="AE200" s="211"/>
    </row>
    <row r="201" spans="31:46" x14ac:dyDescent="0.2">
      <c r="AE201" s="211"/>
      <c r="AF201" s="132"/>
      <c r="AG201" s="132"/>
      <c r="AH201" s="132"/>
      <c r="AI201" s="132"/>
      <c r="AJ201" s="132"/>
      <c r="AK201" s="132"/>
      <c r="AL201" s="132"/>
      <c r="AM201" s="132"/>
      <c r="AN201" s="132"/>
      <c r="AO201" s="132"/>
      <c r="AP201" s="132"/>
      <c r="AQ201" s="132"/>
      <c r="AR201" s="132"/>
      <c r="AS201" s="132"/>
      <c r="AT201" s="132"/>
    </row>
    <row r="202" spans="31:46" x14ac:dyDescent="0.2">
      <c r="AE202" s="211"/>
      <c r="AF202" s="132"/>
      <c r="AG202" s="132"/>
      <c r="AH202" s="132"/>
      <c r="AI202" s="132"/>
      <c r="AJ202" s="132"/>
      <c r="AK202" s="132"/>
      <c r="AL202" s="132"/>
      <c r="AM202" s="132"/>
      <c r="AN202" s="132"/>
      <c r="AO202" s="132"/>
      <c r="AP202" s="132"/>
      <c r="AQ202" s="132"/>
      <c r="AR202" s="132"/>
      <c r="AS202" s="132"/>
      <c r="AT202" s="132"/>
    </row>
    <row r="203" spans="31:46" x14ac:dyDescent="0.2">
      <c r="AE203" s="211"/>
      <c r="AF203" s="132"/>
      <c r="AG203" s="132"/>
      <c r="AH203" s="132"/>
      <c r="AI203" s="132"/>
      <c r="AJ203" s="132"/>
      <c r="AK203" s="132"/>
      <c r="AL203" s="132"/>
      <c r="AM203" s="132"/>
      <c r="AN203" s="132"/>
      <c r="AO203" s="132"/>
      <c r="AP203" s="132"/>
      <c r="AQ203" s="132"/>
      <c r="AR203" s="132"/>
      <c r="AS203" s="132"/>
      <c r="AT203" s="132"/>
    </row>
    <row r="204" spans="31:46" x14ac:dyDescent="0.2">
      <c r="AE204" s="211"/>
      <c r="AF204" s="132"/>
      <c r="AG204" s="132"/>
      <c r="AH204" s="132"/>
      <c r="AI204" s="132"/>
      <c r="AJ204" s="132"/>
      <c r="AK204" s="132"/>
      <c r="AL204" s="132"/>
      <c r="AM204" s="132"/>
      <c r="AN204" s="132"/>
      <c r="AO204" s="132"/>
      <c r="AP204" s="132"/>
      <c r="AQ204" s="132"/>
      <c r="AR204" s="132"/>
      <c r="AS204" s="132"/>
      <c r="AT204" s="132"/>
    </row>
    <row r="205" spans="31:46" x14ac:dyDescent="0.2">
      <c r="AE205" s="211"/>
      <c r="AF205" s="132"/>
      <c r="AG205" s="132"/>
      <c r="AH205" s="132"/>
      <c r="AI205" s="132"/>
      <c r="AJ205" s="132"/>
      <c r="AK205" s="132"/>
      <c r="AL205" s="132"/>
      <c r="AM205" s="132"/>
      <c r="AN205" s="132"/>
      <c r="AO205" s="132"/>
      <c r="AP205" s="132"/>
      <c r="AQ205" s="132"/>
      <c r="AR205" s="132"/>
      <c r="AS205" s="132"/>
      <c r="AT205" s="132"/>
    </row>
    <row r="206" spans="31:46" x14ac:dyDescent="0.2">
      <c r="AE206" s="211"/>
      <c r="AF206" s="132"/>
      <c r="AG206" s="132"/>
      <c r="AH206" s="132"/>
      <c r="AI206" s="132"/>
      <c r="AJ206" s="132"/>
      <c r="AK206" s="132"/>
      <c r="AL206" s="132"/>
      <c r="AM206" s="132"/>
      <c r="AN206" s="132"/>
      <c r="AO206" s="132"/>
      <c r="AP206" s="132"/>
      <c r="AQ206" s="132"/>
      <c r="AR206" s="132"/>
      <c r="AS206" s="132"/>
      <c r="AT206" s="132"/>
    </row>
    <row r="207" spans="31:46" x14ac:dyDescent="0.2">
      <c r="AE207" s="211"/>
      <c r="AF207" s="132"/>
      <c r="AG207" s="132"/>
      <c r="AH207" s="132"/>
      <c r="AI207" s="132"/>
      <c r="AJ207" s="132"/>
      <c r="AK207" s="132"/>
      <c r="AL207" s="132"/>
      <c r="AM207" s="132"/>
      <c r="AN207" s="132"/>
      <c r="AO207" s="132"/>
      <c r="AP207" s="132"/>
      <c r="AQ207" s="132"/>
      <c r="AR207" s="132"/>
      <c r="AS207" s="132"/>
      <c r="AT207" s="132"/>
    </row>
    <row r="208" spans="31:46" x14ac:dyDescent="0.2">
      <c r="AE208" s="211"/>
      <c r="AF208" s="132"/>
      <c r="AG208" s="132"/>
      <c r="AH208" s="132"/>
      <c r="AI208" s="132"/>
      <c r="AJ208" s="132"/>
      <c r="AK208" s="132"/>
      <c r="AL208" s="132"/>
      <c r="AM208" s="132"/>
      <c r="AN208" s="132"/>
      <c r="AO208" s="132"/>
      <c r="AP208" s="132"/>
      <c r="AQ208" s="132"/>
      <c r="AR208" s="132"/>
      <c r="AS208" s="132"/>
      <c r="AT208" s="132"/>
    </row>
    <row r="209" spans="31:46" x14ac:dyDescent="0.2">
      <c r="AE209" s="211"/>
      <c r="AF209" s="132"/>
      <c r="AG209" s="132"/>
      <c r="AH209" s="132"/>
      <c r="AI209" s="132"/>
      <c r="AJ209" s="132"/>
      <c r="AK209" s="132"/>
      <c r="AL209" s="132"/>
      <c r="AM209" s="132"/>
      <c r="AN209" s="132"/>
      <c r="AO209" s="132"/>
      <c r="AP209" s="132"/>
      <c r="AQ209" s="132"/>
      <c r="AR209" s="132"/>
      <c r="AS209" s="132"/>
      <c r="AT209" s="132"/>
    </row>
    <row r="210" spans="31:46" x14ac:dyDescent="0.2">
      <c r="AE210" s="211"/>
      <c r="AF210" s="132"/>
      <c r="AG210" s="132"/>
      <c r="AH210" s="132"/>
      <c r="AI210" s="132"/>
      <c r="AJ210" s="132"/>
      <c r="AK210" s="132"/>
      <c r="AL210" s="132"/>
      <c r="AM210" s="132"/>
      <c r="AN210" s="132"/>
      <c r="AO210" s="132"/>
      <c r="AP210" s="132"/>
      <c r="AQ210" s="132"/>
      <c r="AR210" s="132"/>
      <c r="AS210" s="132"/>
      <c r="AT210" s="132"/>
    </row>
    <row r="211" spans="31:46" x14ac:dyDescent="0.2">
      <c r="AE211" s="211"/>
      <c r="AF211" s="132"/>
      <c r="AG211" s="132"/>
      <c r="AH211" s="132"/>
      <c r="AI211" s="132"/>
      <c r="AJ211" s="132"/>
      <c r="AK211" s="132"/>
      <c r="AL211" s="132"/>
      <c r="AM211" s="132"/>
      <c r="AN211" s="132"/>
      <c r="AO211" s="132"/>
      <c r="AP211" s="132"/>
      <c r="AQ211" s="132"/>
      <c r="AR211" s="132"/>
      <c r="AS211" s="132"/>
      <c r="AT211" s="132"/>
    </row>
    <row r="212" spans="31:46" x14ac:dyDescent="0.2">
      <c r="AE212" s="211"/>
      <c r="AF212" s="132"/>
      <c r="AG212" s="132"/>
      <c r="AH212" s="132"/>
      <c r="AI212" s="132"/>
      <c r="AJ212" s="132"/>
      <c r="AK212" s="132"/>
      <c r="AL212" s="132"/>
      <c r="AM212" s="132"/>
      <c r="AN212" s="132"/>
      <c r="AO212" s="132"/>
      <c r="AP212" s="132"/>
      <c r="AQ212" s="132"/>
      <c r="AR212" s="132"/>
      <c r="AS212" s="132"/>
      <c r="AT212" s="132"/>
    </row>
    <row r="213" spans="31:46" x14ac:dyDescent="0.2">
      <c r="AE213" s="211"/>
      <c r="AF213" s="132"/>
      <c r="AG213" s="132"/>
      <c r="AH213" s="132"/>
      <c r="AI213" s="132"/>
      <c r="AJ213" s="132"/>
      <c r="AK213" s="132"/>
      <c r="AL213" s="132"/>
      <c r="AM213" s="132"/>
      <c r="AN213" s="132"/>
      <c r="AO213" s="132"/>
      <c r="AP213" s="132"/>
      <c r="AQ213" s="132"/>
      <c r="AR213" s="132"/>
      <c r="AS213" s="132"/>
      <c r="AT213" s="132"/>
    </row>
    <row r="215" spans="31:46" x14ac:dyDescent="0.2">
      <c r="AE215" s="211"/>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3"/>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4"/>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4"/>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FediBUUVAdefmJ0T0Ml3/RPE9PHNpQlmWgwgC0eCz+0TAUcRNBavevI1Roonar5LP+UaG5seyBNwjn8xK/pXiw==" saltValue="kRQ8vRvDZmgKSm99XmNYGw==" spinCount="100000" sheet="1" objects="1" scenarios="1"/>
  <mergeCells count="219">
    <mergeCell ref="AZ9:BA9"/>
    <mergeCell ref="AZ10:BA10"/>
    <mergeCell ref="U28:X28"/>
    <mergeCell ref="AR13:AR19"/>
    <mergeCell ref="AP14:AQ15"/>
    <mergeCell ref="S5:X5"/>
    <mergeCell ref="V16:W17"/>
    <mergeCell ref="H13:H19"/>
    <mergeCell ref="J10:K10"/>
    <mergeCell ref="AP10:AQ10"/>
    <mergeCell ref="AL10:AM10"/>
    <mergeCell ref="AD14:AE15"/>
    <mergeCell ref="Z14:AA15"/>
    <mergeCell ref="E24:H24"/>
    <mergeCell ref="M6:Q6"/>
    <mergeCell ref="E26:H26"/>
    <mergeCell ref="F14:G15"/>
    <mergeCell ref="J14:K15"/>
    <mergeCell ref="AJ6:AL6"/>
    <mergeCell ref="AJ7:AL7"/>
    <mergeCell ref="AH10:AI10"/>
    <mergeCell ref="Y7:AF7"/>
    <mergeCell ref="AJ5:AL5"/>
    <mergeCell ref="Y6:AF6"/>
    <mergeCell ref="AM49:AP49"/>
    <mergeCell ref="U24:X24"/>
    <mergeCell ref="Y24:AB24"/>
    <mergeCell ref="L21:M21"/>
    <mergeCell ref="P21:Q21"/>
    <mergeCell ref="AO23:AR23"/>
    <mergeCell ref="AL16:AM17"/>
    <mergeCell ref="U23:X23"/>
    <mergeCell ref="AG22:AJ22"/>
    <mergeCell ref="AK22:AN22"/>
    <mergeCell ref="AB13:AB19"/>
    <mergeCell ref="Z46:Z54"/>
    <mergeCell ref="T45:U45"/>
    <mergeCell ref="AK53:AL53"/>
    <mergeCell ref="AM53:AN53"/>
    <mergeCell ref="AP53:AQ53"/>
    <mergeCell ref="M24:P24"/>
    <mergeCell ref="N14:O15"/>
    <mergeCell ref="Q23:T23"/>
    <mergeCell ref="N16:O17"/>
    <mergeCell ref="R16:S17"/>
    <mergeCell ref="Y23:AB23"/>
    <mergeCell ref="Y28:AB28"/>
    <mergeCell ref="AC28:AF28"/>
    <mergeCell ref="I46:K46"/>
    <mergeCell ref="I49:K49"/>
    <mergeCell ref="I48:K48"/>
    <mergeCell ref="I47:K47"/>
    <mergeCell ref="E28:H28"/>
    <mergeCell ref="I28:L28"/>
    <mergeCell ref="M28:P28"/>
    <mergeCell ref="Q28:T28"/>
    <mergeCell ref="P44:S45"/>
    <mergeCell ref="E116:R118"/>
    <mergeCell ref="F72:I72"/>
    <mergeCell ref="L72:O72"/>
    <mergeCell ref="R72:U72"/>
    <mergeCell ref="X72:AA72"/>
    <mergeCell ref="H85:K85"/>
    <mergeCell ref="O85:R85"/>
    <mergeCell ref="V85:Y85"/>
    <mergeCell ref="T104:U104"/>
    <mergeCell ref="T106:U106"/>
    <mergeCell ref="T108:U108"/>
    <mergeCell ref="T114:U114"/>
    <mergeCell ref="T110:Y110"/>
    <mergeCell ref="T112:Y112"/>
    <mergeCell ref="H96:K96"/>
    <mergeCell ref="O96:R96"/>
    <mergeCell ref="Z87:AB89"/>
    <mergeCell ref="Z91:AB93"/>
    <mergeCell ref="C98:AO98"/>
    <mergeCell ref="Y5:AF5"/>
    <mergeCell ref="AP16:AQ17"/>
    <mergeCell ref="AI20:AL20"/>
    <mergeCell ref="AM20:AP20"/>
    <mergeCell ref="AL21:AM21"/>
    <mergeCell ref="AN13:AN19"/>
    <mergeCell ref="AL14:AM15"/>
    <mergeCell ref="AJ13:AJ19"/>
    <mergeCell ref="AH16:AI17"/>
    <mergeCell ref="AH14:AI15"/>
    <mergeCell ref="AE20:AH20"/>
    <mergeCell ref="AF13:AF19"/>
    <mergeCell ref="AJ21:AK21"/>
    <mergeCell ref="AN21:AO21"/>
    <mergeCell ref="X21:Y21"/>
    <mergeCell ref="AD16:AE17"/>
    <mergeCell ref="Z21:AA21"/>
    <mergeCell ref="AD10:AE10"/>
    <mergeCell ref="AB21:AC21"/>
    <mergeCell ref="N10:O10"/>
    <mergeCell ref="R10:S10"/>
    <mergeCell ref="V10:W10"/>
    <mergeCell ref="Z10:AA10"/>
    <mergeCell ref="Z16:AA17"/>
    <mergeCell ref="V14:W15"/>
    <mergeCell ref="A9:A11"/>
    <mergeCell ref="E13:E19"/>
    <mergeCell ref="L13:L19"/>
    <mergeCell ref="P13:P19"/>
    <mergeCell ref="T13:T19"/>
    <mergeCell ref="X13:X19"/>
    <mergeCell ref="F10:G10"/>
    <mergeCell ref="R14:S15"/>
    <mergeCell ref="F16:G17"/>
    <mergeCell ref="J16:K17"/>
    <mergeCell ref="AX19:BA20"/>
    <mergeCell ref="AX25:AZ26"/>
    <mergeCell ref="AX22:BA24"/>
    <mergeCell ref="Q24:T24"/>
    <mergeCell ref="I24:L24"/>
    <mergeCell ref="M25:P25"/>
    <mergeCell ref="Q25:T25"/>
    <mergeCell ref="AX15:BA18"/>
    <mergeCell ref="AC23:AF23"/>
    <mergeCell ref="Y22:AB22"/>
    <mergeCell ref="G20:J20"/>
    <mergeCell ref="K20:N20"/>
    <mergeCell ref="O20:R20"/>
    <mergeCell ref="S20:V20"/>
    <mergeCell ref="W20:Z20"/>
    <mergeCell ref="AA20:AD20"/>
    <mergeCell ref="AK23:AN23"/>
    <mergeCell ref="E25:H25"/>
    <mergeCell ref="Y26:AB26"/>
    <mergeCell ref="AH21:AI21"/>
    <mergeCell ref="AO22:AR22"/>
    <mergeCell ref="AD21:AE21"/>
    <mergeCell ref="AF21:AG21"/>
    <mergeCell ref="AC22:AF22"/>
    <mergeCell ref="E23:H23"/>
    <mergeCell ref="I23:L23"/>
    <mergeCell ref="M23:P23"/>
    <mergeCell ref="T21:U21"/>
    <mergeCell ref="E22:H22"/>
    <mergeCell ref="I22:L22"/>
    <mergeCell ref="M22:P22"/>
    <mergeCell ref="Q22:T22"/>
    <mergeCell ref="U22:X22"/>
    <mergeCell ref="H21:I21"/>
    <mergeCell ref="N21:O21"/>
    <mergeCell ref="R21:S21"/>
    <mergeCell ref="V21:W21"/>
    <mergeCell ref="AW30:BA32"/>
    <mergeCell ref="AX33:AY33"/>
    <mergeCell ref="AX34:AY34"/>
    <mergeCell ref="AX35:AY35"/>
    <mergeCell ref="AX36:AY36"/>
    <mergeCell ref="AX37:AY37"/>
    <mergeCell ref="AO25:AR25"/>
    <mergeCell ref="AG23:AJ23"/>
    <mergeCell ref="AK26:AN26"/>
    <mergeCell ref="AG26:AJ26"/>
    <mergeCell ref="AX42:AY42"/>
    <mergeCell ref="AC24:AF24"/>
    <mergeCell ref="AG24:AJ24"/>
    <mergeCell ref="AL39:AS39"/>
    <mergeCell ref="AG40:AL40"/>
    <mergeCell ref="AM40:AR40"/>
    <mergeCell ref="AX76:AX80"/>
    <mergeCell ref="AF48:AL50"/>
    <mergeCell ref="AM47:AS47"/>
    <mergeCell ref="AI53:AJ53"/>
    <mergeCell ref="AM46:AS46"/>
    <mergeCell ref="AO26:AR26"/>
    <mergeCell ref="AK28:AN28"/>
    <mergeCell ref="AO28:AR28"/>
    <mergeCell ref="AM45:AS45"/>
    <mergeCell ref="AX40:AY40"/>
    <mergeCell ref="AX41:AY41"/>
    <mergeCell ref="AK24:AN24"/>
    <mergeCell ref="AK25:AN25"/>
    <mergeCell ref="AO24:AR24"/>
    <mergeCell ref="AX38:AY38"/>
    <mergeCell ref="AM38:AN38"/>
    <mergeCell ref="AF38:AL38"/>
    <mergeCell ref="AX39:AY39"/>
    <mergeCell ref="Z42:Z45"/>
    <mergeCell ref="U25:X25"/>
    <mergeCell ref="Y25:AB25"/>
    <mergeCell ref="AC25:AF25"/>
    <mergeCell ref="AG25:AJ25"/>
    <mergeCell ref="I26:L26"/>
    <mergeCell ref="U26:X26"/>
    <mergeCell ref="M26:P26"/>
    <mergeCell ref="Q26:T26"/>
    <mergeCell ref="I25:L25"/>
    <mergeCell ref="AG28:AJ28"/>
    <mergeCell ref="AC26:AF26"/>
    <mergeCell ref="Z40:Z41"/>
    <mergeCell ref="AQ96:AR96"/>
    <mergeCell ref="AW96:AX96"/>
    <mergeCell ref="BE5:BE6"/>
    <mergeCell ref="BF5:BF6"/>
    <mergeCell ref="BG5:BG6"/>
    <mergeCell ref="BE9:BG9"/>
    <mergeCell ref="AE70:AL70"/>
    <mergeCell ref="AW48:AX48"/>
    <mergeCell ref="AM43:AQ43"/>
    <mergeCell ref="AR43:AS43"/>
    <mergeCell ref="AP86:AR86"/>
    <mergeCell ref="AN78:AP78"/>
    <mergeCell ref="AN79:AP79"/>
    <mergeCell ref="AN80:AS80"/>
    <mergeCell ref="AE53:AG53"/>
    <mergeCell ref="AO44:AS44"/>
    <mergeCell ref="AE84:AL84"/>
    <mergeCell ref="AM88:AR88"/>
    <mergeCell ref="AE85:AL85"/>
    <mergeCell ref="AI57:AS57"/>
    <mergeCell ref="AN70:AS70"/>
    <mergeCell ref="AE90:AS92"/>
    <mergeCell ref="AM87:AO87"/>
    <mergeCell ref="AW76:AW80"/>
  </mergeCells>
  <conditionalFormatting sqref="AG45:AL45">
    <cfRule type="expression" dxfId="1584" priority="489">
      <formula>$AC$43="x"</formula>
    </cfRule>
  </conditionalFormatting>
  <conditionalFormatting sqref="AO44:AS44">
    <cfRule type="expression" dxfId="1583" priority="488">
      <formula>$AK$42="x"</formula>
    </cfRule>
  </conditionalFormatting>
  <conditionalFormatting sqref="AP7:AS7">
    <cfRule type="expression" dxfId="1582" priority="483">
      <formula>$AM$5&gt;0</formula>
    </cfRule>
  </conditionalFormatting>
  <conditionalFormatting sqref="E28:AR28">
    <cfRule type="expression" dxfId="1581" priority="423">
      <formula>AND($A$28&lt;&gt;"",F$10&lt;&gt;"")</formula>
    </cfRule>
  </conditionalFormatting>
  <conditionalFormatting sqref="F72:I72">
    <cfRule type="expression" dxfId="1580" priority="555">
      <formula>$F$72=""</formula>
    </cfRule>
  </conditionalFormatting>
  <conditionalFormatting sqref="H85:K85">
    <cfRule type="expression" dxfId="1579" priority="468">
      <formula>$H$85=""</formula>
    </cfRule>
  </conditionalFormatting>
  <conditionalFormatting sqref="O85:R85">
    <cfRule type="expression" dxfId="1578" priority="553">
      <formula>$O$85=""</formula>
    </cfRule>
  </conditionalFormatting>
  <conditionalFormatting sqref="V85:Y85">
    <cfRule type="expression" dxfId="1577" priority="467">
      <formula>$V$85=""</formula>
    </cfRule>
  </conditionalFormatting>
  <conditionalFormatting sqref="O96:R96">
    <cfRule type="expression" dxfId="1576" priority="464">
      <formula>$O$96=""</formula>
    </cfRule>
  </conditionalFormatting>
  <conditionalFormatting sqref="AM49:AP49">
    <cfRule type="expression" dxfId="1575" priority="215">
      <formula>$AM$49=""</formula>
    </cfRule>
  </conditionalFormatting>
  <conditionalFormatting sqref="AH54">
    <cfRule type="expression" dxfId="1574" priority="530">
      <formula>$AE$53=0</formula>
    </cfRule>
  </conditionalFormatting>
  <conditionalFormatting sqref="L72:O72">
    <cfRule type="expression" dxfId="1573" priority="471">
      <formula>$L$72=""</formula>
    </cfRule>
  </conditionalFormatting>
  <conditionalFormatting sqref="R72:U72">
    <cfRule type="expression" dxfId="1572" priority="470">
      <formula>$R$72=""</formula>
    </cfRule>
  </conditionalFormatting>
  <conditionalFormatting sqref="X72:AA72">
    <cfRule type="expression" dxfId="1571" priority="469">
      <formula>$X$72=""</formula>
    </cfRule>
  </conditionalFormatting>
  <conditionalFormatting sqref="AT5">
    <cfRule type="expression" dxfId="1570" priority="180">
      <formula>$AT$5=1</formula>
    </cfRule>
  </conditionalFormatting>
  <conditionalFormatting sqref="AM43:AQ43">
    <cfRule type="expression" dxfId="1569" priority="218">
      <formula>$AM$43=""</formula>
    </cfRule>
  </conditionalFormatting>
  <conditionalFormatting sqref="AR43:AS43">
    <cfRule type="expression" dxfId="1568" priority="179">
      <formula>$AR$43=""</formula>
    </cfRule>
  </conditionalFormatting>
  <conditionalFormatting sqref="AM45:AS45">
    <cfRule type="expression" dxfId="1567" priority="217">
      <formula>$AM$45=""</formula>
    </cfRule>
  </conditionalFormatting>
  <conditionalFormatting sqref="AE70:AL70">
    <cfRule type="expression" dxfId="1566" priority="197">
      <formula>$AE$70=""</formula>
    </cfRule>
  </conditionalFormatting>
  <conditionalFormatting sqref="AN70:AS70">
    <cfRule type="expression" dxfId="1565" priority="174">
      <formula>$AN$70=""</formula>
    </cfRule>
  </conditionalFormatting>
  <conditionalFormatting sqref="AN80:AS80">
    <cfRule type="expression" dxfId="1564" priority="167">
      <formula>$AN$80=""</formula>
    </cfRule>
  </conditionalFormatting>
  <conditionalFormatting sqref="H96:K96">
    <cfRule type="expression" dxfId="1563" priority="536">
      <formula>$H$96=""</formula>
    </cfRule>
  </conditionalFormatting>
  <conditionalFormatting sqref="AM88:AR88">
    <cfRule type="expression" dxfId="1562" priority="159">
      <formula>$AM$88=""</formula>
    </cfRule>
  </conditionalFormatting>
  <conditionalFormatting sqref="Y5:AF5">
    <cfRule type="expression" dxfId="1561" priority="397">
      <formula>$Y$5=""</formula>
    </cfRule>
  </conditionalFormatting>
  <conditionalFormatting sqref="Y6:AF6">
    <cfRule type="expression" dxfId="1560" priority="154">
      <formula>$Y$6=""</formula>
    </cfRule>
  </conditionalFormatting>
  <conditionalFormatting sqref="Y7:AF7">
    <cfRule type="expression" dxfId="1559" priority="153">
      <formula>$Y$7=""</formula>
    </cfRule>
  </conditionalFormatting>
  <conditionalFormatting sqref="AJ5:AL5">
    <cfRule type="expression" dxfId="1558" priority="393">
      <formula>$AJ$5=""</formula>
    </cfRule>
  </conditionalFormatting>
  <conditionalFormatting sqref="AJ6:AL6">
    <cfRule type="expression" dxfId="1557" priority="151">
      <formula>$AJ$6=""</formula>
    </cfRule>
  </conditionalFormatting>
  <conditionalFormatting sqref="AJ7:AL7">
    <cfRule type="expression" dxfId="1556" priority="150">
      <formula>$AJ$7=""</formula>
    </cfRule>
  </conditionalFormatting>
  <conditionalFormatting sqref="I49:K49">
    <cfRule type="expression" dxfId="1555" priority="149">
      <formula>$I$49=""</formula>
    </cfRule>
  </conditionalFormatting>
  <conditionalFormatting sqref="T45:U45">
    <cfRule type="expression" dxfId="1554" priority="148">
      <formula>$T$45=""</formula>
    </cfRule>
  </conditionalFormatting>
  <conditionalFormatting sqref="Z42:Z45">
    <cfRule type="expression" dxfId="1553" priority="147">
      <formula>$Z$42=""</formula>
    </cfRule>
  </conditionalFormatting>
  <conditionalFormatting sqref="AX33:AY42">
    <cfRule type="expression" dxfId="1552" priority="144">
      <formula>AW33=""</formula>
    </cfRule>
  </conditionalFormatting>
  <conditionalFormatting sqref="A9:A11">
    <cfRule type="expression" dxfId="1551" priority="51">
      <formula>$C$11&lt;36</formula>
    </cfRule>
  </conditionalFormatting>
  <conditionalFormatting sqref="A28">
    <cfRule type="expression" dxfId="1550" priority="140">
      <formula>$E$28&gt;0</formula>
    </cfRule>
  </conditionalFormatting>
  <conditionalFormatting sqref="AX33:AY42">
    <cfRule type="expression" dxfId="1549" priority="145">
      <formula>AX33=""</formula>
    </cfRule>
  </conditionalFormatting>
  <conditionalFormatting sqref="R112:Y114">
    <cfRule type="expression" dxfId="1548" priority="61">
      <formula>$T$110=""</formula>
    </cfRule>
  </conditionalFormatting>
  <conditionalFormatting sqref="AE53:AG53">
    <cfRule type="expression" dxfId="1547" priority="48">
      <formula>$AT$52=1</formula>
    </cfRule>
    <cfRule type="expression" dxfId="1546" priority="100">
      <formula>$AE$53=0</formula>
    </cfRule>
  </conditionalFormatting>
  <conditionalFormatting sqref="AW48:AX48">
    <cfRule type="expression" dxfId="1545" priority="99">
      <formula>$AW$48=""</formula>
    </cfRule>
  </conditionalFormatting>
  <conditionalFormatting sqref="AE84:AL84">
    <cfRule type="expression" dxfId="1544" priority="90">
      <formula>$AE$84=""</formula>
    </cfRule>
  </conditionalFormatting>
  <conditionalFormatting sqref="AB102:AB120">
    <cfRule type="expression" dxfId="1543" priority="78">
      <formula>$T$104&lt;&gt;105</formula>
    </cfRule>
  </conditionalFormatting>
  <conditionalFormatting sqref="AB120:AG120">
    <cfRule type="expression" dxfId="1542" priority="77">
      <formula>$T$104&lt;&gt;105</formula>
    </cfRule>
  </conditionalFormatting>
  <conditionalFormatting sqref="AG102:AG120">
    <cfRule type="expression" dxfId="1541" priority="76">
      <formula>AND($T$104&lt;&gt;105,$T$104&lt;&gt;85)</formula>
    </cfRule>
  </conditionalFormatting>
  <conditionalFormatting sqref="AB102:AG102">
    <cfRule type="expression" dxfId="1540" priority="75">
      <formula>$T$104&lt;&gt;105</formula>
    </cfRule>
  </conditionalFormatting>
  <conditionalFormatting sqref="AH120:AM120">
    <cfRule type="expression" dxfId="1539" priority="74">
      <formula>$T$104&lt;&gt;85</formula>
    </cfRule>
  </conditionalFormatting>
  <conditionalFormatting sqref="AH102:AM102">
    <cfRule type="expression" dxfId="1538" priority="73">
      <formula>$T$104&lt;&gt;85</formula>
    </cfRule>
  </conditionalFormatting>
  <conditionalFormatting sqref="AN102:AN120">
    <cfRule type="expression" dxfId="1537" priority="72">
      <formula>AND($T$104&lt;&gt;85,$T$104&lt;&gt;110)</formula>
    </cfRule>
  </conditionalFormatting>
  <conditionalFormatting sqref="AN120:AT120">
    <cfRule type="expression" dxfId="1536" priority="71">
      <formula>$T$104&lt;&gt;110</formula>
    </cfRule>
  </conditionalFormatting>
  <conditionalFormatting sqref="AT102:AT120">
    <cfRule type="expression" dxfId="1535" priority="70">
      <formula>$T$104&lt;&gt;110</formula>
    </cfRule>
  </conditionalFormatting>
  <conditionalFormatting sqref="AN102:AT102">
    <cfRule type="expression" dxfId="1534" priority="69">
      <formula>$T$104&lt;&gt;110</formula>
    </cfRule>
  </conditionalFormatting>
  <conditionalFormatting sqref="T104:U104">
    <cfRule type="expression" dxfId="1533" priority="68">
      <formula>$T$104=""</formula>
    </cfRule>
  </conditionalFormatting>
  <conditionalFormatting sqref="T106:U106">
    <cfRule type="expression" dxfId="1532" priority="67">
      <formula>$T$106=""</formula>
    </cfRule>
  </conditionalFormatting>
  <conditionalFormatting sqref="T108:U108">
    <cfRule type="expression" dxfId="1531" priority="66">
      <formula>$T$108=""</formula>
    </cfRule>
  </conditionalFormatting>
  <conditionalFormatting sqref="T114:U114">
    <cfRule type="expression" dxfId="1530" priority="64">
      <formula>$T$114=""</formula>
    </cfRule>
  </conditionalFormatting>
  <conditionalFormatting sqref="T110:Y110">
    <cfRule type="expression" dxfId="1529" priority="62">
      <formula>$T$110=""</formula>
    </cfRule>
  </conditionalFormatting>
  <conditionalFormatting sqref="T112:Y112">
    <cfRule type="expression" dxfId="1528" priority="63">
      <formula>$T$112=""</formula>
    </cfRule>
  </conditionalFormatting>
  <conditionalFormatting sqref="AI57:AS57">
    <cfRule type="expression" dxfId="1527" priority="214">
      <formula>$AI$57=""</formula>
    </cfRule>
  </conditionalFormatting>
  <conditionalFormatting sqref="AX25:AZ26">
    <cfRule type="expression" dxfId="1526" priority="55">
      <formula>$AX$25=""</formula>
    </cfRule>
  </conditionalFormatting>
  <conditionalFormatting sqref="AM87:AO87">
    <cfRule type="expression" dxfId="1525" priority="49">
      <formula>$AM$87=""</formula>
    </cfRule>
  </conditionalFormatting>
  <conditionalFormatting sqref="AT52">
    <cfRule type="expression" dxfId="1524" priority="46">
      <formula>$AT$52=1</formula>
    </cfRule>
  </conditionalFormatting>
  <conditionalFormatting sqref="AX76:AX80">
    <cfRule type="expression" dxfId="1523" priority="43">
      <formula>$AN$80=""</formula>
    </cfRule>
  </conditionalFormatting>
  <conditionalFormatting sqref="AB62">
    <cfRule type="expression" dxfId="1522" priority="42">
      <formula>$AB$62&gt;0</formula>
    </cfRule>
  </conditionalFormatting>
  <conditionalFormatting sqref="AB73">
    <cfRule type="expression" dxfId="1521" priority="41">
      <formula>$AB$73&gt;0</formula>
    </cfRule>
  </conditionalFormatting>
  <conditionalFormatting sqref="M6:Q6">
    <cfRule type="expression" dxfId="1520" priority="40">
      <formula>$M$6=""</formula>
    </cfRule>
  </conditionalFormatting>
  <conditionalFormatting sqref="AN78:AP78">
    <cfRule type="expression" dxfId="1519" priority="169">
      <formula>$AN$78=""</formula>
    </cfRule>
  </conditionalFormatting>
  <conditionalFormatting sqref="AN79:AP79">
    <cfRule type="expression" dxfId="1518" priority="168">
      <formula>$AN$79=""</formula>
    </cfRule>
  </conditionalFormatting>
  <conditionalFormatting sqref="AM46:AS46">
    <cfRule type="expression" dxfId="1517" priority="176">
      <formula>$AM$46=""</formula>
    </cfRule>
  </conditionalFormatting>
  <conditionalFormatting sqref="AM47:AS47">
    <cfRule type="expression" dxfId="1516" priority="31">
      <formula>$AM$47=""</formula>
    </cfRule>
  </conditionalFormatting>
  <conditionalFormatting sqref="AQ96:AR96">
    <cfRule type="expression" dxfId="1515" priority="17">
      <formula>$AQ$96=""</formula>
    </cfRule>
  </conditionalFormatting>
  <conditionalFormatting sqref="BD2:BI10">
    <cfRule type="expression" dxfId="1514" priority="7">
      <formula>$AW$2=""</formula>
    </cfRule>
  </conditionalFormatting>
  <conditionalFormatting sqref="AZ9:BA9">
    <cfRule type="expression" dxfId="1513" priority="6">
      <formula>$AZ$9=""</formula>
    </cfRule>
  </conditionalFormatting>
  <conditionalFormatting sqref="AZ10:BA10">
    <cfRule type="expression" dxfId="1512" priority="5">
      <formula>$AZ$10=""</formula>
    </cfRule>
  </conditionalFormatting>
  <dataValidations count="8">
    <dataValidation type="whole" allowBlank="1" showInputMessage="1" showErrorMessage="1" sqref="J58:M59 I46:K49" xr:uid="{00000000-0002-0000-0300-000000000000}">
      <formula1>0</formula1>
      <formula2>100000</formula2>
    </dataValidation>
    <dataValidation type="custom" operator="equal" allowBlank="1" showInputMessage="1" showErrorMessage="1" sqref="AA60 E33:E34 E40:E41 Q40:Q41 E6:E7 AN33 AN44 AA47:AA49" xr:uid="{00000000-0002-0000-0300-000001000000}">
      <formula1>E6="X"</formula1>
    </dataValidation>
    <dataValidation type="whole" allowBlank="1" showInputMessage="1" showErrorMessage="1" sqref="H21:I21 AJ21:AK21 L21:M21 P21:Q21 T21:U21 X21:Y21 AB21:AC21 AF21:AG21 AN21:AO21" xr:uid="{00000000-0002-0000-0300-000002000000}">
      <formula1>0</formula1>
      <formula2>360</formula2>
    </dataValidation>
    <dataValidation type="whole" allowBlank="1" showInputMessage="1" showErrorMessage="1" sqref="E28:AR28 Z42:Z45" xr:uid="{00000000-0002-0000-0300-000003000000}">
      <formula1>0</formula1>
      <formula2>10000</formula2>
    </dataValidation>
    <dataValidation type="whole" allowBlank="1" showInputMessage="1" showErrorMessage="1" sqref="T45:U45" xr:uid="{00000000-0002-0000-0300-000004000000}">
      <formula1>0</formula1>
      <formula2>3000</formula2>
    </dataValidation>
    <dataValidation type="date" operator="greaterThanOrEqual" allowBlank="1" showInputMessage="1" showErrorMessage="1" sqref="Y7:AF7" xr:uid="{00000000-0002-0000-0300-000005000000}">
      <formula1>TODAY()-3</formula1>
    </dataValidation>
    <dataValidation type="whole" operator="equal" allowBlank="1" showInputMessage="1" showErrorMessage="1" sqref="AB73 AB62" xr:uid="{00000000-0002-0000-0300-000006000000}">
      <formula1>1</formula1>
    </dataValidation>
    <dataValidation type="whole" allowBlank="1" showInputMessage="1" showErrorMessage="1" sqref="AJ6:AL6" xr:uid="{00000000-0002-0000-0300-000007000000}">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ignoredErrors>
    <ignoredError sqref="AF4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locked="0" defaultSize="0" autoLine="0" autoPict="0">
                <anchor>
                  <from>
                    <xdr:col>48</xdr:col>
                    <xdr:colOff>752475</xdr:colOff>
                    <xdr:row>2</xdr:row>
                    <xdr:rowOff>295275</xdr:rowOff>
                  </from>
                  <to>
                    <xdr:col>50</xdr:col>
                    <xdr:colOff>495300</xdr:colOff>
                    <xdr:row>3</xdr:row>
                    <xdr:rowOff>95250</xdr:rowOff>
                  </to>
                </anchor>
              </controlPr>
            </control>
          </mc:Choice>
        </mc:AlternateContent>
        <mc:AlternateContent xmlns:mc="http://schemas.openxmlformats.org/markup-compatibility/2006">
          <mc:Choice Requires="x14">
            <control shapeId="2059" r:id="rId5" name="Check Box 11">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2060" r:id="rId6" name="Check Box 12">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2063" r:id="rId7" name="Check Box 1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2064" r:id="rId8" name="Check Box 1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2" r:id="rId9" name="Check Box 1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3" r:id="rId10" name="Check Box 1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2068" r:id="rId11" name="Check Box 20">
              <controlPr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2069" r:id="rId12" name="Check Box 21">
              <controlPr locked="0" defaultSize="0" autoFill="0" autoLine="0" autoPict="0">
                <anchor moveWithCells="1">
                  <from>
                    <xdr:col>30</xdr:col>
                    <xdr:colOff>0</xdr:colOff>
                    <xdr:row>36</xdr:row>
                    <xdr:rowOff>0</xdr:rowOff>
                  </from>
                  <to>
                    <xdr:col>31</xdr:col>
                    <xdr:colOff>0</xdr:colOff>
                    <xdr:row>37</xdr:row>
                    <xdr:rowOff>0</xdr:rowOff>
                  </to>
                </anchor>
              </controlPr>
            </control>
          </mc:Choice>
        </mc:AlternateContent>
        <mc:AlternateContent xmlns:mc="http://schemas.openxmlformats.org/markup-compatibility/2006">
          <mc:Choice Requires="x14">
            <control shapeId="2094" r:id="rId13" name="Check Box 46">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2095" r:id="rId14" name="Check Box 47">
              <controlPr locked="0" defaultSize="0" autoFill="0" autoLine="0" autoPict="0">
                <anchor moveWithCells="1">
                  <from>
                    <xdr:col>42</xdr:col>
                    <xdr:colOff>0</xdr:colOff>
                    <xdr:row>5</xdr:row>
                    <xdr:rowOff>0</xdr:rowOff>
                  </from>
                  <to>
                    <xdr:col>43</xdr:col>
                    <xdr:colOff>0</xdr:colOff>
                    <xdr:row>6</xdr:row>
                    <xdr:rowOff>9525</xdr:rowOff>
                  </to>
                </anchor>
              </controlPr>
            </control>
          </mc:Choice>
        </mc:AlternateContent>
        <mc:AlternateContent xmlns:mc="http://schemas.openxmlformats.org/markup-compatibility/2006">
          <mc:Choice Requires="x14">
            <control shapeId="2097" r:id="rId15" name="Check Box 49">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2098" r:id="rId16" name="Check Box 50">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2100" r:id="rId17" name="Check Box 52">
              <controlPr locked="0" defaultSize="0" autoFill="0" autoLine="0" autoPict="0">
                <anchor moveWithCells="1">
                  <from>
                    <xdr:col>4</xdr:col>
                    <xdr:colOff>0</xdr:colOff>
                    <xdr:row>5</xdr:row>
                    <xdr:rowOff>0</xdr:rowOff>
                  </from>
                  <to>
                    <xdr:col>5</xdr:col>
                    <xdr:colOff>0</xdr:colOff>
                    <xdr:row>6</xdr:row>
                    <xdr:rowOff>9525</xdr:rowOff>
                  </to>
                </anchor>
              </controlPr>
            </control>
          </mc:Choice>
        </mc:AlternateContent>
        <mc:AlternateContent xmlns:mc="http://schemas.openxmlformats.org/markup-compatibility/2006">
          <mc:Choice Requires="x14">
            <control shapeId="2101" r:id="rId18" name="Check Box 53">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2102" r:id="rId19" name="Check Box 54">
              <controlPr locked="0" defaultSize="0" autoFill="0" autoLine="0" autoPict="0">
                <anchor moveWithCells="1">
                  <from>
                    <xdr:col>6</xdr:col>
                    <xdr:colOff>9525</xdr:colOff>
                    <xdr:row>43</xdr:row>
                    <xdr:rowOff>57150</xdr:rowOff>
                  </from>
                  <to>
                    <xdr:col>7</xdr:col>
                    <xdr:colOff>28575</xdr:colOff>
                    <xdr:row>44</xdr:row>
                    <xdr:rowOff>57150</xdr:rowOff>
                  </to>
                </anchor>
              </controlPr>
            </control>
          </mc:Choice>
        </mc:AlternateContent>
        <mc:AlternateContent xmlns:mc="http://schemas.openxmlformats.org/markup-compatibility/2006">
          <mc:Choice Requires="x14">
            <control shapeId="2103" r:id="rId20" name="Check Box 55">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2104" r:id="rId21" name="Check Box 56">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2105" r:id="rId22" name="Check Box 57">
              <controlPr locked="0" defaultSize="0" autoFill="0" autoLine="0" autoPict="0">
                <anchor moveWithCells="1">
                  <from>
                    <xdr:col>9</xdr:col>
                    <xdr:colOff>114300</xdr:colOff>
                    <xdr:row>52</xdr:row>
                    <xdr:rowOff>114300</xdr:rowOff>
                  </from>
                  <to>
                    <xdr:col>10</xdr:col>
                    <xdr:colOff>114300</xdr:colOff>
                    <xdr:row>53</xdr:row>
                    <xdr:rowOff>114300</xdr:rowOff>
                  </to>
                </anchor>
              </controlPr>
            </control>
          </mc:Choice>
        </mc:AlternateContent>
        <mc:AlternateContent xmlns:mc="http://schemas.openxmlformats.org/markup-compatibility/2006">
          <mc:Choice Requires="x14">
            <control shapeId="2117" r:id="rId23" name="Check Box 6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2118" r:id="rId24" name="Check Box 7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2119" r:id="rId25" name="Check Box 7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2120" r:id="rId26" name="Check Box 7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2128" r:id="rId27" name="Check Box 80">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2129" r:id="rId28" name="Check Box 81">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2130" r:id="rId29" name="Check Box 82">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2131" r:id="rId30" name="Check Box 83">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2137" r:id="rId31" name="Check Box 89">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2138" r:id="rId32" name="Check Box 90">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2139" r:id="rId33" name="Check Box 91">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2143" r:id="rId34" name="Check Box 95">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2147" r:id="rId35" name="Check Box 99">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2148" r:id="rId36" name="Check Box 100">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2141" r:id="rId37" name="Check Box 93">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2140" r:id="rId38" name="Check Box 92">
              <controlPr locked="0" defaultSize="0" autoFill="0" autoLine="0" autoPict="0">
                <anchor moveWithCells="1">
                  <from>
                    <xdr:col>13</xdr:col>
                    <xdr:colOff>57150</xdr:colOff>
                    <xdr:row>81</xdr:row>
                    <xdr:rowOff>9525</xdr:rowOff>
                  </from>
                  <to>
                    <xdr:col>14</xdr:col>
                    <xdr:colOff>57150</xdr:colOff>
                    <xdr:row>82</xdr:row>
                    <xdr:rowOff>9525</xdr:rowOff>
                  </to>
                </anchor>
              </controlPr>
            </control>
          </mc:Choice>
        </mc:AlternateContent>
        <mc:AlternateContent xmlns:mc="http://schemas.openxmlformats.org/markup-compatibility/2006">
          <mc:Choice Requires="x14">
            <control shapeId="2135" r:id="rId39" name="Check Box 87">
              <controlPr locked="0" defaultSize="0" autoFill="0" autoLine="0" autoPict="0">
                <anchor moveWithCells="1">
                  <from>
                    <xdr:col>13</xdr:col>
                    <xdr:colOff>19050</xdr:colOff>
                    <xdr:row>62</xdr:row>
                    <xdr:rowOff>9525</xdr:rowOff>
                  </from>
                  <to>
                    <xdr:col>14</xdr:col>
                    <xdr:colOff>19050</xdr:colOff>
                    <xdr:row>63</xdr:row>
                    <xdr:rowOff>9525</xdr:rowOff>
                  </to>
                </anchor>
              </controlPr>
            </control>
          </mc:Choice>
        </mc:AlternateContent>
        <mc:AlternateContent xmlns:mc="http://schemas.openxmlformats.org/markup-compatibility/2006">
          <mc:Choice Requires="x14">
            <control shapeId="2134" r:id="rId40" name="Check Box 86">
              <controlPr locked="0" defaultSize="0" autoFill="0" autoLine="0" autoPict="0">
                <anchor moveWithCells="1">
                  <from>
                    <xdr:col>11</xdr:col>
                    <xdr:colOff>66675</xdr:colOff>
                    <xdr:row>68</xdr:row>
                    <xdr:rowOff>0</xdr:rowOff>
                  </from>
                  <to>
                    <xdr:col>12</xdr:col>
                    <xdr:colOff>66675</xdr:colOff>
                    <xdr:row>69</xdr:row>
                    <xdr:rowOff>0</xdr:rowOff>
                  </to>
                </anchor>
              </controlPr>
            </control>
          </mc:Choice>
        </mc:AlternateContent>
        <mc:AlternateContent xmlns:mc="http://schemas.openxmlformats.org/markup-compatibility/2006">
          <mc:Choice Requires="x14">
            <control shapeId="2149" r:id="rId41" name="Check Box 101">
              <controlPr locked="0" defaultSize="0" autoFill="0" autoLine="0" autoPict="0">
                <anchor moveWithCells="1">
                  <from>
                    <xdr:col>23</xdr:col>
                    <xdr:colOff>0</xdr:colOff>
                    <xdr:row>48</xdr:row>
                    <xdr:rowOff>0</xdr:rowOff>
                  </from>
                  <to>
                    <xdr:col>24</xdr:col>
                    <xdr:colOff>0</xdr:colOff>
                    <xdr:row>49</xdr:row>
                    <xdr:rowOff>28575</xdr:rowOff>
                  </to>
                </anchor>
              </controlPr>
            </control>
          </mc:Choice>
        </mc:AlternateContent>
        <mc:AlternateContent xmlns:mc="http://schemas.openxmlformats.org/markup-compatibility/2006">
          <mc:Choice Requires="x14">
            <control shapeId="2150" r:id="rId42" name="Check Box 102">
              <controlPr locked="0" defaultSize="0" autoFill="0" autoLine="0" autoPict="0">
                <anchor moveWithCells="1">
                  <from>
                    <xdr:col>23</xdr:col>
                    <xdr:colOff>0</xdr:colOff>
                    <xdr:row>56</xdr:row>
                    <xdr:rowOff>0</xdr:rowOff>
                  </from>
                  <to>
                    <xdr:col>24</xdr:col>
                    <xdr:colOff>0</xdr:colOff>
                    <xdr:row>57</xdr:row>
                    <xdr:rowOff>28575</xdr:rowOff>
                  </to>
                </anchor>
              </controlPr>
            </control>
          </mc:Choice>
        </mc:AlternateContent>
        <mc:AlternateContent xmlns:mc="http://schemas.openxmlformats.org/markup-compatibility/2006">
          <mc:Choice Requires="x14">
            <control shapeId="2172" r:id="rId43" name="Check Box 124">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2173" r:id="rId44" name="Check Box 125">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2175" r:id="rId45" name="Check Box 127">
              <controlPr locked="0" defaultSize="0" autoFill="0" autoLine="0" autoPict="0">
                <anchor moveWithCells="1">
                  <from>
                    <xdr:col>29</xdr:col>
                    <xdr:colOff>219075</xdr:colOff>
                    <xdr:row>55</xdr:row>
                    <xdr:rowOff>142875</xdr:rowOff>
                  </from>
                  <to>
                    <xdr:col>31</xdr:col>
                    <xdr:colOff>0</xdr:colOff>
                    <xdr:row>57</xdr:row>
                    <xdr:rowOff>0</xdr:rowOff>
                  </to>
                </anchor>
              </controlPr>
            </control>
          </mc:Choice>
        </mc:AlternateContent>
        <mc:AlternateContent xmlns:mc="http://schemas.openxmlformats.org/markup-compatibility/2006">
          <mc:Choice Requires="x14">
            <control shapeId="2177" r:id="rId46" name="Check Box 129">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2110" r:id="rId47" name="Check Box 62">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2111" r:id="rId48" name="Check Box 63">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2112" r:id="rId49" name="Check Box 64">
              <controlPr locked="0" defaultSize="0" autoFill="0" autoLine="0" autoPict="0">
                <anchor moveWithCells="1">
                  <from>
                    <xdr:col>37</xdr:col>
                    <xdr:colOff>161925</xdr:colOff>
                    <xdr:row>62</xdr:row>
                    <xdr:rowOff>0</xdr:rowOff>
                  </from>
                  <to>
                    <xdr:col>38</xdr:col>
                    <xdr:colOff>161925</xdr:colOff>
                    <xdr:row>63</xdr:row>
                    <xdr:rowOff>19050</xdr:rowOff>
                  </to>
                </anchor>
              </controlPr>
            </control>
          </mc:Choice>
        </mc:AlternateContent>
        <mc:AlternateContent xmlns:mc="http://schemas.openxmlformats.org/markup-compatibility/2006">
          <mc:Choice Requires="x14">
            <control shapeId="2113" r:id="rId50" name="Check Box 65">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0" id="{4C3B599F-CC93-46E2-96A0-7EDFB1D548F9}">
            <xm:f>$A$9&lt;&gt;'Sprachen &amp; Rückgabewerte'!$H$132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479" id="{082CA4F7-A3BB-4BDB-BBA3-E0DD2042F4C0}">
            <xm:f>'Sprachen &amp; Rückgabewerte'!$I$12=FALSE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36" id="{2D9C7969-3097-494A-80CA-D3D575CB5772}">
            <xm:f>'Sprachen &amp; Rückgabewerte'!$U$49=FALSE</xm:f>
            <x14:dxf>
              <border>
                <bottom style="thin">
                  <color rgb="FFFF0000"/>
                </bottom>
                <vertical/>
                <horizontal/>
              </border>
            </x14:dxf>
          </x14:cfRule>
          <x14:cfRule type="expression" priority="478" id="{4979C0D1-4F27-457A-BF2E-722ED7D4537D}">
            <xm:f>AND('Sprachen &amp; Rückgabewerte'!$I$11=FALSE,'Sprachen &amp; Rückgabewerte'!$I$12=FALSE)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477" id="{6807A594-23FA-49C5-9077-AEA6069DEE9C}">
            <xm:f>AND('Sprachen &amp; Rückgabewerte'!$I$10=FALSE,'Sprachen &amp; Rückgabewerte'!$I$11=FALSE,'Sprachen &amp; Rückgabewerte'!$I$12=FALSE)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58" id="{09770D21-B614-43EA-BA3A-3FB0E873DD4B}">
            <xm:f>AND($AP$86="",'Sprachen &amp; Rückgabewerte'!$I$51=TRUE)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475" id="{4D0B24C1-E1E0-4E5A-A4FD-1484D87E2483}">
            <xm:f>'Sprachen &amp; Rückgabewerte'!$I$51=TRUE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473" id="{D310F8AE-5035-40D9-940D-46DB16A27C18}">
            <xm:f>'Sprachen &amp; Rückgabewerte'!$C$41=FALSE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339" id="{658341EA-B03F-4685-BF39-3F4509788787}">
            <xm:f>'Sprachen &amp; Rückgabewerte'!$C$42=FALSE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93" id="{1B12295F-9A4A-4B59-B3F9-BD5CC2D55D77}">
            <xm:f>'Sprachen &amp; Rückgabewerte'!$C$43=FALSE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92" id="{F68CD35B-2829-46B8-93CA-CA1D5258511E}">
            <xm:f>'Sprachen &amp; Rückgabewerte'!$C$44=FALSE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86" id="{7FEE6610-B07A-40BE-A7EF-A232BA68AB13}">
            <xm:f>'Sprachen &amp; Rückgabewerte'!$C$45=FALSE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547" id="{D507BB43-BD5F-4C77-8248-9C0AA09E17A9}">
            <xm:f>'Sprachen &amp; Rückgabewerte'!$C$46=FALSE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466" id="{BBFDD7AE-319D-4CB7-A85D-BD566DA9E85F}">
            <xm:f>'Sprachen &amp; Rückgabewerte'!$C$47=FALSE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82" id="{D80EC06C-2329-4CFA-974D-8D4775AC8C70}">
            <xm:f>'Sprachen &amp; Rückgabewerte'!$C$49=FALSE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442" id="{B25A7B0D-B93A-4F69-B8C6-376BDA5E3EED}">
            <xm:f>G$20='Sprachen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462" id="{A6C258F1-2893-4B8F-BDA5-90DFB72B53A2}">
            <xm:f>G$20='Sprachen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402" id="{9B2879D9-406B-429B-A50D-779472AF73AF}">
            <xm:f>'Sprachen &amp; Rückgabewerte'!$L$41=0</xm:f>
            <x14:dxf>
              <border>
                <left style="thin">
                  <color rgb="FFFF0000"/>
                </left>
                <vertical/>
                <horizontal/>
              </border>
            </x14:dxf>
          </x14:cfRule>
          <xm:sqref>C5:C8</xm:sqref>
        </x14:conditionalFormatting>
        <x14:conditionalFormatting xmlns:xm="http://schemas.microsoft.com/office/excel/2006/main">
          <x14:cfRule type="expression" priority="401" id="{6C8E224F-4117-48DD-B898-BE63D62E95F7}">
            <xm:f>'Sprachen &amp; Rückgabewerte'!$L$41=0</xm:f>
            <x14:dxf>
              <border>
                <top style="thin">
                  <color rgb="FFFF0000"/>
                </top>
                <vertical/>
                <horizontal/>
              </border>
            </x14:dxf>
          </x14:cfRule>
          <xm:sqref>C5:R5</xm:sqref>
        </x14:conditionalFormatting>
        <x14:conditionalFormatting xmlns:xm="http://schemas.microsoft.com/office/excel/2006/main">
          <x14:cfRule type="expression" priority="400" id="{93270315-8226-43F6-ACCA-721497C98F6F}">
            <xm:f>'Sprachen &amp; Rückgabewerte'!$L$41=0</xm:f>
            <x14:dxf>
              <border>
                <right style="thin">
                  <color rgb="FFFF0000"/>
                </right>
                <vertical/>
                <horizontal/>
              </border>
            </x14:dxf>
          </x14:cfRule>
          <xm:sqref>R5:R8</xm:sqref>
        </x14:conditionalFormatting>
        <x14:conditionalFormatting xmlns:xm="http://schemas.microsoft.com/office/excel/2006/main">
          <x14:cfRule type="expression" priority="399" id="{1C1D9CC1-5C23-4EA9-90F2-036557639925}">
            <xm:f>'Sprachen &amp; Rückgabewerte'!$L$41=0</xm:f>
            <x14:dxf>
              <border>
                <bottom style="thin">
                  <color rgb="FFFF0000"/>
                </bottom>
                <vertical/>
                <horizontal/>
              </border>
            </x14:dxf>
          </x14:cfRule>
          <xm:sqref>C8:R8</xm:sqref>
        </x14:conditionalFormatting>
        <x14:conditionalFormatting xmlns:xm="http://schemas.microsoft.com/office/excel/2006/main">
          <x14:cfRule type="expression" priority="398" id="{97ABD76C-7941-4561-BF40-3875D114261D}">
            <xm:f>'Sprachen &amp; Rückgabewerte'!$L$42=0</xm:f>
            <x14:dxf>
              <border>
                <left style="thin">
                  <color rgb="FFFF0000"/>
                </left>
                <vertical/>
                <horizontal/>
              </border>
            </x14:dxf>
          </x14:cfRule>
          <xm:sqref>S5:S8</xm:sqref>
        </x14:conditionalFormatting>
        <x14:conditionalFormatting xmlns:xm="http://schemas.microsoft.com/office/excel/2006/main">
          <x14:cfRule type="expression" priority="155" id="{3753A55A-5671-45EC-AF57-0A1A5678984B}">
            <xm:f>'Sprachen &amp; Rückgabewerte'!$L$42=0</xm:f>
            <x14:dxf>
              <border>
                <top style="thin">
                  <color rgb="FFFF0000"/>
                </top>
                <vertical/>
                <horizontal/>
              </border>
            </x14:dxf>
          </x14:cfRule>
          <xm:sqref>S5:AG5</xm:sqref>
        </x14:conditionalFormatting>
        <x14:conditionalFormatting xmlns:xm="http://schemas.microsoft.com/office/excel/2006/main">
          <x14:cfRule type="expression" priority="396" id="{8940A42F-45EA-43B0-82CA-ED71BD16EBFB}">
            <xm:f>'Sprachen &amp; Rückgabewerte'!$L$42=0</xm:f>
            <x14:dxf>
              <border>
                <right style="thin">
                  <color rgb="FFFF0000"/>
                </right>
                <vertical/>
                <horizontal/>
              </border>
            </x14:dxf>
          </x14:cfRule>
          <xm:sqref>AG5:AG8</xm:sqref>
        </x14:conditionalFormatting>
        <x14:conditionalFormatting xmlns:xm="http://schemas.microsoft.com/office/excel/2006/main">
          <x14:cfRule type="expression" priority="395" id="{4FB0F3E9-62C9-4BB6-B08D-46F107BE8828}">
            <xm:f>'Sprachen &amp; Rückgabewerte'!$L$42=0</xm:f>
            <x14:dxf>
              <border>
                <bottom style="thin">
                  <color rgb="FFFF0000"/>
                </bottom>
                <vertical/>
                <horizontal/>
              </border>
            </x14:dxf>
          </x14:cfRule>
          <xm:sqref>S8:AG8</xm:sqref>
        </x14:conditionalFormatting>
        <x14:conditionalFormatting xmlns:xm="http://schemas.microsoft.com/office/excel/2006/main">
          <x14:cfRule type="expression" priority="394" id="{413A127C-3F89-44C1-8968-E5DD32514790}">
            <xm:f>'Sprachen &amp; Rückgabewerte'!$L$43=0</xm:f>
            <x14:dxf>
              <border>
                <left style="thin">
                  <color rgb="FFFF0000"/>
                </left>
                <vertical/>
                <horizontal/>
              </border>
            </x14:dxf>
          </x14:cfRule>
          <xm:sqref>AH5:AH8</xm:sqref>
        </x14:conditionalFormatting>
        <x14:conditionalFormatting xmlns:xm="http://schemas.microsoft.com/office/excel/2006/main">
          <x14:cfRule type="expression" priority="152" id="{C69D6067-8572-40C3-9169-4644E6C0A904}">
            <xm:f>'Sprachen &amp; Rückgabewerte'!$L$43=0</xm:f>
            <x14:dxf>
              <border>
                <top style="thin">
                  <color rgb="FFFF0000"/>
                </top>
                <vertical/>
                <horizontal/>
              </border>
            </x14:dxf>
          </x14:cfRule>
          <xm:sqref>AH5:AM5</xm:sqref>
        </x14:conditionalFormatting>
        <x14:conditionalFormatting xmlns:xm="http://schemas.microsoft.com/office/excel/2006/main">
          <x14:cfRule type="expression" priority="392" id="{85DBBB4B-41E6-4CD4-B9C8-0AAF8D5402D6}">
            <xm:f>'Sprachen &amp; Rückgabewerte'!$L$43=0</xm:f>
            <x14:dxf>
              <border>
                <right style="thin">
                  <color rgb="FFFF0000"/>
                </right>
                <vertical/>
                <horizontal/>
              </border>
            </x14:dxf>
          </x14:cfRule>
          <xm:sqref>AM5:AM8</xm:sqref>
        </x14:conditionalFormatting>
        <x14:conditionalFormatting xmlns:xm="http://schemas.microsoft.com/office/excel/2006/main">
          <x14:cfRule type="expression" priority="391" id="{247D74DA-2DD5-4574-85E7-E8BA775863B2}">
            <xm:f>'Sprachen &amp; Rückgabewerte'!$L$43=0</xm:f>
            <x14:dxf>
              <border>
                <bottom style="thin">
                  <color rgb="FFFF0000"/>
                </bottom>
                <vertical/>
                <horizontal/>
              </border>
            </x14:dxf>
          </x14:cfRule>
          <xm:sqref>AH8:AM8</xm:sqref>
        </x14:conditionalFormatting>
        <x14:conditionalFormatting xmlns:xm="http://schemas.microsoft.com/office/excel/2006/main">
          <x14:cfRule type="expression" priority="390" id="{D6E0E1D0-835F-46B3-8F7C-121E814A05CA}">
            <xm:f>'Sprachen &amp; Rückgabewerte'!$L$44=0</xm:f>
            <x14:dxf>
              <border>
                <left style="thin">
                  <color rgb="FFFF0000"/>
                </left>
                <vertical/>
                <horizontal/>
              </border>
            </x14:dxf>
          </x14:cfRule>
          <xm:sqref>AN5:AN8</xm:sqref>
        </x14:conditionalFormatting>
        <x14:conditionalFormatting xmlns:xm="http://schemas.microsoft.com/office/excel/2006/main">
          <x14:cfRule type="expression" priority="389" id="{FFEE65DF-5171-448C-A731-03A155C5704E}">
            <xm:f>'Sprachen &amp; Rückgabewerte'!$L$44=0</xm:f>
            <x14:dxf>
              <border>
                <top style="thin">
                  <color rgb="FFFF0000"/>
                </top>
                <vertical/>
                <horizontal/>
              </border>
            </x14:dxf>
          </x14:cfRule>
          <xm:sqref>AN5:AT5</xm:sqref>
        </x14:conditionalFormatting>
        <x14:conditionalFormatting xmlns:xm="http://schemas.microsoft.com/office/excel/2006/main">
          <x14:cfRule type="expression" priority="388" id="{78E3A88B-5830-4DEA-9C2A-39983FB1EF92}">
            <xm:f>'Sprachen &amp; Rückgabewerte'!$L$44=0</xm:f>
            <x14:dxf>
              <border>
                <right style="thin">
                  <color rgb="FFFF0000"/>
                </right>
                <vertical/>
                <horizontal/>
              </border>
            </x14:dxf>
          </x14:cfRule>
          <xm:sqref>AT5:AT8</xm:sqref>
        </x14:conditionalFormatting>
        <x14:conditionalFormatting xmlns:xm="http://schemas.microsoft.com/office/excel/2006/main">
          <x14:cfRule type="expression" priority="387" id="{59AE603F-97ED-49BC-9ED3-453E33B6E634}">
            <xm:f>'Sprachen &amp; Rückgabewerte'!$L$44=0</xm:f>
            <x14:dxf>
              <border>
                <bottom style="thin">
                  <color rgb="FFFF0000"/>
                </bottom>
                <vertical/>
                <horizontal/>
              </border>
            </x14:dxf>
          </x14:cfRule>
          <xm:sqref>AN8:AT8</xm:sqref>
        </x14:conditionalFormatting>
        <x14:conditionalFormatting xmlns:xm="http://schemas.microsoft.com/office/excel/2006/main">
          <x14:cfRule type="expression" priority="385" id="{4040DA42-B028-45C8-8861-50810F047BF6}">
            <xm:f>'Sprachen &amp; Rückgabewerte'!$L$45=0</xm:f>
            <x14:dxf>
              <border>
                <left style="thin">
                  <color rgb="FFFF0000"/>
                </left>
                <vertical/>
                <horizontal/>
              </border>
            </x14:dxf>
          </x14:cfRule>
          <xm:sqref>C9:C30</xm:sqref>
        </x14:conditionalFormatting>
        <x14:conditionalFormatting xmlns:xm="http://schemas.microsoft.com/office/excel/2006/main">
          <x14:cfRule type="expression" priority="378" id="{C41E1FA2-06B0-46C0-81DD-C60D3F3D88D2}">
            <xm:f>'Sprachen &amp; Rückgabewerte'!$L$46=0</xm:f>
            <x14:dxf>
              <border>
                <bottom style="thin">
                  <color rgb="FFFF0000"/>
                </bottom>
                <vertical/>
                <horizontal/>
              </border>
            </x14:dxf>
          </x14:cfRule>
          <x14:cfRule type="expression" priority="384" id="{6754468F-9C24-4C3B-99A4-FFF3242DF8DB}">
            <xm:f>'Sprachen &amp; Rückgabewerte'!$L$45=0</xm:f>
            <x14:dxf>
              <border>
                <bottom style="thin">
                  <color rgb="FFFF0000"/>
                </bottom>
                <vertical/>
                <horizontal/>
              </border>
            </x14:dxf>
          </x14:cfRule>
          <xm:sqref>C30:AT30</xm:sqref>
        </x14:conditionalFormatting>
        <x14:conditionalFormatting xmlns:xm="http://schemas.microsoft.com/office/excel/2006/main">
          <x14:cfRule type="expression" priority="383" id="{C7665F82-0B15-40A5-AD21-43861A640D8B}">
            <xm:f>'Sprachen &amp; Rückgabewerte'!$L$45=0</xm:f>
            <x14:dxf>
              <border>
                <top style="thin">
                  <color rgb="FFFF0000"/>
                </top>
                <vertical/>
                <horizontal/>
              </border>
            </x14:dxf>
          </x14:cfRule>
          <xm:sqref>C9:AT9</xm:sqref>
        </x14:conditionalFormatting>
        <x14:conditionalFormatting xmlns:xm="http://schemas.microsoft.com/office/excel/2006/main">
          <x14:cfRule type="expression" priority="382" id="{63993AA7-06B5-4D57-A595-D032E2FE17E4}">
            <xm:f>'Sprachen &amp; Rückgabewerte'!$L$45=0</xm:f>
            <x14:dxf>
              <border>
                <right style="thin">
                  <color rgb="FFFF0000"/>
                </right>
                <vertical/>
                <horizontal/>
              </border>
            </x14:dxf>
          </x14:cfRule>
          <xm:sqref>AT9:AT30</xm:sqref>
        </x14:conditionalFormatting>
        <x14:conditionalFormatting xmlns:xm="http://schemas.microsoft.com/office/excel/2006/main">
          <x14:cfRule type="expression" priority="381" id="{51DAB7B2-9493-4B8E-B494-29290697C846}">
            <xm:f>'Sprachen &amp; Rückgabewerte'!$L$46=0</xm:f>
            <x14:dxf>
              <border>
                <left style="thin">
                  <color rgb="FFFF0000"/>
                </left>
                <vertical/>
                <horizontal/>
              </border>
            </x14:dxf>
          </x14:cfRule>
          <xm:sqref>C27:C30</xm:sqref>
        </x14:conditionalFormatting>
        <x14:conditionalFormatting xmlns:xm="http://schemas.microsoft.com/office/excel/2006/main">
          <x14:cfRule type="expression" priority="380" id="{36B7EA29-226E-43A9-BB26-F81F50C24B45}">
            <xm:f>'Sprachen &amp; Rückgabewerte'!$L$46=0</xm:f>
            <x14:dxf>
              <border>
                <top style="thin">
                  <color rgb="FFFF0000"/>
                </top>
                <vertical/>
                <horizontal/>
              </border>
            </x14:dxf>
          </x14:cfRule>
          <xm:sqref>C27:AT27</xm:sqref>
        </x14:conditionalFormatting>
        <x14:conditionalFormatting xmlns:xm="http://schemas.microsoft.com/office/excel/2006/main">
          <x14:cfRule type="expression" priority="379" id="{98F98220-761E-4662-ABA2-BEBCF326A417}">
            <xm:f>'Sprachen &amp; Rückgabewerte'!$L$46=0</xm:f>
            <x14:dxf>
              <border>
                <right style="thin">
                  <color rgb="FFFF0000"/>
                </right>
                <vertical/>
                <horizontal/>
              </border>
            </x14:dxf>
          </x14:cfRule>
          <xm:sqref>AT27:AT30</xm:sqref>
        </x14:conditionalFormatting>
        <x14:conditionalFormatting xmlns:xm="http://schemas.microsoft.com/office/excel/2006/main">
          <x14:cfRule type="expression" priority="377" id="{CF6ED8AE-189D-4F4C-9F3B-991D1A47B084}">
            <xm:f>'Sprachen &amp; Rückgabewerte'!$L$47=0</xm:f>
            <x14:dxf>
              <border>
                <left style="thin">
                  <color rgb="FFFF0000"/>
                </left>
                <vertical/>
                <horizontal/>
              </border>
            </x14:dxf>
          </x14:cfRule>
          <xm:sqref>C32:C35</xm:sqref>
        </x14:conditionalFormatting>
        <x14:conditionalFormatting xmlns:xm="http://schemas.microsoft.com/office/excel/2006/main">
          <x14:cfRule type="expression" priority="376" id="{6BFA68C8-42C1-4B47-9358-FB0CD57E7663}">
            <xm:f>'Sprachen &amp; Rückgabewerte'!$L$47=0</xm:f>
            <x14:dxf>
              <border>
                <top style="thin">
                  <color rgb="FFFF0000"/>
                </top>
                <vertical/>
                <horizontal/>
              </border>
            </x14:dxf>
          </x14:cfRule>
          <xm:sqref>C32:AB32</xm:sqref>
        </x14:conditionalFormatting>
        <x14:conditionalFormatting xmlns:xm="http://schemas.microsoft.com/office/excel/2006/main">
          <x14:cfRule type="expression" priority="375" id="{2343BF5F-418E-4E7F-88AA-1AD75D02B5BF}">
            <xm:f>'Sprachen &amp; Rückgabewerte'!$L$47=0</xm:f>
            <x14:dxf>
              <border>
                <right style="thin">
                  <color rgb="FFFF0000"/>
                </right>
                <vertical/>
                <horizontal/>
              </border>
            </x14:dxf>
          </x14:cfRule>
          <xm:sqref>AB32:AB35</xm:sqref>
        </x14:conditionalFormatting>
        <x14:conditionalFormatting xmlns:xm="http://schemas.microsoft.com/office/excel/2006/main">
          <x14:cfRule type="expression" priority="374" id="{06E6AEE8-181B-4EF5-AC65-8D2DC81A8CE1}">
            <xm:f>'Sprachen &amp; Rückgabewerte'!$L$47=0</xm:f>
            <x14:dxf>
              <border>
                <bottom style="thin">
                  <color rgb="FFFF0000"/>
                </bottom>
                <vertical/>
                <horizontal/>
              </border>
            </x14:dxf>
          </x14:cfRule>
          <xm:sqref>C35:AB35</xm:sqref>
        </x14:conditionalFormatting>
        <x14:conditionalFormatting xmlns:xm="http://schemas.microsoft.com/office/excel/2006/main">
          <x14:cfRule type="expression" priority="373" id="{629DB50E-DAE0-4DF7-B654-DE827E6CBF66}">
            <xm:f>'Sprachen &amp; Rückgabewerte'!$M$49=0</xm:f>
            <x14:dxf>
              <border>
                <left style="thin">
                  <color rgb="FFFF0000"/>
                </left>
                <vertical/>
                <horizontal/>
              </border>
            </x14:dxf>
          </x14:cfRule>
          <xm:sqref>C36:C60</xm:sqref>
        </x14:conditionalFormatting>
        <x14:conditionalFormatting xmlns:xm="http://schemas.microsoft.com/office/excel/2006/main">
          <x14:cfRule type="expression" priority="372" id="{27C29809-1434-4E5B-AEBB-9ED431AAA5B6}">
            <xm:f>'Sprachen &amp; Rückgabewerte'!$M$49=0</xm:f>
            <x14:dxf>
              <border>
                <top style="thin">
                  <color rgb="FFFF0000"/>
                </top>
                <vertical/>
                <horizontal/>
              </border>
            </x14:dxf>
          </x14:cfRule>
          <xm:sqref>C36:O36</xm:sqref>
        </x14:conditionalFormatting>
        <x14:conditionalFormatting xmlns:xm="http://schemas.microsoft.com/office/excel/2006/main">
          <x14:cfRule type="expression" priority="371" id="{FC29D0AD-337D-4AAA-8F76-766FEE194275}">
            <xm:f>'Sprachen &amp; Rückgabewerte'!$M$49=0</xm:f>
            <x14:dxf>
              <border>
                <right style="thin">
                  <color rgb="FFFF0000"/>
                </right>
                <vertical/>
                <horizontal/>
              </border>
            </x14:dxf>
          </x14:cfRule>
          <xm:sqref>O36:O60</xm:sqref>
        </x14:conditionalFormatting>
        <x14:conditionalFormatting xmlns:xm="http://schemas.microsoft.com/office/excel/2006/main">
          <x14:cfRule type="expression" priority="370" id="{CEBDF11D-21DC-4208-AF8A-C18428509F6D}">
            <xm:f>'Sprachen &amp; Rückgabewerte'!$M$49=0</xm:f>
            <x14:dxf>
              <border>
                <bottom style="thin">
                  <color rgb="FFFF0000"/>
                </bottom>
                <vertical/>
                <horizontal/>
              </border>
            </x14:dxf>
          </x14:cfRule>
          <xm:sqref>C60:O60</xm:sqref>
        </x14:conditionalFormatting>
        <x14:conditionalFormatting xmlns:xm="http://schemas.microsoft.com/office/excel/2006/main">
          <x14:cfRule type="expression" priority="368" id="{13469A50-4B38-4AA5-9D49-9E8D8363B7D8}">
            <xm:f>'Sprachen &amp; Rückgabewerte'!$L$50=0</xm:f>
            <x14:dxf>
              <border>
                <top style="thin">
                  <color rgb="FFFF0000"/>
                </top>
                <vertical/>
                <horizontal/>
              </border>
            </x14:dxf>
          </x14:cfRule>
          <xm:sqref>P36:AB36</xm:sqref>
        </x14:conditionalFormatting>
        <x14:conditionalFormatting xmlns:xm="http://schemas.microsoft.com/office/excel/2006/main">
          <x14:cfRule type="expression" priority="367" id="{7DDA2CEC-51AC-4526-A239-1469FE0FB14F}">
            <xm:f>'Sprachen &amp; Rückgabewerte'!$L$50=0</xm:f>
            <x14:dxf>
              <border>
                <right style="thin">
                  <color rgb="FFFF0000"/>
                </right>
              </border>
            </x14:dxf>
          </x14:cfRule>
          <xm:sqref>AB36:AB60</xm:sqref>
        </x14:conditionalFormatting>
        <x14:conditionalFormatting xmlns:xm="http://schemas.microsoft.com/office/excel/2006/main">
          <x14:cfRule type="expression" priority="366" id="{EAAF8F36-9795-443E-82FA-9F9264351F6C}">
            <xm:f>'Sprachen &amp; Rückgabewerte'!$L$50=0</xm:f>
            <x14:dxf>
              <border>
                <bottom style="thin">
                  <color rgb="FFFF0000"/>
                </bottom>
                <vertical/>
                <horizontal/>
              </border>
            </x14:dxf>
          </x14:cfRule>
          <xm:sqref>P60:AB60</xm:sqref>
        </x14:conditionalFormatting>
        <x14:conditionalFormatting xmlns:xm="http://schemas.microsoft.com/office/excel/2006/main">
          <x14:cfRule type="expression" priority="365" id="{008997B1-ABFE-4600-90C7-E69B61B1F7F7}">
            <xm:f>'Sprachen &amp; Rückgabewerte'!$L$50=0</xm:f>
            <x14:dxf>
              <border>
                <left style="thin">
                  <color rgb="FFFF0000"/>
                </left>
                <vertical/>
                <horizontal/>
              </border>
            </x14:dxf>
          </x14:cfRule>
          <xm:sqref>P36:P43</xm:sqref>
        </x14:conditionalFormatting>
        <x14:conditionalFormatting xmlns:xm="http://schemas.microsoft.com/office/excel/2006/main">
          <x14:cfRule type="expression" priority="364" id="{C5C7B3EA-B77C-4EC0-BDFA-0D703D681A42}">
            <xm:f>'Sprachen &amp; Rückgabewerte'!$L$50=0</xm:f>
            <x14:dxf>
              <border>
                <left style="thin">
                  <color rgb="FFFF0000"/>
                </left>
                <vertical/>
                <horizontal/>
              </border>
            </x14:dxf>
          </x14:cfRule>
          <xm:sqref>P44:S45</xm:sqref>
        </x14:conditionalFormatting>
        <x14:conditionalFormatting xmlns:xm="http://schemas.microsoft.com/office/excel/2006/main">
          <x14:cfRule type="expression" priority="363" id="{0E9C109C-7A5D-4D2C-80CF-271B07ADFE16}">
            <xm:f>'Sprachen &amp; Rückgabewerte'!$L$50=0</xm:f>
            <x14:dxf>
              <border>
                <left style="thin">
                  <color rgb="FFFF0000"/>
                </left>
                <vertical/>
                <horizontal/>
              </border>
            </x14:dxf>
          </x14:cfRule>
          <xm:sqref>P46:P60</xm:sqref>
        </x14:conditionalFormatting>
        <x14:conditionalFormatting xmlns:xm="http://schemas.microsoft.com/office/excel/2006/main">
          <x14:cfRule type="expression" priority="361" id="{574CD065-223D-487F-A65C-A53ECF149BD1}">
            <xm:f>'Sprachen &amp; Rückgabewerte'!$L$51=0</xm:f>
            <x14:dxf>
              <border>
                <top style="thin">
                  <color rgb="FFFF0000"/>
                </top>
                <vertical/>
                <horizontal/>
              </border>
            </x14:dxf>
          </x14:cfRule>
          <xm:sqref>AE32:AT32</xm:sqref>
        </x14:conditionalFormatting>
        <x14:conditionalFormatting xmlns:xm="http://schemas.microsoft.com/office/excel/2006/main">
          <x14:cfRule type="expression" priority="130" id="{BC8335D2-DB29-48F5-B407-45EABD45FFA5}">
            <xm:f>AND($AY$43&lt;&gt;0,'Sprachen &amp; Rückgabewerte'!$I$19=TRUE)</xm:f>
            <x14:dxf>
              <border>
                <right style="thin">
                  <color rgb="FFFF0000"/>
                </right>
                <vertical/>
                <horizontal/>
              </border>
            </x14:dxf>
          </x14:cfRule>
          <x14:cfRule type="expression" priority="360" id="{E4A93283-9676-43DE-8437-198335DCA7DC}">
            <xm:f>'Sprachen &amp; Rückgabewerte'!$L$51=0</xm:f>
            <x14:dxf>
              <border>
                <right style="thin">
                  <color rgb="FFFF0000"/>
                </right>
                <vertical/>
                <horizontal/>
              </border>
            </x14:dxf>
          </x14:cfRule>
          <xm:sqref>AT32:AT40</xm:sqref>
        </x14:conditionalFormatting>
        <x14:conditionalFormatting xmlns:xm="http://schemas.microsoft.com/office/excel/2006/main">
          <x14:cfRule type="expression" priority="359" id="{112D9614-B2A7-42D3-A82C-2B48ED2625BF}">
            <xm:f>'Sprachen &amp; Rückgabewerte'!$L$51=0</xm:f>
            <x14:dxf>
              <border>
                <bottom style="thin">
                  <color rgb="FFFF0000"/>
                </bottom>
                <vertical/>
                <horizontal/>
              </border>
            </x14:dxf>
          </x14:cfRule>
          <xm:sqref>AE40:AT40</xm:sqref>
        </x14:conditionalFormatting>
        <x14:conditionalFormatting xmlns:xm="http://schemas.microsoft.com/office/excel/2006/main">
          <x14:cfRule type="expression" priority="357" id="{2C6903C0-D6B7-4EA9-A164-5C352A8BC1C1}">
            <xm:f>'Sprachen &amp; Rückgabewerte'!$L$52=0</xm:f>
            <x14:dxf>
              <border>
                <top style="thin">
                  <color rgb="FFFF0000"/>
                </top>
                <vertical/>
                <horizontal/>
              </border>
            </x14:dxf>
          </x14:cfRule>
          <xm:sqref>AE42:AT42</xm:sqref>
        </x14:conditionalFormatting>
        <x14:conditionalFormatting xmlns:xm="http://schemas.microsoft.com/office/excel/2006/main">
          <x14:cfRule type="expression" priority="356" id="{A43C25EF-7FC2-453E-A863-A36897753761}">
            <xm:f>'Sprachen &amp; Rückgabewerte'!$L$52=0</xm:f>
            <x14:dxf>
              <border>
                <right style="thin">
                  <color rgb="FFFF0000"/>
                </right>
                <vertical/>
                <horizontal/>
              </border>
            </x14:dxf>
          </x14:cfRule>
          <xm:sqref>AT42:AT50</xm:sqref>
        </x14:conditionalFormatting>
        <x14:conditionalFormatting xmlns:xm="http://schemas.microsoft.com/office/excel/2006/main">
          <x14:cfRule type="expression" priority="355" id="{63906533-387F-422B-9B27-8C1B8CFC4333}">
            <xm:f>'Sprachen &amp; Rückgabewerte'!$L$52=0</xm:f>
            <x14:dxf>
              <border>
                <bottom style="thin">
                  <color rgb="FFFF0000"/>
                </bottom>
                <vertical/>
                <horizontal/>
              </border>
            </x14:dxf>
          </x14:cfRule>
          <xm:sqref>AM50:AT50</xm:sqref>
        </x14:conditionalFormatting>
        <x14:conditionalFormatting xmlns:xm="http://schemas.microsoft.com/office/excel/2006/main">
          <x14:cfRule type="expression" priority="216" id="{F7A30F78-A069-491E-AC7E-95491E41BAE3}">
            <xm:f>OR('Sprachen &amp; Rückgabewerte'!$I$36=TRUE,'Sprachen &amp; Rückgabewerte'!$I$39=TRUE)</xm:f>
            <x14:dxf>
              <font>
                <color theme="1"/>
              </font>
            </x14:dxf>
          </x14:cfRule>
          <x14:cfRule type="expression" priority="354" id="{F61DC8D9-BA7C-40F2-9D0B-A3BE61349B0B}">
            <xm:f>'Sprachen &amp; Rückgabewerte'!$L$52=0</xm:f>
            <x14:dxf>
              <border>
                <bottom style="thin">
                  <color rgb="FFFF0000"/>
                </bottom>
                <vertical/>
                <horizontal/>
              </border>
            </x14:dxf>
          </x14:cfRule>
          <xm:sqref>AF48:AL50</xm:sqref>
        </x14:conditionalFormatting>
        <x14:conditionalFormatting xmlns:xm="http://schemas.microsoft.com/office/excel/2006/main">
          <x14:cfRule type="expression" priority="353" id="{E79160EE-A0C6-49E9-952D-2AEBB2CDC61E}">
            <xm:f>'Sprachen &amp; Rückgabewerte'!$L$52=0</xm:f>
            <x14:dxf>
              <border>
                <bottom style="thin">
                  <color rgb="FFFF0000"/>
                </bottom>
                <vertical/>
                <horizontal/>
              </border>
            </x14:dxf>
          </x14:cfRule>
          <xm:sqref>AE50</xm:sqref>
        </x14:conditionalFormatting>
        <x14:conditionalFormatting xmlns:xm="http://schemas.microsoft.com/office/excel/2006/main">
          <x14:cfRule type="expression" priority="351" id="{A77CF461-5036-4B96-9AFE-5404670C1E8C}">
            <xm:f>'Sprachen &amp; Rückgabewerte'!$L$53=0</xm:f>
            <x14:dxf>
              <border>
                <top style="thin">
                  <color rgb="FFFF0000"/>
                </top>
                <vertical/>
                <horizontal/>
              </border>
            </x14:dxf>
          </x14:cfRule>
          <xm:sqref>AE52:AT52</xm:sqref>
        </x14:conditionalFormatting>
        <x14:conditionalFormatting xmlns:xm="http://schemas.microsoft.com/office/excel/2006/main">
          <x14:cfRule type="expression" priority="350" id="{BE57AD4E-14DB-4A35-A10B-3CEB76DBFF5E}">
            <xm:f>'Sprachen &amp; Rückgabewerte'!$L$53=0</xm:f>
            <x14:dxf>
              <border>
                <right style="thin">
                  <color rgb="FFFF0000"/>
                </right>
                <vertical/>
                <horizontal/>
              </border>
            </x14:dxf>
          </x14:cfRule>
          <xm:sqref>AT52:AT58</xm:sqref>
        </x14:conditionalFormatting>
        <x14:conditionalFormatting xmlns:xm="http://schemas.microsoft.com/office/excel/2006/main">
          <x14:cfRule type="expression" priority="349" id="{F6487480-8F9D-490B-99FA-5020089E814F}">
            <xm:f>'Sprachen &amp; Rückgabewerte'!$L$53=0</xm:f>
            <x14:dxf>
              <border>
                <bottom style="thin">
                  <color rgb="FFFF0000"/>
                </bottom>
                <vertical/>
                <horizontal/>
              </border>
            </x14:dxf>
          </x14:cfRule>
          <xm:sqref>AE58:AT58</xm:sqref>
        </x14:conditionalFormatting>
        <x14:conditionalFormatting xmlns:xm="http://schemas.microsoft.com/office/excel/2006/main">
          <x14:cfRule type="expression" priority="347" id="{9CE44EB0-89A8-4FC5-8847-ABDD43DFF319}">
            <xm:f>'Sprachen &amp; Rückgabewerte'!$L$54=0</xm:f>
            <x14:dxf>
              <border>
                <top style="thin">
                  <color rgb="FFFF0000"/>
                </top>
                <vertical/>
                <horizontal/>
              </border>
            </x14:dxf>
          </x14:cfRule>
          <xm:sqref>AE60:AT60</xm:sqref>
        </x14:conditionalFormatting>
        <x14:conditionalFormatting xmlns:xm="http://schemas.microsoft.com/office/excel/2006/main">
          <x14:cfRule type="expression" priority="346" id="{22C39B3E-EA88-4C2E-AE69-0BE93003D7DC}">
            <xm:f>'Sprachen &amp; Rückgabewerte'!$L$54=0</xm:f>
            <x14:dxf>
              <border>
                <right style="thin">
                  <color rgb="FFFF0000"/>
                </right>
                <vertical/>
                <horizontal/>
              </border>
            </x14:dxf>
          </x14:cfRule>
          <xm:sqref>AT60:AT71</xm:sqref>
        </x14:conditionalFormatting>
        <x14:conditionalFormatting xmlns:xm="http://schemas.microsoft.com/office/excel/2006/main">
          <x14:cfRule type="expression" priority="345" id="{693D484C-3D2D-4617-97D0-608C6D2A6AC0}">
            <xm:f>'Sprachen &amp; Rückgabewerte'!$L$54=0</xm:f>
            <x14:dxf>
              <border>
                <bottom style="thin">
                  <color rgb="FFFF0000"/>
                </bottom>
                <vertical/>
                <horizontal/>
              </border>
            </x14:dxf>
          </x14:cfRule>
          <xm:sqref>AE71:AT71</xm:sqref>
        </x14:conditionalFormatting>
        <x14:conditionalFormatting xmlns:xm="http://schemas.microsoft.com/office/excel/2006/main">
          <x14:cfRule type="expression" priority="343" id="{1E67870B-D4E4-45E5-BC95-582B0A966624}">
            <xm:f>'Sprachen &amp; Rückgabewerte'!$L$55=0</xm:f>
            <x14:dxf>
              <border>
                <top style="thin">
                  <color rgb="FFFF0000"/>
                </top>
                <vertical/>
                <horizontal/>
              </border>
            </x14:dxf>
          </x14:cfRule>
          <xm:sqref>AE83:AT83</xm:sqref>
        </x14:conditionalFormatting>
        <x14:conditionalFormatting xmlns:xm="http://schemas.microsoft.com/office/excel/2006/main">
          <x14:cfRule type="expression" priority="342" id="{4D5F6C1E-447E-4EFC-9F74-52EEA92C31E2}">
            <xm:f>'Sprachen &amp; Rückgabewerte'!$L$55=0</xm:f>
            <x14:dxf>
              <border>
                <right style="thin">
                  <color rgb="FFFF0000"/>
                </right>
                <vertical/>
                <horizontal/>
              </border>
            </x14:dxf>
          </x14:cfRule>
          <xm:sqref>AT83:AT93</xm:sqref>
        </x14:conditionalFormatting>
        <x14:conditionalFormatting xmlns:xm="http://schemas.microsoft.com/office/excel/2006/main">
          <x14:cfRule type="expression" priority="341" id="{E71E51A0-8B55-4A67-A705-C8849C80BE5E}">
            <xm:f>'Sprachen &amp; Rückgabewerte'!$L$55=0</xm:f>
            <x14:dxf>
              <border>
                <bottom style="thin">
                  <color rgb="FFFF0000"/>
                </bottom>
                <vertical/>
                <horizontal/>
              </border>
            </x14:dxf>
          </x14:cfRule>
          <xm:sqref>AE93:AT93</xm:sqref>
        </x14:conditionalFormatting>
        <x14:conditionalFormatting xmlns:xm="http://schemas.microsoft.com/office/excel/2006/main">
          <x14:cfRule type="expression" priority="334" id="{528AF54C-7CEC-4A63-BFF3-57E05229FCB0}">
            <xm:f>'Sprachen &amp; Rückgabewerte'!$M$59=0</xm:f>
            <x14:dxf>
              <border>
                <right style="thin">
                  <color rgb="FFFF0000"/>
                </right>
                <vertical/>
                <horizontal/>
              </border>
            </x14:dxf>
          </x14:cfRule>
          <xm:sqref>AB86</xm:sqref>
        </x14:conditionalFormatting>
        <x14:conditionalFormatting xmlns:xm="http://schemas.microsoft.com/office/excel/2006/main">
          <x14:cfRule type="expression" priority="333" id="{629CFD6F-98B4-44BC-A08A-43A2B44792A4}">
            <xm:f>'Sprachen &amp; Rückgabewerte'!$M$59=0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326" id="{23FE246D-832F-41D0-8C1B-2211340E26EC}">
            <xm:f>K$20='Sprachen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7" id="{FF76540C-4EB4-4834-BFED-4C5CEC16E07E}">
            <xm:f>K$20='Sprachen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324" id="{A84EA898-6EAB-4705-937C-2E4F012B2F31}">
            <xm:f>O$20='Sprachen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5" id="{BA859C25-747D-4A64-9F49-8CF41C812E08}">
            <xm:f>O$20='Sprachen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322" id="{9F7CE6F7-7110-4EEA-8817-8900144E9D41}">
            <xm:f>S$20='Sprachen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3" id="{490D8764-B7A0-4A0F-A68B-2B5688425CD0}">
            <xm:f>S$20='Sprachen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320" id="{A47C058C-CA8A-4172-87AD-1E8143843BD2}">
            <xm:f>W$20='Sprachen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1" id="{05C8FD02-8D5B-4FD4-A5A1-B76BF14A7FC6}">
            <xm:f>W$20='Sprachen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318" id="{590F1F50-DB34-4297-B655-44126255972E}">
            <xm:f>AA$20='Sprachen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19" id="{2B9C97FF-AC54-4CB3-AA5C-D619B59399EE}">
            <xm:f>AA$20='Sprachen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316" id="{0C53908B-E6A0-4612-8E88-00BAEF482A04}">
            <xm:f>AE$20='Sprachen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17" id="{592F0AF0-867A-4DE5-A75D-8BC1746B7873}">
            <xm:f>AE$20='Sprachen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314" id="{35D0F7EC-AE3D-408F-8EFF-BAE1B088B28D}">
            <xm:f>AI$20='Sprachen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15" id="{23078352-6B08-4E0B-9D0B-62ED05C2FD95}">
            <xm:f>AI$20='Sprachen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312" id="{098DF62C-6820-495A-A52F-020EFE9DBB7F}">
            <xm:f>AM$20='Sprachen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13" id="{576660C4-171E-4622-A117-6107C393FC2E}">
            <xm:f>AM$20='Sprachen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309" id="{69443AD2-555F-42C2-B94F-B3AF0077A83C}">
            <xm:f>'Sprachen &amp; Rückgabewerte'!$M$59=0</xm:f>
            <x14:dxf>
              <border>
                <top style="thin">
                  <color rgb="FFFF0000"/>
                </top>
                <vertical/>
                <horizontal/>
              </border>
            </x14:dxf>
          </x14:cfRule>
          <xm:sqref>L86:AB86</xm:sqref>
        </x14:conditionalFormatting>
        <x14:conditionalFormatting xmlns:xm="http://schemas.microsoft.com/office/excel/2006/main">
          <x14:cfRule type="expression" priority="308" id="{B96340AD-DD86-491F-AFB1-85E3CB12D9AB}">
            <xm:f>'Sprachen &amp; Rückgabewerte'!$M$59=0</xm:f>
            <x14:dxf>
              <border>
                <bottom style="thin">
                  <color rgb="FFFF0000"/>
                </bottom>
                <vertical/>
                <horizontal/>
              </border>
            </x14:dxf>
          </x14:cfRule>
          <xm:sqref>L97:AB97</xm:sqref>
        </x14:conditionalFormatting>
        <x14:conditionalFormatting xmlns:xm="http://schemas.microsoft.com/office/excel/2006/main">
          <x14:cfRule type="expression" priority="265" id="{D82EFCAB-7574-49D8-89FB-0833935795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63" id="{88698145-2C6A-4DFB-B60A-7E969C4AFA0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62" id="{DE2DA488-A332-45B4-AA4A-E3E6B1B5965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61" id="{BFE291E2-6676-4D8F-9353-F17CA8DF4209}">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60" id="{573A243E-6B71-4C36-B704-F7D3F11821A6}">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59" id="{7D9A6347-B5B7-419C-AE53-3BDAE1C2DFB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58" id="{D8369599-1775-4BF6-9818-E0A82D811ABD}">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57" id="{91D833F2-423A-4E80-866B-7388B3B7D64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56" id="{36388280-F24C-4707-93E7-CB09A6FC99F3}">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255" id="{BD14EB3C-5E98-4173-9113-C3EA144A10C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254" id="{3FF71CF9-C149-42D3-A598-3B00EE9584E7}">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253" id="{16E5547E-1F90-4007-8295-DDD8020595C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252" id="{17933CFB-9FCF-4E91-AEB5-6F3F4603189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251" id="{C0FDD986-F447-432C-957E-7D8B034B97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250" id="{116A4977-89DD-4D56-9F22-8B88C98809D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249" id="{A2AD3038-7D46-4A8B-A542-60F19B0388D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248" id="{9349992A-F404-4E98-9381-AB709EFD4D65}">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220" id="{293D9D92-3617-43ED-8611-380D03571DCD}">
            <xm:f>'Sprachen &amp; Rückgabewerte'!$I$133=TRUE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62" id="{4C1E806B-96D5-4403-98B4-A0D5A6645103}">
            <xm:f>AND($AL$39="",'Sprachen &amp; Rückgabewerte'!$I$22=TRUE)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19" id="{DE3B6DB4-86B6-459E-9DFD-CE7352108555}">
            <xm:f>'Sprachen &amp; Rückgabewerte'!$I$22=FALSE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78" id="{706223C7-BB6F-4132-825B-C71D52EB1C67}">
            <xm:f>'Sprachen &amp; Rückgabewerte'!$I$36=FALSE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2" id="{1662B34E-7F61-4F70-B3F9-BE130AD73CB5}">
            <xm:f>'Sprachen &amp; Rückgabewerte'!$I$39=FALSE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77" id="{371D2140-9E49-4DC7-94D3-6B23EE88F1D5}">
            <xm:f>AND('Sprachen &amp; Rückgabewerte'!$I$36=FALSE,'Sprachen &amp; Rückgabewerte'!$I$39=FALSE)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6" id="{7273CF32-6345-44F7-A7BC-1000A033B167}">
            <xm:f>'Sprachen &amp; Rückgabewerte'!$I$45=FALSE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212" id="{3D8EC986-9DBA-463B-A7CA-13E9DC3ABF56}">
            <xm:f>'Sprachen &amp; Rückgabewerte'!$L$67=TRUE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211" id="{D95FE6FD-7696-4C72-89CE-0423BBDEFA87}">
            <xm:f>'Sprachen &amp; Rückgabewerte'!$L$68=TRUE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28" id="{B16D7E35-8C2F-4672-8F9C-D94A55FEE831}">
            <xm:f>AND($AY$43&lt;&gt;0,'Sprachen &amp; Rückgabewerte'!$I$19=TRUE)</xm:f>
            <x14:dxf>
              <border>
                <left style="thin">
                  <color rgb="FFFF0000"/>
                </left>
                <bottom/>
                <vertical/>
                <horizontal/>
              </border>
            </x14:dxf>
          </x14:cfRule>
          <x14:cfRule type="expression" priority="209" id="{9D87161D-FFD6-477A-A507-6447D5401286}">
            <xm:f>'Sprachen &amp; Rückgabewerte'!$L$51=0</xm:f>
            <x14:dxf>
              <border>
                <left style="thin">
                  <color rgb="FFFF0000"/>
                </left>
                <vertical/>
                <horizontal/>
              </border>
            </x14:dxf>
          </x14:cfRule>
          <xm:sqref>AD32:AD40</xm:sqref>
        </x14:conditionalFormatting>
        <x14:conditionalFormatting xmlns:xm="http://schemas.microsoft.com/office/excel/2006/main">
          <x14:cfRule type="expression" priority="127" id="{9309BF26-E37B-43BD-98DD-33DC17F6E944}">
            <xm:f>AND($AY$43&lt;&gt;0,'Sprachen &amp; Rückgabewerte'!$I$19=TRUE)</xm:f>
            <x14:dxf>
              <border>
                <bottom style="thin">
                  <color rgb="FFFF0000"/>
                </bottom>
                <vertical/>
                <horizontal/>
              </border>
            </x14:dxf>
          </x14:cfRule>
          <x14:cfRule type="expression" priority="208" id="{EA8EAD5B-357A-4CCF-8978-8DE10903BF03}">
            <xm:f>'Sprachen &amp; Rückgabewerte'!$L$51=0</xm:f>
            <x14:dxf>
              <border>
                <bottom style="thin">
                  <color rgb="FFFF0000"/>
                </bottom>
                <vertical/>
                <horizontal/>
              </border>
            </x14:dxf>
          </x14:cfRule>
          <xm:sqref>AD40</xm:sqref>
        </x14:conditionalFormatting>
        <x14:conditionalFormatting xmlns:xm="http://schemas.microsoft.com/office/excel/2006/main">
          <x14:cfRule type="expression" priority="207" id="{AA43589D-9B2E-4B0A-A913-74706EDF2C6E}">
            <xm:f>'Sprachen &amp; Rückgabewerte'!$L$51=0</xm:f>
            <x14:dxf>
              <border>
                <top style="thin">
                  <color rgb="FFFF0000"/>
                </top>
                <vertical/>
                <horizontal/>
              </border>
            </x14:dxf>
          </x14:cfRule>
          <xm:sqref>AD32</xm:sqref>
        </x14:conditionalFormatting>
        <x14:conditionalFormatting xmlns:xm="http://schemas.microsoft.com/office/excel/2006/main">
          <x14:cfRule type="expression" priority="206" id="{19460B4C-2B32-4ABF-8640-C84337E0BA38}">
            <xm:f>'Sprachen &amp; Rückgabewerte'!$L$52=0</xm:f>
            <x14:dxf>
              <border>
                <left style="thin">
                  <color rgb="FFFF0000"/>
                </left>
                <vertical/>
                <horizontal/>
              </border>
            </x14:dxf>
          </x14:cfRule>
          <xm:sqref>AD42:AD50</xm:sqref>
        </x14:conditionalFormatting>
        <x14:conditionalFormatting xmlns:xm="http://schemas.microsoft.com/office/excel/2006/main">
          <x14:cfRule type="expression" priority="205" id="{D6D6E375-8C49-46D7-B0C0-362A4705F56B}">
            <xm:f>'Sprachen &amp; Rückgabewerte'!$L$52=0</xm:f>
            <x14:dxf>
              <border>
                <top style="thin">
                  <color rgb="FFFF0000"/>
                </top>
                <vertical/>
                <horizontal/>
              </border>
            </x14:dxf>
          </x14:cfRule>
          <xm:sqref>AD42</xm:sqref>
        </x14:conditionalFormatting>
        <x14:conditionalFormatting xmlns:xm="http://schemas.microsoft.com/office/excel/2006/main">
          <x14:cfRule type="expression" priority="204" id="{BDF5F173-A15D-4198-BF54-47694A2454D2}">
            <xm:f>'Sprachen &amp; Rückgabewerte'!$L$52=0</xm:f>
            <x14:dxf>
              <border>
                <bottom style="thin">
                  <color rgb="FFFF0000"/>
                </bottom>
                <vertical/>
                <horizontal/>
              </border>
            </x14:dxf>
          </x14:cfRule>
          <xm:sqref>AD50</xm:sqref>
        </x14:conditionalFormatting>
        <x14:conditionalFormatting xmlns:xm="http://schemas.microsoft.com/office/excel/2006/main">
          <x14:cfRule type="expression" priority="203" id="{FA76F8C3-CF64-4DB6-9689-4765074DE0D0}">
            <xm:f>'Sprachen &amp; Rückgabewerte'!$L$53=0</xm:f>
            <x14:dxf>
              <border>
                <left style="thin">
                  <color rgb="FFFF0000"/>
                </left>
                <vertical/>
                <horizontal/>
              </border>
            </x14:dxf>
          </x14:cfRule>
          <xm:sqref>AD52:AD58</xm:sqref>
        </x14:conditionalFormatting>
        <x14:conditionalFormatting xmlns:xm="http://schemas.microsoft.com/office/excel/2006/main">
          <x14:cfRule type="expression" priority="202" id="{B9B57EF6-BE68-4F01-AE90-F47AD29CCFCA}">
            <xm:f>'Sprachen &amp; Rückgabewerte'!$L$53=0</xm:f>
            <x14:dxf>
              <border>
                <top style="thin">
                  <color rgb="FFFF0000"/>
                </top>
                <vertical/>
                <horizontal/>
              </border>
            </x14:dxf>
          </x14:cfRule>
          <xm:sqref>AD52</xm:sqref>
        </x14:conditionalFormatting>
        <x14:conditionalFormatting xmlns:xm="http://schemas.microsoft.com/office/excel/2006/main">
          <x14:cfRule type="expression" priority="201" id="{4ED43696-078F-4FFB-AF3C-E1E3F08AD99D}">
            <xm:f>'Sprachen &amp; Rückgabewerte'!$L$53=0</xm:f>
            <x14:dxf>
              <border>
                <bottom style="thin">
                  <color rgb="FFFF0000"/>
                </bottom>
                <vertical/>
                <horizontal/>
              </border>
            </x14:dxf>
          </x14:cfRule>
          <xm:sqref>AD58</xm:sqref>
        </x14:conditionalFormatting>
        <x14:conditionalFormatting xmlns:xm="http://schemas.microsoft.com/office/excel/2006/main">
          <x14:cfRule type="expression" priority="200" id="{A28A9151-4F56-4AEA-B32A-5ED255BCA9EC}">
            <xm:f>'Sprachen &amp; Rückgabewerte'!$L$54=0</xm:f>
            <x14:dxf>
              <border>
                <left style="thin">
                  <color rgb="FFFF0000"/>
                </left>
                <vertical/>
                <horizontal/>
              </border>
            </x14:dxf>
          </x14:cfRule>
          <xm:sqref>AD60:AD71</xm:sqref>
        </x14:conditionalFormatting>
        <x14:conditionalFormatting xmlns:xm="http://schemas.microsoft.com/office/excel/2006/main">
          <x14:cfRule type="expression" priority="199" id="{FA1D7E99-85A4-4AD6-BE5C-644BAFD9B6C7}">
            <xm:f>'Sprachen &amp; Rückgabewerte'!$L$54=0</xm:f>
            <x14:dxf>
              <border>
                <top style="thin">
                  <color rgb="FFFF0000"/>
                </top>
                <vertical/>
                <horizontal/>
              </border>
            </x14:dxf>
          </x14:cfRule>
          <xm:sqref>AD60</xm:sqref>
        </x14:conditionalFormatting>
        <x14:conditionalFormatting xmlns:xm="http://schemas.microsoft.com/office/excel/2006/main">
          <x14:cfRule type="expression" priority="198" id="{C6BC96F2-7F26-42CA-B74C-3D7FB5937184}">
            <xm:f>'Sprachen &amp; Rückgabewerte'!$L$54=0</xm:f>
            <x14:dxf>
              <border>
                <bottom style="thin">
                  <color rgb="FFFF0000"/>
                </bottom>
                <vertical/>
                <horizontal/>
              </border>
            </x14:dxf>
          </x14:cfRule>
          <xm:sqref>AD71</xm:sqref>
        </x14:conditionalFormatting>
        <x14:conditionalFormatting xmlns:xm="http://schemas.microsoft.com/office/excel/2006/main">
          <x14:cfRule type="expression" priority="173" id="{1C0B2AE4-E238-44FA-BB21-994BF99FBD39}">
            <xm:f>'Sprachen &amp; Rückgabewerte'!$C$64=0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96" id="{BBC36F70-56B4-42BF-B5B0-D40DE2D86518}">
            <xm:f>'Sprachen &amp; Rückgabewerte'!$L$55=0</xm:f>
            <x14:dxf>
              <border>
                <left style="thin">
                  <color rgb="FFFF0000"/>
                </left>
                <vertical/>
                <horizontal/>
              </border>
            </x14:dxf>
          </x14:cfRule>
          <xm:sqref>AD83:AD93</xm:sqref>
        </x14:conditionalFormatting>
        <x14:conditionalFormatting xmlns:xm="http://schemas.microsoft.com/office/excel/2006/main">
          <x14:cfRule type="expression" priority="195" id="{040CC6F3-ACAE-4F68-AF22-AE1404C1BB98}">
            <xm:f>'Sprachen &amp; Rückgabewerte'!$L$55=0</xm:f>
            <x14:dxf>
              <border>
                <top style="thin">
                  <color rgb="FFFF0000"/>
                </top>
                <vertical/>
                <horizontal/>
              </border>
            </x14:dxf>
          </x14:cfRule>
          <xm:sqref>AD83</xm:sqref>
        </x14:conditionalFormatting>
        <x14:conditionalFormatting xmlns:xm="http://schemas.microsoft.com/office/excel/2006/main">
          <x14:cfRule type="expression" priority="194" id="{2724888A-CAA9-4758-9CAA-1152F7F2584A}">
            <xm:f>'Sprachen &amp; Rückgabewerte'!$L$55=0</xm:f>
            <x14:dxf>
              <border>
                <bottom style="thin">
                  <color rgb="FFFF0000"/>
                </bottom>
                <vertical/>
                <horizontal/>
              </border>
            </x14:dxf>
          </x14:cfRule>
          <xm:sqref>AD93</xm:sqref>
        </x14:conditionalFormatting>
        <x14:conditionalFormatting xmlns:xm="http://schemas.microsoft.com/office/excel/2006/main">
          <x14:cfRule type="expression" priority="160" id="{B8F3D000-4FE3-4AED-8ACF-728FD1640DD4}">
            <xm:f>AND($AE$85="",$AE$84='Sprachen &amp; Rückgabewerte'!$H$89)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81" id="{D06AC102-8174-4996-A918-92104E3CB3AB}">
            <xm:f>$AE$84='Sprachen &amp; Rückgabewerte'!$H$89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531" id="{1B73C94D-7FBC-4D2B-A4A2-A021C85C19ED}">
            <xm:f>'Sprachen &amp; Rückgabewerte'!$M$62=2</xm:f>
            <x14:dxf>
              <border>
                <left style="thin">
                  <color rgb="FFFF0000"/>
                </left>
                <vertical/>
                <horizontal/>
              </border>
            </x14:dxf>
          </x14:cfRule>
          <x14:cfRule type="expression" priority="532" id="{A370A41A-1A1E-4570-9F0C-1029A0CF8E50}">
            <xm:f>'Sprachen &amp; Rückgabewerte'!$M$62=3</xm:f>
            <x14:dxf>
              <border>
                <left style="thin">
                  <color rgb="FFFF0000"/>
                </left>
                <vertical/>
                <horizontal/>
              </border>
            </x14:dxf>
          </x14:cfRule>
          <x14:cfRule type="expression" priority="533" id="{C82E4067-4FA9-4F01-84FE-49BEC9998C5B}">
            <xm:f>'Sprachen &amp; Rückgabewerte'!$M$59=0</xm:f>
            <x14:dxf>
              <border>
                <left style="thin">
                  <color rgb="FFFF0000"/>
                </left>
                <vertical/>
                <horizontal/>
              </border>
            </x14:dxf>
          </x14:cfRule>
          <xm:sqref>L86:L97</xm:sqref>
        </x14:conditionalFormatting>
        <x14:conditionalFormatting xmlns:xm="http://schemas.microsoft.com/office/excel/2006/main">
          <x14:cfRule type="expression" priority="535" id="{8A3F5732-761A-4CC2-9460-E3F4A8000187}">
            <xm:f>'Sprachen &amp; Rückgabewerte'!$C$48=FALSE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540" id="{4F4A24BF-6A33-412D-9DDB-E22CF7EA2A54}">
            <xm:f>'Sprachen &amp; Rückgabewerte'!$M$62=3</xm:f>
            <x14:dxf>
              <border>
                <left style="thin">
                  <color rgb="FFFF0000"/>
                </left>
                <vertical/>
                <horizontal/>
              </border>
            </x14:dxf>
          </x14:cfRule>
          <x14:cfRule type="expression" priority="541" id="{96F3995B-AA9B-4FBF-B35B-77E5279E16B3}">
            <xm:f>'Sprachen &amp; Rückgabewerte'!$M$62=2</xm:f>
            <x14:dxf>
              <border>
                <left style="thin">
                  <color rgb="FFFF0000"/>
                </left>
                <vertical/>
                <horizontal/>
              </border>
            </x14:dxf>
          </x14:cfRule>
          <xm:sqref>C73:C97</xm:sqref>
        </x14:conditionalFormatting>
        <x14:conditionalFormatting xmlns:xm="http://schemas.microsoft.com/office/excel/2006/main">
          <x14:cfRule type="expression" priority="542" id="{0266BCF6-24B4-49D6-B177-4AE6E7339945}">
            <xm:f>'Sprachen &amp; Rückgabewerte'!$M$62=2</xm:f>
            <x14:dxf>
              <border>
                <top style="thin">
                  <color rgb="FFFF0000"/>
                </top>
                <vertical/>
                <horizontal/>
              </border>
            </x14:dxf>
          </x14:cfRule>
          <x14:cfRule type="expression" priority="543" id="{4EF7B63E-6011-468D-9CE2-FECA8DE1933C}">
            <xm:f>'Sprachen &amp; Rückgabewerte'!$M$62=3</xm:f>
            <x14:dxf>
              <border>
                <top style="thin">
                  <color rgb="FFFF0000"/>
                </top>
                <vertical/>
                <horizontal/>
              </border>
            </x14:dxf>
          </x14:cfRule>
          <xm:sqref>C73:AB73</xm:sqref>
        </x14:conditionalFormatting>
        <x14:conditionalFormatting xmlns:xm="http://schemas.microsoft.com/office/excel/2006/main">
          <x14:cfRule type="expression" priority="544" id="{596AC873-F642-4A64-A9DA-BE6E8042522C}">
            <xm:f>'Sprachen &amp; Rückgabewerte'!$M$62=2</xm:f>
            <x14:dxf>
              <border>
                <right style="thin">
                  <color rgb="FFFF0000"/>
                </right>
                <vertical/>
                <horizontal/>
              </border>
            </x14:dxf>
          </x14:cfRule>
          <x14:cfRule type="expression" priority="545" id="{FC364CAA-4C51-4690-AEC5-8ABBA6C0FCEA}">
            <xm:f>'Sprachen &amp; Rückgabewerte'!$M$62=3</xm:f>
            <x14:dxf>
              <border>
                <right style="thin">
                  <color rgb="FFFF0000"/>
                </right>
                <vertical/>
                <horizontal/>
              </border>
            </x14:dxf>
          </x14:cfRule>
          <xm:sqref>AB73:AB85</xm:sqref>
        </x14:conditionalFormatting>
        <x14:conditionalFormatting xmlns:xm="http://schemas.microsoft.com/office/excel/2006/main">
          <x14:cfRule type="expression" priority="237" id="{C8A6CB38-BE2A-4862-8788-4AE79BCF4779}">
            <xm:f>'Sprachen &amp; Rückgabewerte'!$M$62=2</xm:f>
            <x14:dxf>
              <border>
                <bottom style="thin">
                  <color rgb="FFFF0000"/>
                </bottom>
                <vertical/>
                <horizontal/>
              </border>
            </x14:dxf>
          </x14:cfRule>
          <x14:cfRule type="expression" priority="328" id="{7148C8D4-0675-4CB7-8A9E-89DC0B76C89D}">
            <xm:f>'Sprachen &amp; Rückgabewerte'!$M$62=3</xm:f>
            <x14:dxf>
              <border>
                <bottom style="thin">
                  <color rgb="FFFF0000"/>
                </bottom>
                <vertical/>
                <horizontal/>
              </border>
            </x14:dxf>
          </x14:cfRule>
          <xm:sqref>L85:AB85</xm:sqref>
        </x14:conditionalFormatting>
        <x14:conditionalFormatting xmlns:xm="http://schemas.microsoft.com/office/excel/2006/main">
          <x14:cfRule type="expression" priority="548" id="{D9C4FAD2-9CD3-4529-BFDA-0CCB1777B5E8}">
            <xm:f>'Sprachen &amp; Rückgabewerte'!$M$62=3</xm:f>
            <x14:dxf>
              <border>
                <bottom style="thin">
                  <color rgb="FFFF0000"/>
                </bottom>
                <vertical/>
                <horizontal/>
              </border>
            </x14:dxf>
          </x14:cfRule>
          <x14:cfRule type="expression" priority="549" id="{03662A94-8E13-4442-AB18-8F23F73F86EA}">
            <xm:f>'Sprachen &amp; Rückgabewerte'!$M$62=2</xm:f>
            <x14:dxf>
              <border>
                <bottom style="thin">
                  <color rgb="FFFF0000"/>
                </bottom>
                <vertical/>
                <horizontal/>
              </border>
            </x14:dxf>
          </x14:cfRule>
          <xm:sqref>C97:K97</xm:sqref>
        </x14:conditionalFormatting>
        <x14:conditionalFormatting xmlns:xm="http://schemas.microsoft.com/office/excel/2006/main">
          <x14:cfRule type="expression" priority="550" id="{9B99DCFA-416E-481F-82F7-6517F59B7134}">
            <xm:f>'Sprachen &amp; Rückgabewerte'!$M$60=0</xm:f>
            <x14:dxf>
              <border>
                <left style="thin">
                  <color rgb="FFFF0000"/>
                </left>
                <vertical/>
                <horizontal/>
              </border>
            </x14:dxf>
          </x14:cfRule>
          <xm:sqref>M73:M85</xm:sqref>
        </x14:conditionalFormatting>
        <x14:conditionalFormatting xmlns:xm="http://schemas.microsoft.com/office/excel/2006/main">
          <x14:cfRule type="expression" priority="551" id="{56E0AB2E-DA4F-4F43-81EF-3324653046B0}">
            <xm:f>'Sprachen &amp; Rückgabewerte'!$M$60=0</xm:f>
            <x14:dxf>
              <border>
                <top style="thin">
                  <color rgb="FFFF0000"/>
                </top>
                <vertical/>
                <horizontal/>
              </border>
            </x14:dxf>
          </x14:cfRule>
          <xm:sqref>M73:S73</xm:sqref>
        </x14:conditionalFormatting>
        <x14:conditionalFormatting xmlns:xm="http://schemas.microsoft.com/office/excel/2006/main">
          <x14:cfRule type="expression" priority="552" id="{0C57F321-5513-483E-9C95-8F912CDC60CA}">
            <xm:f>'Sprachen &amp; Rückgabewerte'!$M$60=0</xm:f>
            <x14:dxf>
              <border>
                <right style="thin">
                  <color rgb="FFFF0000"/>
                </right>
                <vertical/>
                <horizontal/>
              </border>
            </x14:dxf>
          </x14:cfRule>
          <xm:sqref>S73:S85</xm:sqref>
        </x14:conditionalFormatting>
        <x14:conditionalFormatting xmlns:xm="http://schemas.microsoft.com/office/excel/2006/main">
          <x14:cfRule type="expression" priority="546" id="{012BACAC-C703-4C67-92B1-7D0550115DE2}">
            <xm:f>'Sprachen &amp; Rückgabewerte'!$M$60=0</xm:f>
            <x14:dxf>
              <border>
                <bottom style="thin">
                  <color rgb="FFFF0000"/>
                </bottom>
                <vertical/>
                <horizontal/>
              </border>
            </x14:dxf>
          </x14:cfRule>
          <xm:sqref>M85:S85</xm:sqref>
        </x14:conditionalFormatting>
        <x14:conditionalFormatting xmlns:xm="http://schemas.microsoft.com/office/excel/2006/main">
          <x14:cfRule type="expression" priority="554" id="{52B09CEE-4E69-4CEA-BC06-31E3414712B6}">
            <xm:f>'Sprachen &amp; Rückgabewerte'!$M$56=0</xm:f>
            <x14:dxf>
              <border>
                <left style="thin">
                  <color rgb="FFFF0000"/>
                </left>
                <vertical/>
                <horizontal/>
              </border>
            </x14:dxf>
          </x14:cfRule>
          <xm:sqref>C62:C72</xm:sqref>
        </x14:conditionalFormatting>
        <x14:conditionalFormatting xmlns:xm="http://schemas.microsoft.com/office/excel/2006/main">
          <x14:cfRule type="expression" priority="190" id="{78A26E41-8354-48A1-A1BE-CB40AF4E41C2}">
            <xm:f>'Sprachen &amp; Rückgabewerte'!$M$56=0</xm:f>
            <x14:dxf>
              <border>
                <bottom style="thin">
                  <color rgb="FFFF0000"/>
                </bottom>
                <vertical/>
                <horizontal/>
              </border>
            </x14:dxf>
          </x14:cfRule>
          <xm:sqref>C72:AB72</xm:sqref>
        </x14:conditionalFormatting>
        <x14:conditionalFormatting xmlns:xm="http://schemas.microsoft.com/office/excel/2006/main">
          <x14:cfRule type="expression" priority="556" id="{A41C41DC-D87D-4562-AC75-E38D8CD1FEB1}">
            <xm:f>'Sprachen &amp; Rückgabewerte'!$M$56=0</xm:f>
            <x14:dxf>
              <border>
                <right style="thin">
                  <color rgb="FFFF0000"/>
                </right>
                <vertical/>
                <horizontal/>
              </border>
            </x14:dxf>
          </x14:cfRule>
          <xm:sqref>AB62:AB72</xm:sqref>
        </x14:conditionalFormatting>
        <x14:conditionalFormatting xmlns:xm="http://schemas.microsoft.com/office/excel/2006/main">
          <x14:cfRule type="expression" priority="557" id="{73CB0511-D828-403C-B93A-7F092574F022}">
            <xm:f>'Sprachen &amp; Rückgabewerte'!$M$56=0</xm:f>
            <x14:dxf>
              <border>
                <top style="thin">
                  <color rgb="FFFF0000"/>
                </top>
                <vertical/>
                <horizontal/>
              </border>
            </x14:dxf>
          </x14:cfRule>
          <xm:sqref>C62:AB62</xm:sqref>
        </x14:conditionalFormatting>
        <x14:conditionalFormatting xmlns:xm="http://schemas.microsoft.com/office/excel/2006/main">
          <x14:cfRule type="expression" priority="166" id="{130FCAD1-4FB0-4018-B3EA-65E9D2C2A5DC}">
            <xm:f>'Sprachen &amp; Rückgabewerte'!$M$66=FALSE</xm:f>
            <x14:dxf>
              <border>
                <left style="thin">
                  <color rgb="FFFF0000"/>
                </left>
                <vertical/>
                <horizontal/>
              </border>
            </x14:dxf>
          </x14:cfRule>
          <xm:sqref>AD73:AD81</xm:sqref>
        </x14:conditionalFormatting>
        <x14:conditionalFormatting xmlns:xm="http://schemas.microsoft.com/office/excel/2006/main">
          <x14:cfRule type="expression" priority="165" id="{119F4C8D-814F-43B6-B782-268CBD06DCFC}">
            <xm:f>'Sprachen &amp; Rückgabewerte'!$M$66=FALSE</xm:f>
            <x14:dxf>
              <border>
                <top style="thin">
                  <color rgb="FFFF0000"/>
                </top>
                <vertical/>
                <horizontal/>
              </border>
            </x14:dxf>
          </x14:cfRule>
          <xm:sqref>AD73:AT73</xm:sqref>
        </x14:conditionalFormatting>
        <x14:conditionalFormatting xmlns:xm="http://schemas.microsoft.com/office/excel/2006/main">
          <x14:cfRule type="expression" priority="164" id="{7D037735-87BC-44F2-A6C2-7D8F37D9CD5C}">
            <xm:f>'Sprachen &amp; Rückgabewerte'!$M$66=FALSE</xm:f>
            <x14:dxf>
              <border>
                <right style="thin">
                  <color rgb="FFFF0000"/>
                </right>
                <vertical/>
                <horizontal/>
              </border>
            </x14:dxf>
          </x14:cfRule>
          <xm:sqref>AT73:AT81</xm:sqref>
        </x14:conditionalFormatting>
        <x14:conditionalFormatting xmlns:xm="http://schemas.microsoft.com/office/excel/2006/main">
          <x14:cfRule type="expression" priority="163" id="{310CDD4D-18EA-47F0-BE91-5B8875D94092}">
            <xm:f>'Sprachen &amp; Rückgabewerte'!$M$66=FALSE</xm:f>
            <x14:dxf>
              <border>
                <bottom style="thin">
                  <color rgb="FFFF0000"/>
                </bottom>
                <vertical/>
                <horizontal/>
              </border>
            </x14:dxf>
          </x14:cfRule>
          <xm:sqref>AD81:AT81</xm:sqref>
        </x14:conditionalFormatting>
        <x14:conditionalFormatting xmlns:xm="http://schemas.microsoft.com/office/excel/2006/main">
          <x14:cfRule type="expression" priority="133" id="{FE8FD19C-9485-4573-B92C-AD3D6AC36820}">
            <xm:f>'Sprachen &amp; Rückgabewerte'!$I$19=FALSE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41" id="{36979AD7-69B3-48B2-B81E-C656E4C7B825}">
            <xm:f>'Sprachen &amp; Rückgabewerte'!$I$13=FALSE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32" id="{F1F90DBC-B14F-424E-BB81-FB6A8FDBCBDB}">
            <xm:f>AND($AY$43&lt;&gt;0,'Sprachen &amp; Rückgabewerte'!$I$19=TRUE)</xm:f>
            <x14:dxf>
              <border>
                <top style="thin">
                  <color rgb="FFFF0000"/>
                </top>
                <vertical/>
                <horizontal/>
              </border>
            </x14:dxf>
          </x14:cfRule>
          <x14:cfRule type="expression" priority="138" id="{8DFE0C94-61F9-4806-818B-34223F1263F8}">
            <xm:f>'Sprachen &amp; Rückgabewerte'!$I$19=FALSE</xm:f>
            <x14:dxf>
              <border>
                <top/>
                <vertical/>
                <horizontal/>
              </border>
            </x14:dxf>
          </x14:cfRule>
          <xm:sqref>AU32:AV32</xm:sqref>
        </x14:conditionalFormatting>
        <x14:conditionalFormatting xmlns:xm="http://schemas.microsoft.com/office/excel/2006/main">
          <x14:cfRule type="expression" priority="136" id="{6CE3047A-309F-4E81-91C1-57FD0B2D5744}">
            <xm:f>AND($AY$43&lt;&gt;0,'Sprachen &amp; Rückgabewerte'!$I$19=TRUE)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35" id="{7EB9F6EC-4767-4E0D-9FC9-520F09E26A95}">
            <xm:f>AND($AY$43&lt;&gt;0,'Sprachen &amp; Rückgabewerte'!$I$19=TRUE)</xm:f>
            <x14:dxf>
              <border>
                <right style="thin">
                  <color rgb="FFFF0000"/>
                </right>
                <vertical/>
                <horizontal/>
              </border>
            </x14:dxf>
          </x14:cfRule>
          <xm:sqref>BA33:BA43</xm:sqref>
        </x14:conditionalFormatting>
        <x14:conditionalFormatting xmlns:xm="http://schemas.microsoft.com/office/excel/2006/main">
          <x14:cfRule type="expression" priority="134" id="{4328D074-DD93-42BA-8082-97E8581513C1}">
            <xm:f>AND($AY$43&lt;&gt;0,'Sprachen &amp; Rückgabewerte'!$I$19=TRUE)</xm:f>
            <x14:dxf>
              <border>
                <bottom style="thin">
                  <color rgb="FFFF0000"/>
                </bottom>
                <vertical/>
                <horizontal/>
              </border>
            </x14:dxf>
          </x14:cfRule>
          <xm:sqref>AW43:BA43</xm:sqref>
        </x14:conditionalFormatting>
        <x14:conditionalFormatting xmlns:xm="http://schemas.microsoft.com/office/excel/2006/main">
          <x14:cfRule type="expression" priority="139" id="{0B62978E-C3D5-477D-A26E-59D51364A166}">
            <xm:f>AND($AY$43&lt;&gt;0,'Sprachen &amp; Rückgabewerte'!$I$19=TRUE)</xm:f>
            <x14:dxf>
              <border>
                <left style="thin">
                  <color rgb="FFFF0000"/>
                </left>
                <vertical/>
                <horizontal/>
              </border>
            </x14:dxf>
          </x14:cfRule>
          <xm:sqref>AW33:AW43</xm:sqref>
        </x14:conditionalFormatting>
        <x14:conditionalFormatting xmlns:xm="http://schemas.microsoft.com/office/excel/2006/main">
          <x14:cfRule type="expression" priority="131" id="{77030E63-5DF4-4C27-A5EF-4BC10FFB3900}">
            <xm:f>AND($AY$43&lt;&gt;0,'Sprachen &amp; Rückgabewerte'!$I$19=TRUE)</xm:f>
            <x14:dxf>
              <border>
                <top style="thin">
                  <color rgb="FFFF0000"/>
                </top>
                <vertical/>
                <horizontal/>
              </border>
            </x14:dxf>
          </x14:cfRule>
          <xm:sqref>AD32:AT32</xm:sqref>
        </x14:conditionalFormatting>
        <x14:conditionalFormatting xmlns:xm="http://schemas.microsoft.com/office/excel/2006/main">
          <x14:cfRule type="expression" priority="129" id="{8898F87D-99B2-4FFD-91BF-8DACE635F397}">
            <xm:f>AND($AY$43&lt;&gt;0,'Sprachen &amp; Rückgabewerte'!$I$19=TRUE)</xm:f>
            <x14:dxf>
              <border>
                <bottom style="thin">
                  <color rgb="FFFF0000"/>
                </bottom>
                <vertical/>
                <horizontal/>
              </border>
            </x14:dxf>
          </x14:cfRule>
          <xm:sqref>AD40:AT40</xm:sqref>
        </x14:conditionalFormatting>
        <x14:conditionalFormatting xmlns:xm="http://schemas.microsoft.com/office/excel/2006/main">
          <x14:cfRule type="expression" priority="111" id="{5A11C568-5342-4FD3-9148-2892CE3017AF}">
            <xm:f>AND('Sprachen &amp; Rückgabewerte'!$I$50=TRUE,'Sprachen &amp; Rückgabewerte'!$C$95&lt;&gt;0)</xm:f>
            <x14:dxf>
              <border>
                <top style="thin">
                  <color rgb="FFFF0000"/>
                </top>
                <vertical/>
                <horizontal/>
              </border>
            </x14:dxf>
          </x14:cfRule>
          <xm:sqref>B101:AU101</xm:sqref>
        </x14:conditionalFormatting>
        <x14:conditionalFormatting xmlns:xm="http://schemas.microsoft.com/office/excel/2006/main">
          <x14:cfRule type="expression" priority="110" id="{84546E24-EFD1-482C-81C5-11B9EF0EAB62}">
            <xm:f>AND('Sprachen &amp; Rückgabewerte'!$I$50=TRUE,'Sprachen &amp; Rückgabewerte'!$C$95&lt;&gt;0)</xm:f>
            <x14:dxf>
              <border>
                <right style="thin">
                  <color rgb="FFFF0000"/>
                </right>
                <vertical/>
                <horizontal/>
              </border>
            </x14:dxf>
          </x14:cfRule>
          <xm:sqref>AU101:AU136</xm:sqref>
        </x14:conditionalFormatting>
        <x14:conditionalFormatting xmlns:xm="http://schemas.microsoft.com/office/excel/2006/main">
          <x14:cfRule type="expression" priority="109" id="{8B98683C-6B35-427B-8364-DEA5546CFBF5}">
            <xm:f>AND('Sprachen &amp; Rückgabewerte'!$I$50=TRUE,'Sprachen &amp; Rückgabewerte'!$C$95&lt;&gt;0)</xm:f>
            <x14:dxf>
              <border>
                <bottom style="thin">
                  <color rgb="FFFF0000"/>
                </bottom>
                <vertical/>
                <horizontal/>
              </border>
            </x14:dxf>
          </x14:cfRule>
          <xm:sqref>B136:AU136</xm:sqref>
        </x14:conditionalFormatting>
        <x14:conditionalFormatting xmlns:xm="http://schemas.microsoft.com/office/excel/2006/main">
          <x14:cfRule type="expression" priority="108" id="{EB3F31E1-AA0C-43DC-922E-3EEDFD818669}">
            <xm:f>AND('Sprachen &amp; Rückgabewerte'!$I$50=TRUE,'Sprachen &amp; Rückgabewerte'!$C$95&lt;&gt;0)</xm:f>
            <x14:dxf>
              <border>
                <left style="thin">
                  <color rgb="FFFF0000"/>
                </left>
                <vertical/>
                <horizontal/>
              </border>
            </x14:dxf>
          </x14:cfRule>
          <xm:sqref>B101:B136</xm:sqref>
        </x14:conditionalFormatting>
        <x14:conditionalFormatting xmlns:xm="http://schemas.microsoft.com/office/excel/2006/main">
          <x14:cfRule type="expression" priority="107" id="{6401EB78-11F8-4959-BB7B-8EDC0253407F}">
            <xm:f>AND('Sprachen &amp; Rückgabewerte'!$I$50=TRUE,'Sprachen &amp; Rückgabewerte'!$C$95&lt;&gt;0)</xm:f>
            <x14:dxf>
              <border>
                <top style="thin">
                  <color rgb="FFFF0000"/>
                </top>
                <bottom/>
                <vertical/>
                <horizontal/>
              </border>
            </x14:dxf>
          </x14:cfRule>
          <xm:sqref>AV101</xm:sqref>
        </x14:conditionalFormatting>
        <x14:conditionalFormatting xmlns:xm="http://schemas.microsoft.com/office/excel/2006/main">
          <x14:cfRule type="expression" priority="102" id="{4766351A-C49B-4A58-8CDA-546F04F0668E}">
            <xm:f>'Sprachen &amp; Rückgabewerte'!$I$50=FALSE</xm:f>
            <x14:dxf>
              <border>
                <right/>
                <vertical/>
                <horizontal/>
              </border>
            </x14:dxf>
          </x14:cfRule>
          <x14:cfRule type="expression" priority="106" id="{F0448CC6-EF41-476E-AF6B-8C7010E191A9}">
            <xm:f>AND('Sprachen &amp; Rückgabewerte'!$I$50=TRUE,'Sprachen &amp; Rückgabewerte'!$C$95&lt;&gt;0)</xm:f>
            <x14:dxf>
              <border>
                <right style="thin">
                  <color rgb="FFFF0000"/>
                </right>
                <vertical/>
                <horizontal/>
              </border>
            </x14:dxf>
          </x14:cfRule>
          <xm:sqref>AV84:AV100</xm:sqref>
        </x14:conditionalFormatting>
        <x14:conditionalFormatting xmlns:xm="http://schemas.microsoft.com/office/excel/2006/main">
          <x14:cfRule type="expression" priority="103" id="{28D22000-DCA3-4BE2-BF12-2DDB7B40C32E}">
            <xm:f>'Sprachen &amp; Rückgabewerte'!$I$50=FALSE</xm:f>
            <x14:dxf>
              <border>
                <top/>
                <vertical/>
                <horizontal/>
              </border>
            </x14:dxf>
          </x14:cfRule>
          <x14:cfRule type="expression" priority="105" id="{7B6EFB19-997A-4D90-9D9A-43A6A763CBCC}">
            <xm:f>AND('Sprachen &amp; Rückgabewerte'!$I$50=TRUE,'Sprachen &amp; Rückgabewerte'!$C$95&lt;&gt;0)</xm:f>
            <x14:dxf>
              <border>
                <top style="thin">
                  <color rgb="FFFF0000"/>
                </top>
                <vertical/>
                <horizontal/>
              </border>
            </x14:dxf>
          </x14:cfRule>
          <xm:sqref>AU84:AV84</xm:sqref>
        </x14:conditionalFormatting>
        <x14:conditionalFormatting xmlns:xm="http://schemas.microsoft.com/office/excel/2006/main">
          <x14:cfRule type="expression" priority="101" id="{46BFC2BA-A96A-4452-AF1F-25E04BC71238}">
            <xm:f>'Sprachen &amp; Rückgabewerte'!$I$50=FALSE</xm:f>
            <x14:dxf>
              <border>
                <bottom/>
                <vertical/>
                <horizontal/>
              </border>
            </x14:dxf>
          </x14:cfRule>
          <xm:sqref>AV100</xm:sqref>
        </x14:conditionalFormatting>
        <x14:conditionalFormatting xmlns:xm="http://schemas.microsoft.com/office/excel/2006/main">
          <x14:cfRule type="expression" priority="89" id="{DFF039F9-6239-426D-9E15-D71802073D70}">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62" id="{EC779C36-98BB-4A42-AACC-084826F997BC}">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63" id="{B3956108-1A9B-4E23-A735-319FA0C92A3E}">
            <xm:f>'Sprachen &amp; Rückgabewerte'!$S$41=1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565" id="{AF5F2098-ED3B-4349-8CFB-61B11D4768DA}">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66" id="{A313477C-B479-40F9-86F9-3A2F0BD5BC65}">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567" id="{4C5DC6D0-0976-46E5-9F41-9C493562B0B1}">
            <xm:f>'Sprachen &amp; Rückgabewerte'!$S$41=3</xm:f>
            <x14:dxf>
              <font>
                <b/>
                <i val="0"/>
                <color theme="1"/>
              </font>
            </x14:dxf>
          </x14:cfRule>
          <x14:cfRule type="expression" priority="568" id="{C5EF86F3-B9DA-4334-B722-3323FD680E99}">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569" id="{ED397C57-5727-4E5C-BD35-8D976D9F6208}">
            <xm:f>'Sprachen &amp; Rückgabewerte'!$S$41=3</xm:f>
            <x14:dxf>
              <font>
                <b/>
                <i val="0"/>
                <color theme="1"/>
              </font>
            </x14:dxf>
          </x14:cfRule>
          <xm:sqref>L46</xm:sqref>
        </x14:conditionalFormatting>
        <x14:conditionalFormatting xmlns:xm="http://schemas.microsoft.com/office/excel/2006/main">
          <x14:cfRule type="expression" priority="570" id="{1A827384-057C-4190-A043-E23401683182}">
            <xm:f>'Sprachen &amp; Rückgabewerte'!$S$41=2</xm:f>
            <x14:dxf>
              <font>
                <b/>
                <i val="0"/>
                <color theme="1"/>
              </font>
            </x14:dxf>
          </x14:cfRule>
          <x14:cfRule type="expression" priority="571" id="{CC40A531-4058-4825-8A2A-35A30C05C448}">
            <xm:f>'Sprachen &amp; Rückgabewerte'!$S$41=3</xm:f>
            <x14:dxf>
              <font>
                <b/>
                <i val="0"/>
                <color theme="1"/>
              </font>
            </x14:dxf>
          </x14:cfRule>
          <xm:sqref>L47</xm:sqref>
        </x14:conditionalFormatting>
        <x14:conditionalFormatting xmlns:xm="http://schemas.microsoft.com/office/excel/2006/main">
          <x14:cfRule type="expression" priority="572" id="{438BC191-8C3F-40AA-B1B1-ED912E6313A4}">
            <xm:f>'Sprachen &amp; Rückgabewerte'!$S$41=3</xm:f>
            <x14:dxf>
              <font>
                <b/>
                <i val="0"/>
                <color theme="1"/>
              </font>
            </x14:dxf>
          </x14:cfRule>
          <x14:cfRule type="expression" priority="573" id="{1BE51E2B-F68D-4126-8C72-71EA531F27F8}">
            <xm:f>'Sprachen &amp; Rückgabewerte'!$S$41=2</xm:f>
            <x14:dxf>
              <font>
                <b/>
                <i val="0"/>
                <color theme="1"/>
              </font>
            </x14:dxf>
          </x14:cfRule>
          <x14:cfRule type="expression" priority="574" id="{4E253605-EB2A-48EF-90D3-AA1B103ED572}">
            <xm:f>'Sprachen &amp; Rückgabewerte'!$S$41=1</xm:f>
            <x14:dxf>
              <font>
                <b/>
                <i val="0"/>
                <color theme="1"/>
              </font>
            </x14:dxf>
          </x14:cfRule>
          <xm:sqref>L48</xm:sqref>
        </x14:conditionalFormatting>
        <x14:conditionalFormatting xmlns:xm="http://schemas.microsoft.com/office/excel/2006/main">
          <x14:cfRule type="expression" priority="98" id="{F47B3D03-6D06-4344-90A9-C869154A1630}">
            <xm:f>'Sprachen &amp; Rückgabewerte'!$M$71=0</xm:f>
            <x14:dxf>
              <border>
                <top style="thin">
                  <color rgb="FFFF0000"/>
                </top>
                <vertical/>
                <horizontal/>
              </border>
            </x14:dxf>
          </x14:cfRule>
          <xm:sqref>AW45:AX45</xm:sqref>
        </x14:conditionalFormatting>
        <x14:conditionalFormatting xmlns:xm="http://schemas.microsoft.com/office/excel/2006/main">
          <x14:cfRule type="expression" priority="97" id="{E077E72A-A7DA-42FD-B802-1A17430C095B}">
            <xm:f>'Sprachen &amp; Rückgabewerte'!$M$71=0</xm:f>
            <x14:dxf>
              <border>
                <right style="thin">
                  <color rgb="FFFF0000"/>
                </right>
                <vertical/>
                <horizontal/>
              </border>
            </x14:dxf>
          </x14:cfRule>
          <xm:sqref>AX45:AX47 AW48:AX48 AX49</xm:sqref>
        </x14:conditionalFormatting>
        <x14:conditionalFormatting xmlns:xm="http://schemas.microsoft.com/office/excel/2006/main">
          <x14:cfRule type="expression" priority="96" id="{34B7971C-4257-45CA-B93E-D9C9ACE13915}">
            <xm:f>'Sprachen &amp; Rückgabewerte'!$M$71=0</xm:f>
            <x14:dxf>
              <border>
                <bottom style="thin">
                  <color rgb="FFFF0000"/>
                </bottom>
                <vertical/>
                <horizontal/>
              </border>
            </x14:dxf>
          </x14:cfRule>
          <xm:sqref>AW49:AX49</xm:sqref>
        </x14:conditionalFormatting>
        <x14:conditionalFormatting xmlns:xm="http://schemas.microsoft.com/office/excel/2006/main">
          <x14:cfRule type="expression" priority="95" id="{CF929DAD-789B-451F-8BD5-1A38776BB44A}">
            <xm:f>'Sprachen &amp; Rückgabewerte'!$M$71=0</xm:f>
            <x14:dxf>
              <border>
                <left style="thin">
                  <color rgb="FFFF0000"/>
                </left>
                <vertical/>
                <horizontal/>
              </border>
            </x14:dxf>
          </x14:cfRule>
          <xm:sqref>AW49 AW48:AX48 AW45:AW47</xm:sqref>
        </x14:conditionalFormatting>
        <x14:conditionalFormatting xmlns:xm="http://schemas.microsoft.com/office/excel/2006/main">
          <x14:cfRule type="expression" priority="91" id="{B0D449CA-28B5-4AFE-9C45-AE9863239796}">
            <xm:f>'Sprachen &amp; Rückgabewerte'!$L$71=1</xm:f>
            <x14:dxf>
              <font>
                <color theme="0" tint="-0.14996795556505021"/>
              </font>
              <fill>
                <patternFill>
                  <bgColor theme="0" tint="-0.14996795556505021"/>
                </patternFill>
              </fill>
              <border>
                <top/>
                <vertical/>
                <horizontal/>
              </border>
            </x14:dxf>
          </x14:cfRule>
          <x14:cfRule type="expression" priority="94" id="{9B321A3F-169D-46CC-91EF-87697B6E2BB1}">
            <xm:f>'Sprachen &amp; Rückgabewerte'!$M$71=0</xm:f>
            <x14:dxf>
              <border>
                <top style="thin">
                  <color rgb="FFFF0000"/>
                </top>
                <vertical/>
                <horizontal/>
              </border>
            </x14:dxf>
          </x14:cfRule>
          <xm:sqref>AU45:AV45</xm:sqref>
        </x14:conditionalFormatting>
        <x14:conditionalFormatting xmlns:xm="http://schemas.microsoft.com/office/excel/2006/main">
          <x14:cfRule type="expression" priority="93" id="{5C0E485B-08A5-4A58-A880-EB69F35EE295}">
            <xm:f>'Sprachen &amp; Rückgabewerte'!$L$71=1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60" id="{44D6130B-7297-4A44-AFC3-598E3E4BCFC6}">
            <xm:f>'Sprachen &amp; Rückgabewerte'!$I$50=FALSE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9" id="{0530E3BB-2290-4224-87A4-0FBA830E0D24}">
            <xm:f>'Sprachen &amp; Rückgabewerte'!$I$50=FALSE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7" id="{186201EA-D53B-443F-8D24-F6D7160A332C}">
            <xm:f>$AX$19='Sprachen &amp; Rückgabewerte'!$H$155</xm:f>
            <x14:dxf>
              <font>
                <color rgb="FFFF0000"/>
              </font>
            </x14:dxf>
          </x14:cfRule>
          <xm:sqref>AX19:BA20</xm:sqref>
        </x14:conditionalFormatting>
        <x14:conditionalFormatting xmlns:xm="http://schemas.microsoft.com/office/excel/2006/main">
          <x14:cfRule type="expression" priority="53" id="{38AACAC2-96D2-4E69-95E5-009AA30B9A6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5" id="{DDADCDDF-D2FC-46E2-9DB1-3D6F839FEE45}">
            <xm:f>$AN$80&lt;&gt;'Sprachen &amp; Rückgabewerte'!$H$85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4" id="{47F03CFE-9556-44BC-9E55-30A9AA263771}">
            <xm:f>$AN$80&lt;&gt;'Sprachen &amp; Rückgabewerte'!$H$86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9" id="{7FC43C69-576D-44A8-8866-98A780F891B7}">
            <xm:f>'Sprachen &amp; Rückgabewerte'!$I$5=FALSE</xm:f>
            <x14:dxf>
              <font>
                <color theme="0" tint="-0.14996795556505021"/>
              </font>
              <fill>
                <patternFill>
                  <bgColor theme="0" tint="-0.14996795556505021"/>
                </patternFill>
              </fill>
              <border>
                <left/>
                <right/>
                <top/>
                <bottom/>
              </border>
            </x14:dxf>
          </x14:cfRule>
          <xm:sqref>M6:Q6</xm:sqref>
        </x14:conditionalFormatting>
        <x14:conditionalFormatting xmlns:xm="http://schemas.microsoft.com/office/excel/2006/main">
          <x14:cfRule type="expression" priority="38" id="{B05DD96F-8777-45CD-BE47-1BA6D865E822}">
            <xm:f>'Sprachen &amp; Rückgabewerte'!$U$49=FALSE</xm:f>
            <x14:dxf>
              <border>
                <top style="thin">
                  <color rgb="FFFF0000"/>
                </top>
                <vertical/>
                <horizontal/>
              </border>
            </x14:dxf>
          </x14:cfRule>
          <xm:sqref>E23:AR23</xm:sqref>
        </x14:conditionalFormatting>
        <x14:conditionalFormatting xmlns:xm="http://schemas.microsoft.com/office/excel/2006/main">
          <x14:cfRule type="expression" priority="37" id="{27F24045-4010-4A58-B55B-D4F73FCA896A}">
            <xm:f>'Sprachen &amp; Rückgabewerte'!$U$49=FALSE</xm:f>
            <x14:dxf>
              <border>
                <left style="thin">
                  <color rgb="FFFF0000"/>
                </left>
                <vertical/>
                <horizontal/>
              </border>
            </x14:dxf>
          </x14:cfRule>
          <xm:sqref>E23:H25</xm:sqref>
        </x14:conditionalFormatting>
        <x14:conditionalFormatting xmlns:xm="http://schemas.microsoft.com/office/excel/2006/main">
          <x14:cfRule type="expression" priority="35" id="{B0CBE07E-2154-4233-AA41-002336D1B1C7}">
            <xm:f>'Sprachen &amp; Rückgabewerte'!$U$49=FALSE</xm:f>
            <x14:dxf>
              <border>
                <right style="thin">
                  <color rgb="FFFF0000"/>
                </right>
                <vertical/>
                <horizontal/>
              </border>
            </x14:dxf>
          </x14:cfRule>
          <xm:sqref>AO23:AR25</xm:sqref>
        </x14:conditionalFormatting>
        <x14:conditionalFormatting xmlns:xm="http://schemas.microsoft.com/office/excel/2006/main">
          <x14:cfRule type="expression" priority="34" id="{141F9BBD-3370-41E6-9031-323EBA2BE8AA}">
            <xm:f>'Sprachen &amp; Rückgabewerte'!$I$39=FALSE</xm:f>
            <x14:dxf>
              <font>
                <color theme="0" tint="-0.14996795556505021"/>
              </font>
              <fill>
                <patternFill>
                  <bgColor theme="0" tint="-0.14996795556505021"/>
                </patternFill>
              </fill>
              <border>
                <left/>
                <right/>
                <top/>
                <bottom/>
                <vertical/>
                <horizontal/>
              </border>
            </x14:dxf>
          </x14:cfRule>
          <xm:sqref>AG46</xm:sqref>
        </x14:conditionalFormatting>
        <x14:conditionalFormatting xmlns:xm="http://schemas.microsoft.com/office/excel/2006/main">
          <x14:cfRule type="expression" priority="33" id="{F52119C1-C5FC-4ACD-BFD5-3F9F68CAC50C}">
            <xm:f>'Sprachen &amp; Rückgabewerte'!$I$39=FALSE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0" id="{08C99D5F-9C34-4342-9B47-30F3F2782960}">
            <xm:f>'Sprachen &amp; Rückgabewerte'!$I$39=FALSE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29" id="{8A0FAC28-D6B0-49F0-A4BA-8312F3F34CA8}">
            <xm:f>AND('Sprachen &amp; Rückgabewerte'!$C$16=1,$F$16="")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8" id="{E2BC05AA-ED00-4203-8E58-1855DF6EF780}">
            <xm:f>AND('Sprachen &amp; Rückgabewerte'!$C$17=1,$J$16="")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7" id="{FA573413-D3F8-4662-B698-AEF02606436B}">
            <xm:f>AND('Sprachen &amp; Rückgabewerte'!$C$18=1,$N$16="")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6" id="{CBCFE4CE-EA7E-4ABA-86FC-DAD077824972}">
            <xm:f>AND('Sprachen &amp; Rückgabewerte'!$C$19=1,$R$16="")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5" id="{45C098CF-B736-4607-A52C-92DD82D8CC33}">
            <xm:f>AND('Sprachen &amp; Rückgabewerte'!$C$20=1,$V$16="")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4" id="{9CD856C0-2A06-42EE-BB38-422E67835BFD}">
            <xm:f>AND('Sprachen &amp; Rückgabewerte'!$C$21=1,$Z$16="")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3" id="{45421CE5-7885-4D84-8784-1C276E5B536F}">
            <xm:f>AND('Sprachen &amp; Rückgabewerte'!$C$22=1,$AD$16="")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2" id="{3C639918-96CE-4C85-8BEC-00F4FA3A15C6}">
            <xm:f>AND('Sprachen &amp; Rückgabewerte'!$C$23=1,$AH$16="")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1" id="{79297215-70E1-4329-B5D8-18F83C5F25F6}">
            <xm:f>AND('Sprachen &amp; Rückgabewerte'!$C$24=1,$AL$16="")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0" id="{7828213E-133E-4CCF-A657-87BEF91732A8}">
            <xm:f>AND('Sprachen &amp; Rückgabewerte'!$C$25=1,$AP$16="")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19" id="{94CAC4E2-3F25-4AFC-9DD3-2D4FE2643C63}">
            <xm:f>'Sprachen &amp; Rückgabewerte'!$I$71=FALSE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8" id="{288B76D5-5462-46E0-A2B7-F41286A9477A}">
            <xm:f>AND('Sprachen &amp; Rückgabewerte'!$I$71=TRUE,$AP$74="",$AP$75="",$AP$76="")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5" id="{57CDD423-60FF-4BB6-BEB7-B290E83200A3}">
            <xm:f>OR($AQ$96='Sprachen &amp; Rückgabewerte'!$H$96,$AQ$96="")</xm:f>
            <x14:dxf>
              <border>
                <bottom/>
                <vertical/>
                <horizontal/>
              </border>
            </x14:dxf>
          </x14:cfRule>
          <x14:cfRule type="expression" priority="16" id="{B42C28AC-DA33-4D7C-B78F-72914721FCE3}">
            <xm:f>AND($AQ$96='Sprachen &amp; Rückgabewerte'!$H$95,$AW$96="")</xm:f>
            <x14:dxf>
              <border>
                <bottom style="thin">
                  <color rgb="FFFF0000"/>
                </bottom>
                <vertical/>
                <horizontal/>
              </border>
            </x14:dxf>
          </x14:cfRule>
          <xm:sqref>AS96:AV96</xm:sqref>
        </x14:conditionalFormatting>
        <x14:conditionalFormatting xmlns:xm="http://schemas.microsoft.com/office/excel/2006/main">
          <x14:cfRule type="expression" priority="13" id="{6BA5A6E4-6FDF-474E-B9C2-A6063409AD88}">
            <xm:f>OR($AQ$96='Sprachen &amp; Rückgabewerte'!$H$96,$AQ$96="")</xm:f>
            <x14:dxf>
              <font>
                <color theme="0" tint="-0.14996795556505021"/>
              </font>
              <fill>
                <patternFill>
                  <bgColor theme="0" tint="-0.14996795556505021"/>
                </patternFill>
              </fill>
              <border>
                <left/>
                <right/>
                <top/>
                <bottom/>
                <vertical/>
                <horizontal/>
              </border>
            </x14:dxf>
          </x14:cfRule>
          <x14:cfRule type="expression" priority="14" id="{BCD2F7C4-5EBA-47B0-B462-F8C7EEB1B7A5}">
            <xm:f>AND($AQ$96='Sprachen &amp; Rückgabewerte'!$H$95,$AW$96="")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2" id="{DE41F2E2-E7BC-4E72-B7B1-1138F3FC7161}">
            <xm:f>OR($AQ$96='Sprachen &amp; Rückgabewerte'!$H$96,$AQ$96="")</xm:f>
            <x14:dxf>
              <font>
                <color theme="0" tint="-0.14996795556505021"/>
              </font>
              <fill>
                <patternFill>
                  <bgColor theme="0" tint="-0.14996795556505021"/>
                </patternFill>
              </fill>
            </x14:dxf>
          </x14:cfRule>
          <xm:sqref>AW95</xm:sqref>
        </x14:conditionalFormatting>
        <x14:conditionalFormatting xmlns:xm="http://schemas.microsoft.com/office/excel/2006/main">
          <x14:cfRule type="expression" priority="11" id="{01E64330-44BF-4447-8579-8C05D185FF4B}">
            <xm:f>'Sprachen &amp; Rückgabewerte'!$W$68&gt;0</xm:f>
            <x14:dxf>
              <border>
                <bottom style="thin">
                  <color rgb="FFFF0000"/>
                </bottom>
                <vertical/>
                <horizontal/>
              </border>
            </x14:dxf>
          </x14:cfRule>
          <xm:sqref>AD97:AT97</xm:sqref>
        </x14:conditionalFormatting>
        <x14:conditionalFormatting xmlns:xm="http://schemas.microsoft.com/office/excel/2006/main">
          <x14:cfRule type="expression" priority="10" id="{C71BEB7D-5151-4FD3-A727-A25076710478}">
            <xm:f>'Sprachen &amp; Rückgabewerte'!$W$68&gt;0</xm:f>
            <x14:dxf>
              <border>
                <top style="thin">
                  <color rgb="FFFF0000"/>
                </top>
                <vertical/>
                <horizontal/>
              </border>
            </x14:dxf>
          </x14:cfRule>
          <xm:sqref>AD95:AT95</xm:sqref>
        </x14:conditionalFormatting>
        <x14:conditionalFormatting xmlns:xm="http://schemas.microsoft.com/office/excel/2006/main">
          <x14:cfRule type="expression" priority="9" id="{DA8C1DCD-8B5A-4CFC-B21B-B149733FCB9A}">
            <xm:f>'Sprachen &amp; Rückgabewerte'!$W$68&gt;0</xm:f>
            <x14:dxf>
              <border>
                <left style="thin">
                  <color rgb="FFFF0000"/>
                </left>
                <vertical/>
                <horizontal/>
              </border>
            </x14:dxf>
          </x14:cfRule>
          <xm:sqref>AD95:AD97</xm:sqref>
        </x14:conditionalFormatting>
        <x14:conditionalFormatting xmlns:xm="http://schemas.microsoft.com/office/excel/2006/main">
          <x14:cfRule type="expression" priority="8" id="{007C2E38-B82F-4CDC-B2C7-2BD01EA63E96}">
            <xm:f>'Sprachen &amp; Rückgabewerte'!$W$68&gt;0</xm:f>
            <x14:dxf>
              <border>
                <right style="thin">
                  <color rgb="FFFF0000"/>
                </right>
                <vertical/>
                <horizontal/>
              </border>
            </x14:dxf>
          </x14:cfRule>
          <xm:sqref>AT95:AT97</xm:sqref>
        </x14:conditionalFormatting>
        <x14:conditionalFormatting xmlns:xm="http://schemas.microsoft.com/office/excel/2006/main">
          <x14:cfRule type="expression" priority="4" id="{BE2E7762-E96D-43A0-8636-2473F7BA4EEE}">
            <xm:f>'Sprachen &amp; Rückgabewerte'!$W$78&lt;&gt;0</xm:f>
            <x14:dxf>
              <border>
                <bottom style="thin">
                  <color rgb="FFFF0000"/>
                </bottom>
                <vertical/>
                <horizontal/>
              </border>
            </x14:dxf>
          </x14:cfRule>
          <xm:sqref>AW11:BB11</xm:sqref>
        </x14:conditionalFormatting>
        <x14:conditionalFormatting xmlns:xm="http://schemas.microsoft.com/office/excel/2006/main">
          <x14:cfRule type="expression" priority="3" id="{D43518A5-4CF7-42FB-B17F-A4065D9FB991}">
            <xm:f>'Sprachen &amp; Rückgabewerte'!$W$78&lt;&gt;0</xm:f>
            <x14:dxf>
              <border>
                <top style="thin">
                  <color rgb="FFFF0000"/>
                </top>
                <vertical/>
                <horizontal/>
              </border>
            </x14:dxf>
          </x14:cfRule>
          <xm:sqref>AW6:BB6</xm:sqref>
        </x14:conditionalFormatting>
        <x14:conditionalFormatting xmlns:xm="http://schemas.microsoft.com/office/excel/2006/main">
          <x14:cfRule type="expression" priority="2" id="{9BE7A4D3-0E72-4FCC-9473-606CA7022838}">
            <xm:f>'Sprachen &amp; Rückgabewerte'!$W$78&lt;&gt;0</xm:f>
            <x14:dxf>
              <border>
                <left style="thin">
                  <color rgb="FFFF0000"/>
                </left>
                <vertical/>
                <horizontal/>
              </border>
            </x14:dxf>
          </x14:cfRule>
          <xm:sqref>AW6:AW11</xm:sqref>
        </x14:conditionalFormatting>
        <x14:conditionalFormatting xmlns:xm="http://schemas.microsoft.com/office/excel/2006/main">
          <x14:cfRule type="expression" priority="1" id="{B9469FEB-D5EE-46BA-8C7B-5E62C2259E9A}">
            <xm:f>'Sprachen &amp; Rückgabewerte'!$W$78&lt;&gt;0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1">
        <x14:dataValidation type="list" allowBlank="1" showInputMessage="1" showErrorMessage="1" xr:uid="{00000000-0002-0000-0300-000008000000}">
          <x14:formula1>
            <xm:f>'Sprachen &amp; Rückgabewerte'!$M$86:$M$138</xm:f>
          </x14:formula1>
          <xm:sqref>AM88:AR88</xm:sqref>
        </x14:dataValidation>
        <x14:dataValidation type="list" showInputMessage="1" showErrorMessage="1" xr:uid="{00000000-0002-0000-0300-000009000000}">
          <x14:formula1>
            <xm:f>'Sprachen &amp; Rückgabewerte'!$B$70:$B$72</xm:f>
          </x14:formula1>
          <xm:sqref>H85:K85 V85:Y85 O85:R85 X72:AA72</xm:sqref>
        </x14:dataValidation>
        <x14:dataValidation type="list" allowBlank="1" showInputMessage="1" showErrorMessage="1" xr:uid="{00000000-0002-0000-0300-00000A000000}">
          <x14:formula1>
            <xm:f>'Sprachen &amp; Rückgabewerte'!$H$103:$H$107</xm:f>
          </x14:formula1>
          <xm:sqref>G20:AP20</xm:sqref>
        </x14:dataValidation>
        <x14:dataValidation type="list" showInputMessage="1" showErrorMessage="1" xr:uid="{00000000-0002-0000-0300-00000B000000}">
          <x14:formula1>
            <xm:f>'Sprachen &amp; Rückgabewerte'!$B$33:$B$34</xm:f>
          </x14:formula1>
          <xm:sqref>E23:AR25</xm:sqref>
        </x14:dataValidation>
        <x14:dataValidation type="list" showInputMessage="1" showErrorMessage="1" xr:uid="{00000000-0002-0000-0300-00000C000000}">
          <x14:formula1>
            <xm:f>'Sprachen &amp; Rückgabewerte'!$A$11:$A$18</xm:f>
          </x14:formula1>
          <xm:sqref>AM43:AQ43</xm:sqref>
        </x14:dataValidation>
        <x14:dataValidation type="list" showInputMessage="1" showErrorMessage="1" xr:uid="{00000000-0002-0000-0300-00000D000000}">
          <x14:formula1>
            <xm:f>'Sprachen &amp; Rückgabewerte'!$A$19:$A$21</xm:f>
          </x14:formula1>
          <xm:sqref>AR43:AS43</xm:sqref>
        </x14:dataValidation>
        <x14:dataValidation type="list" allowBlank="1" showInputMessage="1" showErrorMessage="1" xr:uid="{00000000-0002-0000-0300-00000E000000}">
          <x14:formula1>
            <xm:f>'Sprachen &amp; Rückgabewerte'!$J$67:$J$69</xm:f>
          </x14:formula1>
          <xm:sqref>AN70:AS70</xm:sqref>
        </x14:dataValidation>
        <x14:dataValidation type="list" allowBlank="1" showInputMessage="1" showErrorMessage="1" xr:uid="{00000000-0002-0000-0300-00000F000000}">
          <x14:formula1>
            <xm:f>'Sprachen &amp; Rückgabewerte'!$J$77:$J$79</xm:f>
          </x14:formula1>
          <xm:sqref>AN78:AP78</xm:sqref>
        </x14:dataValidation>
        <x14:dataValidation type="list" allowBlank="1" showInputMessage="1" showErrorMessage="1" xr:uid="{00000000-0002-0000-0300-000010000000}">
          <x14:formula1>
            <xm:f>'Sprachen &amp; Rückgabewerte'!$J$80:$J$82</xm:f>
          </x14:formula1>
          <xm:sqref>AN79:AP79</xm:sqref>
        </x14:dataValidation>
        <x14:dataValidation type="list" allowBlank="1" showInputMessage="1" showErrorMessage="1" xr:uid="{00000000-0002-0000-0300-000011000000}">
          <x14:formula1>
            <xm:f>'Sprachen &amp; Rückgabewerte'!$J$84:$J$86</xm:f>
          </x14:formula1>
          <xm:sqref>AN80:AS80</xm:sqref>
        </x14:dataValidation>
        <x14:dataValidation type="list" showInputMessage="1" showErrorMessage="1" xr:uid="{00000000-0002-0000-0300-000012000000}">
          <x14:formula1>
            <xm:f>'Sprachen &amp; Rückgabewerte'!$B$73:$B$75</xm:f>
          </x14:formula1>
          <xm:sqref>H96:K96</xm:sqref>
        </x14:dataValidation>
        <x14:dataValidation type="list" showInputMessage="1" showErrorMessage="1" xr:uid="{00000000-0002-0000-0300-000013000000}">
          <x14:formula1>
            <xm:f>'Sprachen &amp; Rückgabewerte'!$B$76:$B$78</xm:f>
          </x14:formula1>
          <xm:sqref>O96:R96</xm:sqref>
        </x14:dataValidation>
        <x14:dataValidation type="list" allowBlank="1" showInputMessage="1" showErrorMessage="1" xr:uid="{00000000-0002-0000-0300-000014000000}">
          <x14:formula1>
            <xm:f>'Sprachen &amp; Rückgabewerte'!$B$9:$B$14</xm:f>
          </x14:formula1>
          <xm:sqref>F10:G10 J10:K10 N10:O10 R10:S10 V10:W10 Z10:AA10 AD10:AE10 AH10:AI10 AL10:AM10 AP10:AQ10</xm:sqref>
        </x14:dataValidation>
        <x14:dataValidation type="list" showInputMessage="1" showErrorMessage="1" xr:uid="{00000000-0002-0000-0300-000015000000}">
          <x14:formula1>
            <xm:f>'Sprachen &amp; Rückgabewerte'!$B$67:$B$69</xm:f>
          </x14:formula1>
          <xm:sqref>F72:I72 L72:O72 R72:U72</xm:sqref>
        </x14:dataValidation>
        <x14:dataValidation type="list" allowBlank="1" showInputMessage="1" showErrorMessage="1" xr:uid="{00000000-0002-0000-0300-000016000000}">
          <x14:formula1>
            <xm:f>'Sprachen &amp; Rückgabewerte'!$J$91:$J$93</xm:f>
          </x14:formula1>
          <xm:sqref>AM49:AP49</xm:sqref>
        </x14:dataValidation>
        <x14:dataValidation type="list" allowBlank="1" showInputMessage="1" showErrorMessage="1" xr:uid="{00000000-0002-0000-0300-000017000000}">
          <x14:formula1>
            <xm:f>'Sprachen &amp; Rückgabewerte'!$N$78:$N$80</xm:f>
          </x14:formula1>
          <xm:sqref>AE70:AL70</xm:sqref>
        </x14:dataValidation>
        <x14:dataValidation type="list" allowBlank="1" showInputMessage="1" showErrorMessage="1" xr:uid="{00000000-0002-0000-0300-000018000000}">
          <x14:formula1>
            <xm:f>'Sprachen &amp; Rückgabewerte'!$J$133:$J$136</xm:f>
          </x14:formula1>
          <xm:sqref>AX33:AY42</xm:sqref>
        </x14:dataValidation>
        <x14:dataValidation type="list" allowBlank="1" showInputMessage="1" showErrorMessage="1" xr:uid="{00000000-0002-0000-0300-000019000000}">
          <x14:formula1>
            <xm:f>'Sprachen &amp; Rückgabewerte'!$B$81:$B$84</xm:f>
          </x14:formula1>
          <xm:sqref>T104</xm:sqref>
        </x14:dataValidation>
        <x14:dataValidation type="list" allowBlank="1" showInputMessage="1" showErrorMessage="1" xr:uid="{00000000-0002-0000-0300-00001A000000}">
          <x14:formula1>
            <xm:f>'Sprachen &amp; Rückgabewerte'!$J$142:$J$144</xm:f>
          </x14:formula1>
          <xm:sqref>T110</xm:sqref>
        </x14:dataValidation>
        <x14:dataValidation type="list" allowBlank="1" showInputMessage="1" showErrorMessage="1" xr:uid="{00000000-0002-0000-0300-00001B000000}">
          <x14:formula1>
            <xm:f>'Sprachen &amp; Rückgabewerte'!$J$145:$J$147</xm:f>
          </x14:formula1>
          <xm:sqref>T114</xm:sqref>
        </x14:dataValidation>
        <x14:dataValidation type="list" showInputMessage="1" showErrorMessage="1" xr:uid="{00000000-0002-0000-0300-00001C000000}">
          <x14:formula1>
            <xm:f>'Sprachen &amp; Rückgabewerte'!$R$41:$R$43</xm:f>
          </x14:formula1>
          <xm:sqref>AF11:AG11 AN11:AO11 X11:Y11 T11:U11 P11:Q11 L11:M11 AB11:AC11 AJ11:AK11 H11:I11</xm:sqref>
        </x14:dataValidation>
        <x14:dataValidation type="list" allowBlank="1" showInputMessage="1" showErrorMessage="1" xr:uid="{00000000-0002-0000-0300-00001D000000}">
          <x14:formula1>
            <xm:f>'Sprachen &amp; Rückgabewerte'!$Q$41:$Q$51</xm:f>
          </x14:formula1>
          <xm:sqref>AP74:AP76</xm:sqref>
        </x14:dataValidation>
        <x14:dataValidation type="list" showInputMessage="1" showErrorMessage="1" errorTitle="SG-Typ auswählen" error="Bitte wählen Sie einen Sky-Glass Typ aus. Spezialaufbau bitte im Feld Speziell eingeben!" xr:uid="{00000000-0002-0000-0300-00001E000000}">
          <x14:formula1>
            <xm:f>'Sprachen &amp; Rückgabewerte'!$V$3:$V$9</xm:f>
          </x14:formula1>
          <xm:sqref>AE53:AG53</xm:sqref>
        </x14:dataValidation>
        <x14:dataValidation type="list" allowBlank="1" showInputMessage="1" showErrorMessage="1" xr:uid="{00000000-0002-0000-0300-00001F000000}">
          <x14:formula1>
            <xm:f>'Sprachen &amp; Rückgabewerte'!$J$150:$J$153</xm:f>
          </x14:formula1>
          <xm:sqref>AW48:AX48</xm:sqref>
        </x14:dataValidation>
        <x14:dataValidation type="list" allowBlank="1" showInputMessage="1" showErrorMessage="1" xr:uid="{00000000-0002-0000-0300-000020000000}">
          <x14:formula1>
            <xm:f>'Sprachen &amp; Rückgabewerte'!$J$87:$J$89</xm:f>
          </x14:formula1>
          <xm:sqref>AE84:AL84</xm:sqref>
        </x14:dataValidation>
        <x14:dataValidation type="list" showInputMessage="1" showErrorMessage="1" xr:uid="{00000000-0002-0000-0300-000021000000}">
          <x14:formula1>
            <xm:f>'Sprachen &amp; Rückgabewerte'!$J$174:$J$175</xm:f>
          </x14:formula1>
          <xm:sqref>AM46:AS46</xm:sqref>
        </x14:dataValidation>
        <x14:dataValidation type="list" showInputMessage="1" showErrorMessage="1" xr:uid="{00000000-0002-0000-0300-000022000000}">
          <x14:formula1>
            <xm:f>'Sprachen &amp; Rückgabewerte'!$J$177:$J$178</xm:f>
          </x14:formula1>
          <xm:sqref>AM47:AS47</xm:sqref>
        </x14:dataValidation>
        <x14:dataValidation type="list" allowBlank="1" showInputMessage="1" showErrorMessage="1" xr:uid="{00000000-0002-0000-0300-000023000000}">
          <x14:formula1>
            <xm:f>'Sprachen &amp; Rückgabewerte'!$A$28:$A$30</xm:f>
          </x14:formula1>
          <xm:sqref>F16:G17 J16:K17 N16:O17 R16:S17 V16:W17 Z16:AA17 AD16:AE17 AH16:AI17 AL16:AM17 AP16:AQ17</xm:sqref>
        </x14:dataValidation>
        <x14:dataValidation type="list" allowBlank="1" showInputMessage="1" showErrorMessage="1" xr:uid="{ACE0255B-C507-4D4B-B507-12AB6E304C70}">
          <x14:formula1>
            <xm:f>'Sprachen &amp; Rückgabewerte'!$H$95:$H$96</xm:f>
          </x14:formula1>
          <xm:sqref>AQ96:AR96</xm:sqref>
        </x14:dataValidation>
        <x14:dataValidation type="list" allowBlank="1" showInputMessage="1" showErrorMessage="1" xr:uid="{E6B4C4D1-D051-4345-AF62-B93BB85C75E9}">
          <x14:formula1>
            <xm:f>'Sprachen &amp; Rückgabewerte'!$H$198:$H$199</xm:f>
          </x14:formula1>
          <xm:sqref>AZ9:BA9</xm:sqref>
        </x14:dataValidation>
        <x14:dataValidation type="list" allowBlank="1" showInputMessage="1" showErrorMessage="1" xr:uid="{687141B3-405E-4F6E-9C12-F6C5C7640876}">
          <x14:formula1>
            <xm:f>'Sprachen &amp; Rückgabewerte'!$H$196:$H$197</xm:f>
          </x14:formula1>
          <xm:sqref>AZ10:BA10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A5C2-1AD7-4490-B40A-9899744778E1}">
  <dimension ref="A1:AF206"/>
  <sheetViews>
    <sheetView showGridLines="0" zoomScale="70" zoomScaleNormal="70" workbookViewId="0">
      <selection activeCell="B3" sqref="B3"/>
    </sheetView>
  </sheetViews>
  <sheetFormatPr baseColWidth="10" defaultRowHeight="12.75" x14ac:dyDescent="0.2"/>
  <cols>
    <col min="1" max="1" width="19.140625" style="279" customWidth="1"/>
    <col min="2" max="2" width="16.7109375" style="279" customWidth="1"/>
    <col min="3" max="3" width="11.42578125" style="279" customWidth="1"/>
    <col min="4" max="7" width="40.7109375" style="279" customWidth="1"/>
    <col min="8" max="8" width="34.28515625" style="279" customWidth="1"/>
    <col min="9" max="9" width="30.42578125" style="279" customWidth="1"/>
    <col min="10" max="10" width="25.7109375" style="279" customWidth="1"/>
    <col min="11" max="11" width="15.5703125" style="279" customWidth="1"/>
    <col min="12" max="12" width="13.42578125" style="279" customWidth="1"/>
    <col min="13" max="13" width="16.140625" style="279" customWidth="1"/>
    <col min="14" max="17" width="11.42578125" style="279"/>
    <col min="18" max="18" width="12.5703125" style="279" customWidth="1"/>
    <col min="19" max="19" width="10.140625" style="279" customWidth="1"/>
    <col min="20" max="20" width="10.28515625" style="279" customWidth="1"/>
    <col min="21" max="21" width="21.5703125" style="279" customWidth="1"/>
    <col min="22" max="26" width="11.42578125" style="279"/>
    <col min="27" max="27" width="12.28515625" style="279" customWidth="1"/>
    <col min="28" max="28" width="11.42578125" style="279"/>
    <col min="29" max="31" width="26.42578125" style="279" customWidth="1"/>
    <col min="32" max="16384" width="11.42578125" style="279"/>
  </cols>
  <sheetData>
    <row r="1" spans="1:32" ht="13.5" thickBot="1" x14ac:dyDescent="0.25">
      <c r="H1" s="45" t="s">
        <v>214</v>
      </c>
      <c r="L1" s="279" t="s">
        <v>181</v>
      </c>
      <c r="M1" s="279" t="s">
        <v>182</v>
      </c>
      <c r="N1" s="279" t="s">
        <v>183</v>
      </c>
      <c r="R1" s="279" t="s">
        <v>608</v>
      </c>
      <c r="S1" s="279" t="s">
        <v>609</v>
      </c>
      <c r="T1" s="279" t="s">
        <v>610</v>
      </c>
      <c r="W1" s="316" t="str">
        <f>IF($I$125=TRUE,R1,L1)</f>
        <v>Ug=</v>
      </c>
      <c r="X1" s="330" t="str">
        <f>IF($I$125=TRUE,S1,M1)</f>
        <v>Lt=</v>
      </c>
      <c r="Y1" s="330" t="str">
        <f>IF($I$125=TRUE,T1,N1)</f>
        <v>g=</v>
      </c>
    </row>
    <row r="2" spans="1:32" x14ac:dyDescent="0.2">
      <c r="B2" s="28" t="s">
        <v>178</v>
      </c>
      <c r="C2" s="29" t="s">
        <v>91</v>
      </c>
      <c r="D2" s="15" t="s">
        <v>443</v>
      </c>
      <c r="E2" s="16" t="s">
        <v>444</v>
      </c>
      <c r="F2" s="16" t="s">
        <v>445</v>
      </c>
      <c r="G2" s="17" t="s">
        <v>446</v>
      </c>
      <c r="H2" s="436" t="str">
        <f>IF($B$3=$A$3,D2,IF($B$3=$A$4,E2,IF($B$3=$A$5,F2,IF($B$3=$A$6,G2,""))))</f>
        <v>Sprache:</v>
      </c>
      <c r="I2" s="45" t="s">
        <v>194</v>
      </c>
      <c r="K2" s="33" t="s">
        <v>611</v>
      </c>
      <c r="L2" s="437"/>
      <c r="M2" s="437"/>
      <c r="N2" s="437"/>
      <c r="O2" s="437"/>
      <c r="P2" s="438"/>
      <c r="Q2" s="33" t="s">
        <v>612</v>
      </c>
      <c r="R2" s="437"/>
      <c r="S2" s="437"/>
      <c r="T2" s="437"/>
      <c r="U2" s="438"/>
      <c r="V2" s="33" t="s">
        <v>613</v>
      </c>
      <c r="W2" s="437"/>
      <c r="X2" s="437"/>
      <c r="Y2" s="437"/>
      <c r="Z2" s="437"/>
      <c r="AA2" s="438"/>
      <c r="AB2" s="439"/>
      <c r="AC2" s="439"/>
      <c r="AD2" s="439"/>
      <c r="AE2" s="439"/>
      <c r="AF2" s="439"/>
    </row>
    <row r="3" spans="1:32" x14ac:dyDescent="0.2">
      <c r="A3" s="279">
        <v>1</v>
      </c>
      <c r="B3" s="440">
        <v>1</v>
      </c>
      <c r="C3" s="441" t="s">
        <v>92</v>
      </c>
      <c r="D3" s="442" t="s">
        <v>92</v>
      </c>
      <c r="E3" s="443" t="s">
        <v>93</v>
      </c>
      <c r="F3" s="443" t="s">
        <v>94</v>
      </c>
      <c r="G3" s="444" t="s">
        <v>95</v>
      </c>
      <c r="H3" s="436" t="str">
        <f>IF($B$3=$A$3,D3,IF($B$3=$A$4,E3,IF($B$3=$A$5,F3,IF($B$3=$A$6,G3,""))))</f>
        <v>DEUTSCH</v>
      </c>
      <c r="I3" s="445"/>
      <c r="K3" s="329" t="s">
        <v>781</v>
      </c>
      <c r="L3" s="330">
        <v>5.7</v>
      </c>
      <c r="M3" s="330">
        <v>89</v>
      </c>
      <c r="N3" s="330">
        <v>84</v>
      </c>
      <c r="O3" s="330" t="s">
        <v>787</v>
      </c>
      <c r="P3" s="446"/>
      <c r="Q3" s="329" t="s">
        <v>232</v>
      </c>
      <c r="R3" s="447">
        <v>0.34</v>
      </c>
      <c r="S3" s="330">
        <v>0.49</v>
      </c>
      <c r="T3" s="330">
        <v>0.67</v>
      </c>
      <c r="U3" s="446" t="s">
        <v>643</v>
      </c>
      <c r="V3" s="329" t="str">
        <f t="shared" ref="V3:Z25" si="0">IF($I$125=TRUE,Q3,K3)</f>
        <v>SG-71</v>
      </c>
      <c r="W3" s="316">
        <f t="shared" si="0"/>
        <v>5.7</v>
      </c>
      <c r="X3" s="330">
        <f t="shared" si="0"/>
        <v>89</v>
      </c>
      <c r="Y3" s="330">
        <f t="shared" si="0"/>
        <v>84</v>
      </c>
      <c r="Z3" s="330" t="str">
        <f t="shared" si="0"/>
        <v>ESG 6</v>
      </c>
      <c r="AA3" s="446"/>
      <c r="AB3" s="439"/>
      <c r="AC3" s="448"/>
      <c r="AD3" s="448"/>
      <c r="AE3" s="448"/>
      <c r="AF3" s="439"/>
    </row>
    <row r="4" spans="1:32" x14ac:dyDescent="0.2">
      <c r="A4" s="279">
        <v>2</v>
      </c>
      <c r="B4" s="449"/>
      <c r="C4" s="450" t="s">
        <v>93</v>
      </c>
      <c r="D4" s="329" t="s">
        <v>96</v>
      </c>
      <c r="E4" s="451" t="s">
        <v>97</v>
      </c>
      <c r="F4" s="451" t="s">
        <v>98</v>
      </c>
      <c r="G4" s="452" t="s">
        <v>99</v>
      </c>
      <c r="H4" s="436" t="str">
        <f>IF($B$3=$A$3,D4,IF($B$3=$A$4,E4,IF($B$3=$A$5,F4,IF($B$3=$A$6,G4,""))))</f>
        <v>BESTELLUNG</v>
      </c>
      <c r="I4" s="445"/>
      <c r="K4" s="280" t="s">
        <v>782</v>
      </c>
      <c r="L4" s="316">
        <v>5.6</v>
      </c>
      <c r="M4" s="316">
        <v>88</v>
      </c>
      <c r="N4" s="316">
        <v>80</v>
      </c>
      <c r="O4" s="316" t="s">
        <v>788</v>
      </c>
      <c r="P4" s="317"/>
      <c r="Q4" s="280" t="s">
        <v>233</v>
      </c>
      <c r="R4" s="316">
        <v>0.34</v>
      </c>
      <c r="S4" s="316">
        <v>0.48</v>
      </c>
      <c r="T4" s="316">
        <v>0.66</v>
      </c>
      <c r="U4" s="317" t="s">
        <v>644</v>
      </c>
      <c r="V4" s="280" t="str">
        <f t="shared" si="0"/>
        <v>SG-72</v>
      </c>
      <c r="W4" s="316">
        <f t="shared" si="0"/>
        <v>5.6</v>
      </c>
      <c r="X4" s="316">
        <f t="shared" si="0"/>
        <v>88</v>
      </c>
      <c r="Y4" s="316">
        <f t="shared" si="0"/>
        <v>80</v>
      </c>
      <c r="Z4" s="316" t="str">
        <f t="shared" si="0"/>
        <v>ESG 10</v>
      </c>
      <c r="AA4" s="317"/>
      <c r="AB4" s="714"/>
      <c r="AC4" s="453"/>
      <c r="AD4" s="453"/>
      <c r="AE4" s="453"/>
      <c r="AF4" s="439"/>
    </row>
    <row r="5" spans="1:32" x14ac:dyDescent="0.2">
      <c r="A5" s="279">
        <v>3</v>
      </c>
      <c r="B5" s="449"/>
      <c r="C5" s="450" t="s">
        <v>94</v>
      </c>
      <c r="D5" s="280" t="s">
        <v>0</v>
      </c>
      <c r="E5" s="316" t="s">
        <v>1</v>
      </c>
      <c r="F5" s="316" t="s">
        <v>101</v>
      </c>
      <c r="G5" s="317" t="s">
        <v>100</v>
      </c>
      <c r="H5" s="436" t="str">
        <f>IF($B$3=$A$3,D5,IF($B$3=$A$4,E5,IF($B$3=$A$5,F5,IF($B$3=$A$6,G5,""))))</f>
        <v>Gemäss Zeichnung Nr.:</v>
      </c>
      <c r="I5" s="445" t="b">
        <v>0</v>
      </c>
      <c r="K5" s="280" t="s">
        <v>783</v>
      </c>
      <c r="L5" s="316">
        <v>5.5</v>
      </c>
      <c r="M5" s="316">
        <v>87</v>
      </c>
      <c r="N5" s="316">
        <v>77</v>
      </c>
      <c r="O5" s="316" t="s">
        <v>789</v>
      </c>
      <c r="P5" s="317"/>
      <c r="Q5" s="280" t="s">
        <v>234</v>
      </c>
      <c r="R5" s="316">
        <v>0.34</v>
      </c>
      <c r="S5" s="316">
        <v>0.49</v>
      </c>
      <c r="T5" s="316">
        <v>0.68</v>
      </c>
      <c r="U5" s="317" t="s">
        <v>645</v>
      </c>
      <c r="V5" s="280" t="str">
        <f t="shared" si="0"/>
        <v>SG-73</v>
      </c>
      <c r="W5" s="316">
        <f t="shared" si="0"/>
        <v>5.5</v>
      </c>
      <c r="X5" s="316">
        <f t="shared" si="0"/>
        <v>87</v>
      </c>
      <c r="Y5" s="316">
        <f t="shared" si="0"/>
        <v>77</v>
      </c>
      <c r="Z5" s="316" t="str">
        <f t="shared" si="0"/>
        <v>ESG 12</v>
      </c>
      <c r="AA5" s="317"/>
      <c r="AB5" s="714"/>
      <c r="AC5" s="453"/>
      <c r="AD5" s="453"/>
      <c r="AE5" s="453"/>
      <c r="AF5" s="439"/>
    </row>
    <row r="6" spans="1:32" ht="13.5" thickBot="1" x14ac:dyDescent="0.25">
      <c r="A6" s="279">
        <v>4</v>
      </c>
      <c r="B6" s="454"/>
      <c r="C6" s="455" t="s">
        <v>95</v>
      </c>
      <c r="D6" s="280" t="s">
        <v>102</v>
      </c>
      <c r="E6" s="316" t="s">
        <v>103</v>
      </c>
      <c r="F6" s="316" t="s">
        <v>104</v>
      </c>
      <c r="G6" s="317" t="s">
        <v>364</v>
      </c>
      <c r="H6" s="436" t="str">
        <f>IF($B$3=$A$3,D6,IF($B$3=$A$4,E6,IF($B$3=$A$5,F6,IF($B$3=$A$6,G6,""))))</f>
        <v>Gemäss Skizze: (Ansicht von Aussen)</v>
      </c>
      <c r="I6" s="445" t="b">
        <v>0</v>
      </c>
      <c r="K6" s="280">
        <v>0</v>
      </c>
      <c r="L6" s="316">
        <v>0</v>
      </c>
      <c r="M6" s="316">
        <v>0</v>
      </c>
      <c r="N6" s="316">
        <v>0</v>
      </c>
      <c r="O6" s="316" t="str">
        <f>$H$54</f>
        <v>Glastyp wählen</v>
      </c>
      <c r="P6" s="317"/>
      <c r="Q6" s="280" t="s">
        <v>235</v>
      </c>
      <c r="R6" s="316">
        <v>0.34</v>
      </c>
      <c r="S6" s="316">
        <v>0.48</v>
      </c>
      <c r="T6" s="316">
        <v>0.66</v>
      </c>
      <c r="U6" s="317" t="s">
        <v>646</v>
      </c>
      <c r="V6" s="280">
        <f t="shared" si="0"/>
        <v>0</v>
      </c>
      <c r="W6" s="316">
        <f t="shared" si="0"/>
        <v>0</v>
      </c>
      <c r="X6" s="316">
        <f t="shared" si="0"/>
        <v>0</v>
      </c>
      <c r="Y6" s="316">
        <f t="shared" si="0"/>
        <v>0</v>
      </c>
      <c r="Z6" s="316" t="str">
        <f t="shared" si="0"/>
        <v>Glastyp wählen</v>
      </c>
      <c r="AA6" s="317"/>
      <c r="AB6" s="714"/>
      <c r="AC6" s="453"/>
      <c r="AD6" s="453"/>
      <c r="AE6" s="453"/>
      <c r="AF6" s="439"/>
    </row>
    <row r="7" spans="1:32" ht="13.5" thickBot="1" x14ac:dyDescent="0.25">
      <c r="D7" s="280" t="s">
        <v>499</v>
      </c>
      <c r="E7" s="316" t="s">
        <v>500</v>
      </c>
      <c r="F7" s="316" t="s">
        <v>501</v>
      </c>
      <c r="G7" s="317" t="s">
        <v>502</v>
      </c>
      <c r="H7" s="436" t="str">
        <f t="shared" ref="H7:H71" si="1">IF($B$3=$A$3,D7,IF($B$3=$A$4,E7,IF($B$3=$A$5,F7,IF($B$3=$A$6,G7,""))))</f>
        <v xml:space="preserve">Objekt: </v>
      </c>
      <c r="I7" s="445"/>
      <c r="K7" s="280" t="s">
        <v>784</v>
      </c>
      <c r="L7" s="316">
        <v>5.6</v>
      </c>
      <c r="M7" s="316">
        <v>88</v>
      </c>
      <c r="N7" s="316">
        <v>77</v>
      </c>
      <c r="O7" s="316" t="s">
        <v>792</v>
      </c>
      <c r="P7" s="317"/>
      <c r="Q7" s="280" t="s">
        <v>236</v>
      </c>
      <c r="R7" s="316">
        <v>0.34</v>
      </c>
      <c r="S7" s="316">
        <v>0.47</v>
      </c>
      <c r="T7" s="316">
        <v>0.66</v>
      </c>
      <c r="U7" s="317" t="s">
        <v>647</v>
      </c>
      <c r="V7" s="280" t="str">
        <f t="shared" si="0"/>
        <v>SG-74</v>
      </c>
      <c r="W7" s="316">
        <f t="shared" si="0"/>
        <v>5.6</v>
      </c>
      <c r="X7" s="316">
        <f t="shared" si="0"/>
        <v>88</v>
      </c>
      <c r="Y7" s="316">
        <f t="shared" si="0"/>
        <v>77</v>
      </c>
      <c r="Z7" s="316" t="str">
        <f t="shared" si="0"/>
        <v>VSG 8-2 (4/4-2)</v>
      </c>
      <c r="AA7" s="317"/>
      <c r="AB7" s="714"/>
      <c r="AC7" s="453"/>
      <c r="AD7" s="453"/>
      <c r="AE7" s="453"/>
      <c r="AF7" s="439"/>
    </row>
    <row r="8" spans="1:32" x14ac:dyDescent="0.2">
      <c r="B8" s="15" t="s">
        <v>186</v>
      </c>
      <c r="C8" s="17" t="s">
        <v>190</v>
      </c>
      <c r="D8" s="280" t="s">
        <v>184</v>
      </c>
      <c r="E8" s="316" t="s">
        <v>185</v>
      </c>
      <c r="F8" s="316" t="s">
        <v>105</v>
      </c>
      <c r="G8" s="317" t="s">
        <v>106</v>
      </c>
      <c r="H8" s="436" t="str">
        <f t="shared" si="1"/>
        <v>Bestelldatum:</v>
      </c>
      <c r="I8" s="445"/>
      <c r="K8" s="280" t="s">
        <v>785</v>
      </c>
      <c r="L8" s="316">
        <v>5.6</v>
      </c>
      <c r="M8" s="316">
        <v>87</v>
      </c>
      <c r="N8" s="316">
        <v>76</v>
      </c>
      <c r="O8" s="316" t="s">
        <v>791</v>
      </c>
      <c r="P8" s="317"/>
      <c r="Q8" s="280" t="s">
        <v>237</v>
      </c>
      <c r="R8" s="316">
        <v>0.33</v>
      </c>
      <c r="S8" s="316">
        <v>0.46</v>
      </c>
      <c r="T8" s="316">
        <v>0.65</v>
      </c>
      <c r="U8" s="317" t="s">
        <v>648</v>
      </c>
      <c r="V8" s="280" t="str">
        <f t="shared" si="0"/>
        <v>SG-75</v>
      </c>
      <c r="W8" s="316">
        <f t="shared" si="0"/>
        <v>5.6</v>
      </c>
      <c r="X8" s="316">
        <f t="shared" si="0"/>
        <v>87</v>
      </c>
      <c r="Y8" s="316">
        <f t="shared" si="0"/>
        <v>76</v>
      </c>
      <c r="Z8" s="316" t="str">
        <f t="shared" si="0"/>
        <v>VSG 10-2 (6/4-2)</v>
      </c>
      <c r="AA8" s="317"/>
      <c r="AB8" s="714"/>
      <c r="AC8" s="453"/>
      <c r="AD8" s="453"/>
      <c r="AE8" s="453"/>
      <c r="AF8" s="439"/>
    </row>
    <row r="9" spans="1:32" ht="13.5" thickBot="1" x14ac:dyDescent="0.25">
      <c r="B9" s="329" t="s">
        <v>835</v>
      </c>
      <c r="C9" s="362" t="s">
        <v>836</v>
      </c>
      <c r="D9" s="280" t="s">
        <v>2</v>
      </c>
      <c r="E9" s="316" t="s">
        <v>3</v>
      </c>
      <c r="F9" s="316" t="s">
        <v>4</v>
      </c>
      <c r="G9" s="317" t="s">
        <v>107</v>
      </c>
      <c r="H9" s="436" t="str">
        <f t="shared" si="1"/>
        <v>Projekt-Nr.:</v>
      </c>
      <c r="I9" s="445"/>
      <c r="K9" s="280" t="s">
        <v>786</v>
      </c>
      <c r="L9" s="316">
        <v>5.5</v>
      </c>
      <c r="M9" s="316">
        <v>86</v>
      </c>
      <c r="N9" s="316">
        <v>74</v>
      </c>
      <c r="O9" s="316" t="s">
        <v>790</v>
      </c>
      <c r="P9" s="317"/>
      <c r="Q9" s="280">
        <v>0</v>
      </c>
      <c r="R9" s="316">
        <v>0</v>
      </c>
      <c r="S9" s="316">
        <v>0</v>
      </c>
      <c r="T9" s="316">
        <v>0</v>
      </c>
      <c r="U9" s="317" t="str">
        <f>$H$54</f>
        <v>Glastyp wählen</v>
      </c>
      <c r="V9" s="280" t="str">
        <f t="shared" si="0"/>
        <v>SG-76</v>
      </c>
      <c r="W9" s="316">
        <f t="shared" si="0"/>
        <v>5.5</v>
      </c>
      <c r="X9" s="316">
        <f t="shared" si="0"/>
        <v>86</v>
      </c>
      <c r="Y9" s="316">
        <f t="shared" si="0"/>
        <v>74</v>
      </c>
      <c r="Z9" s="316" t="str">
        <f t="shared" si="0"/>
        <v>VSG 12-2 /6/6-2)</v>
      </c>
      <c r="AA9" s="317"/>
      <c r="AB9" s="714"/>
      <c r="AC9" s="453"/>
      <c r="AD9" s="453"/>
      <c r="AE9" s="453"/>
      <c r="AF9" s="439"/>
    </row>
    <row r="10" spans="1:32" x14ac:dyDescent="0.2">
      <c r="A10" s="56" t="s">
        <v>44</v>
      </c>
      <c r="B10" s="456" t="s">
        <v>187</v>
      </c>
      <c r="C10" s="457" t="s">
        <v>191</v>
      </c>
      <c r="D10" s="280" t="s">
        <v>5</v>
      </c>
      <c r="E10" s="316" t="s">
        <v>6</v>
      </c>
      <c r="F10" s="316" t="s">
        <v>7</v>
      </c>
      <c r="G10" s="317" t="s">
        <v>340</v>
      </c>
      <c r="H10" s="436" t="str">
        <f t="shared" si="1"/>
        <v>2-gleisig</v>
      </c>
      <c r="I10" s="458" t="b">
        <v>0</v>
      </c>
      <c r="K10" s="280">
        <v>0</v>
      </c>
      <c r="L10" s="51">
        <v>0</v>
      </c>
      <c r="M10" s="316">
        <v>0</v>
      </c>
      <c r="N10" s="316">
        <v>0</v>
      </c>
      <c r="O10" s="316" t="str">
        <f t="shared" ref="O10:O35" si="2">$H$54</f>
        <v>Glastyp wählen</v>
      </c>
      <c r="P10" s="317"/>
      <c r="Q10" s="280" t="s">
        <v>238</v>
      </c>
      <c r="R10" s="316">
        <v>0.34</v>
      </c>
      <c r="S10" s="316">
        <v>0.41</v>
      </c>
      <c r="T10" s="316">
        <v>0.59</v>
      </c>
      <c r="U10" s="317" t="s">
        <v>642</v>
      </c>
      <c r="V10" s="280">
        <f t="shared" si="0"/>
        <v>0</v>
      </c>
      <c r="W10" s="316">
        <f t="shared" si="0"/>
        <v>0</v>
      </c>
      <c r="X10" s="316">
        <f t="shared" si="0"/>
        <v>0</v>
      </c>
      <c r="Y10" s="316">
        <f t="shared" si="0"/>
        <v>0</v>
      </c>
      <c r="Z10" s="316" t="str">
        <f t="shared" si="0"/>
        <v>Glastyp wählen</v>
      </c>
      <c r="AA10" s="317"/>
      <c r="AB10" s="714"/>
      <c r="AC10" s="453"/>
      <c r="AD10" s="453"/>
      <c r="AE10" s="453"/>
      <c r="AF10" s="439"/>
    </row>
    <row r="11" spans="1:32" x14ac:dyDescent="0.2">
      <c r="A11" s="459"/>
      <c r="B11" s="460" t="s">
        <v>188</v>
      </c>
      <c r="C11" s="461" t="s">
        <v>192</v>
      </c>
      <c r="D11" s="280" t="s">
        <v>8</v>
      </c>
      <c r="E11" s="316" t="s">
        <v>9</v>
      </c>
      <c r="F11" s="316" t="s">
        <v>779</v>
      </c>
      <c r="G11" s="317" t="s">
        <v>341</v>
      </c>
      <c r="H11" s="436" t="str">
        <f t="shared" si="1"/>
        <v>3-gleisig</v>
      </c>
      <c r="I11" s="458" t="b">
        <v>0</v>
      </c>
      <c r="K11" s="280">
        <v>0</v>
      </c>
      <c r="L11" s="316">
        <v>0</v>
      </c>
      <c r="M11" s="316">
        <v>0</v>
      </c>
      <c r="N11" s="316">
        <v>0</v>
      </c>
      <c r="O11" s="316" t="str">
        <f t="shared" si="2"/>
        <v>Glastyp wählen</v>
      </c>
      <c r="P11" s="317"/>
      <c r="Q11" s="280" t="s">
        <v>239</v>
      </c>
      <c r="R11" s="316">
        <v>0.33</v>
      </c>
      <c r="S11" s="316">
        <v>0.4</v>
      </c>
      <c r="T11" s="316">
        <v>0.57999999999999996</v>
      </c>
      <c r="U11" s="317" t="s">
        <v>649</v>
      </c>
      <c r="V11" s="280">
        <f t="shared" si="0"/>
        <v>0</v>
      </c>
      <c r="W11" s="316">
        <f t="shared" si="0"/>
        <v>0</v>
      </c>
      <c r="X11" s="316">
        <f t="shared" si="0"/>
        <v>0</v>
      </c>
      <c r="Y11" s="316">
        <f t="shared" si="0"/>
        <v>0</v>
      </c>
      <c r="Z11" s="316" t="str">
        <f t="shared" si="0"/>
        <v>Glastyp wählen</v>
      </c>
      <c r="AA11" s="317"/>
      <c r="AB11" s="714"/>
      <c r="AC11" s="453"/>
      <c r="AD11" s="453"/>
      <c r="AE11" s="453"/>
      <c r="AF11" s="439"/>
    </row>
    <row r="12" spans="1:32" x14ac:dyDescent="0.2">
      <c r="A12" s="436" t="s">
        <v>180</v>
      </c>
      <c r="B12" s="460" t="s">
        <v>189</v>
      </c>
      <c r="C12" s="461" t="s">
        <v>193</v>
      </c>
      <c r="D12" s="280" t="s">
        <v>10</v>
      </c>
      <c r="E12" s="316" t="s">
        <v>11</v>
      </c>
      <c r="F12" s="316" t="s">
        <v>780</v>
      </c>
      <c r="G12" s="317" t="s">
        <v>342</v>
      </c>
      <c r="H12" s="436" t="str">
        <f t="shared" si="1"/>
        <v>4-gleisig</v>
      </c>
      <c r="I12" s="458" t="b">
        <v>0</v>
      </c>
      <c r="K12" s="280">
        <v>0</v>
      </c>
      <c r="L12" s="316">
        <v>0</v>
      </c>
      <c r="M12" s="316">
        <v>0</v>
      </c>
      <c r="N12" s="316">
        <v>0</v>
      </c>
      <c r="O12" s="316" t="str">
        <f t="shared" si="2"/>
        <v>Glastyp wählen</v>
      </c>
      <c r="P12" s="317"/>
      <c r="Q12" s="280" t="s">
        <v>240</v>
      </c>
      <c r="R12" s="316">
        <v>0.34</v>
      </c>
      <c r="S12" s="316">
        <v>0.4</v>
      </c>
      <c r="T12" s="316">
        <v>0.57999999999999996</v>
      </c>
      <c r="U12" s="317" t="s">
        <v>650</v>
      </c>
      <c r="V12" s="280">
        <f t="shared" si="0"/>
        <v>0</v>
      </c>
      <c r="W12" s="316">
        <f t="shared" si="0"/>
        <v>0</v>
      </c>
      <c r="X12" s="316">
        <f t="shared" si="0"/>
        <v>0</v>
      </c>
      <c r="Y12" s="316">
        <f t="shared" si="0"/>
        <v>0</v>
      </c>
      <c r="Z12" s="316" t="str">
        <f t="shared" si="0"/>
        <v>Glastyp wählen</v>
      </c>
      <c r="AA12" s="317"/>
      <c r="AB12" s="714"/>
      <c r="AC12" s="453"/>
      <c r="AD12" s="453"/>
      <c r="AE12" s="453"/>
      <c r="AF12" s="439"/>
    </row>
    <row r="13" spans="1:32" x14ac:dyDescent="0.2">
      <c r="A13" s="436" t="s">
        <v>225</v>
      </c>
      <c r="B13" s="462" t="s">
        <v>440</v>
      </c>
      <c r="C13" s="463" t="s">
        <v>439</v>
      </c>
      <c r="D13" s="280" t="s">
        <v>12</v>
      </c>
      <c r="E13" s="316" t="s">
        <v>13</v>
      </c>
      <c r="F13" s="316" t="s">
        <v>14</v>
      </c>
      <c r="G13" s="317" t="s">
        <v>108</v>
      </c>
      <c r="H13" s="436" t="str">
        <f t="shared" si="1"/>
        <v>Teilung Achsmasse</v>
      </c>
      <c r="I13" s="445" t="b">
        <v>0</v>
      </c>
      <c r="K13" s="280">
        <v>0</v>
      </c>
      <c r="L13" s="316">
        <v>0</v>
      </c>
      <c r="M13" s="316">
        <v>0</v>
      </c>
      <c r="N13" s="316">
        <v>0</v>
      </c>
      <c r="O13" s="316" t="str">
        <f t="shared" si="2"/>
        <v>Glastyp wählen</v>
      </c>
      <c r="P13" s="317"/>
      <c r="Q13" s="280" t="s">
        <v>241</v>
      </c>
      <c r="R13" s="316">
        <v>0.33</v>
      </c>
      <c r="S13" s="316">
        <v>0.4</v>
      </c>
      <c r="T13" s="316">
        <v>0.57999999999999996</v>
      </c>
      <c r="U13" s="317" t="s">
        <v>651</v>
      </c>
      <c r="V13" s="280">
        <f t="shared" si="0"/>
        <v>0</v>
      </c>
      <c r="W13" s="316">
        <f t="shared" si="0"/>
        <v>0</v>
      </c>
      <c r="X13" s="316">
        <f t="shared" si="0"/>
        <v>0</v>
      </c>
      <c r="Y13" s="316">
        <f t="shared" si="0"/>
        <v>0</v>
      </c>
      <c r="Z13" s="316" t="str">
        <f t="shared" si="0"/>
        <v>Glastyp wählen</v>
      </c>
      <c r="AA13" s="317"/>
      <c r="AB13" s="714"/>
      <c r="AC13" s="453"/>
      <c r="AD13" s="453"/>
      <c r="AE13" s="453"/>
      <c r="AF13" s="439"/>
    </row>
    <row r="14" spans="1:32" ht="13.5" thickBot="1" x14ac:dyDescent="0.25">
      <c r="A14" s="436" t="s">
        <v>224</v>
      </c>
      <c r="B14" s="377" t="s">
        <v>441</v>
      </c>
      <c r="C14" s="464" t="s">
        <v>438</v>
      </c>
      <c r="D14" s="280" t="s">
        <v>110</v>
      </c>
      <c r="E14" s="316" t="s">
        <v>109</v>
      </c>
      <c r="F14" s="5" t="s">
        <v>15</v>
      </c>
      <c r="G14" s="58" t="s">
        <v>365</v>
      </c>
      <c r="H14" s="436" t="str">
        <f t="shared" si="1"/>
        <v>alle Gläser gleiche Breite (Empfehlung)</v>
      </c>
      <c r="I14" s="445" t="b">
        <v>0</v>
      </c>
      <c r="K14" s="280">
        <v>0</v>
      </c>
      <c r="L14" s="316">
        <v>0</v>
      </c>
      <c r="M14" s="316">
        <v>0</v>
      </c>
      <c r="N14" s="316">
        <v>0</v>
      </c>
      <c r="O14" s="316" t="str">
        <f t="shared" si="2"/>
        <v>Glastyp wählen</v>
      </c>
      <c r="P14" s="317"/>
      <c r="Q14" s="280" t="s">
        <v>242</v>
      </c>
      <c r="R14" s="316">
        <v>0.33</v>
      </c>
      <c r="S14" s="316">
        <v>0.39</v>
      </c>
      <c r="T14" s="316">
        <v>0.56999999999999995</v>
      </c>
      <c r="U14" s="317" t="s">
        <v>652</v>
      </c>
      <c r="V14" s="280">
        <f t="shared" si="0"/>
        <v>0</v>
      </c>
      <c r="W14" s="316">
        <f t="shared" si="0"/>
        <v>0</v>
      </c>
      <c r="X14" s="316">
        <f t="shared" si="0"/>
        <v>0</v>
      </c>
      <c r="Y14" s="316">
        <f t="shared" si="0"/>
        <v>0</v>
      </c>
      <c r="Z14" s="316" t="str">
        <f t="shared" si="0"/>
        <v>Glastyp wählen</v>
      </c>
      <c r="AA14" s="317"/>
      <c r="AB14" s="714"/>
      <c r="AC14" s="453"/>
      <c r="AD14" s="453"/>
      <c r="AE14" s="453"/>
      <c r="AF14" s="439"/>
    </row>
    <row r="15" spans="1:32" x14ac:dyDescent="0.2">
      <c r="A15" s="436" t="s">
        <v>226</v>
      </c>
      <c r="B15" s="85" t="s">
        <v>197</v>
      </c>
      <c r="C15" s="34"/>
      <c r="D15" s="280" t="s">
        <v>16</v>
      </c>
      <c r="E15" s="316" t="s">
        <v>16</v>
      </c>
      <c r="F15" s="316" t="s">
        <v>16</v>
      </c>
      <c r="G15" s="317" t="s">
        <v>16</v>
      </c>
      <c r="H15" s="436" t="str">
        <f t="shared" si="1"/>
        <v>Standard</v>
      </c>
      <c r="I15" s="445" t="b">
        <v>0</v>
      </c>
      <c r="K15" s="280">
        <v>0</v>
      </c>
      <c r="L15" s="316">
        <v>0</v>
      </c>
      <c r="M15" s="316">
        <v>0</v>
      </c>
      <c r="N15" s="316">
        <v>0</v>
      </c>
      <c r="O15" s="316" t="str">
        <f t="shared" si="2"/>
        <v>Glastyp wählen</v>
      </c>
      <c r="P15" s="317"/>
      <c r="Q15" s="280" t="s">
        <v>243</v>
      </c>
      <c r="R15" s="316">
        <v>0.33</v>
      </c>
      <c r="S15" s="316">
        <v>0.39</v>
      </c>
      <c r="T15" s="316">
        <v>0.56999999999999995</v>
      </c>
      <c r="U15" s="317" t="s">
        <v>653</v>
      </c>
      <c r="V15" s="280">
        <f t="shared" si="0"/>
        <v>0</v>
      </c>
      <c r="W15" s="316">
        <f t="shared" si="0"/>
        <v>0</v>
      </c>
      <c r="X15" s="316">
        <f t="shared" si="0"/>
        <v>0</v>
      </c>
      <c r="Y15" s="316">
        <f t="shared" si="0"/>
        <v>0</v>
      </c>
      <c r="Z15" s="316" t="str">
        <f t="shared" si="0"/>
        <v>Glastyp wählen</v>
      </c>
      <c r="AA15" s="317"/>
      <c r="AB15" s="714"/>
      <c r="AC15" s="453"/>
      <c r="AD15" s="453"/>
      <c r="AE15" s="453"/>
      <c r="AF15" s="439"/>
    </row>
    <row r="16" spans="1:32" x14ac:dyDescent="0.2">
      <c r="A16" s="436" t="s">
        <v>227</v>
      </c>
      <c r="B16" s="465" t="s">
        <v>198</v>
      </c>
      <c r="C16" s="457">
        <f>IF(AND($I$20=TRUE,OR('Pos. 2'!$F$10='Sprachen &amp; Rückgabewerte(2)'!$B$10,'Pos. 2'!$F$10='Sprachen &amp; Rückgabewerte(2)'!$B$11)),1,0)</f>
        <v>0</v>
      </c>
      <c r="D16" s="280" t="s">
        <v>17</v>
      </c>
      <c r="E16" s="316" t="s">
        <v>18</v>
      </c>
      <c r="F16" s="316" t="s">
        <v>19</v>
      </c>
      <c r="G16" s="317" t="s">
        <v>343</v>
      </c>
      <c r="H16" s="436" t="str">
        <f t="shared" si="1"/>
        <v>Einbruchschutz RC2</v>
      </c>
      <c r="I16" s="445" t="b">
        <v>0</v>
      </c>
      <c r="K16" s="280">
        <v>0</v>
      </c>
      <c r="L16" s="316">
        <v>0</v>
      </c>
      <c r="M16" s="316">
        <v>0</v>
      </c>
      <c r="N16" s="316">
        <v>0</v>
      </c>
      <c r="O16" s="316" t="str">
        <f t="shared" si="2"/>
        <v>Glastyp wählen</v>
      </c>
      <c r="P16" s="317"/>
      <c r="Q16" s="280">
        <v>0</v>
      </c>
      <c r="R16" s="316">
        <v>0</v>
      </c>
      <c r="S16" s="316">
        <v>0</v>
      </c>
      <c r="T16" s="316">
        <v>0</v>
      </c>
      <c r="U16" s="317" t="str">
        <f t="shared" ref="U16:U23" si="3">$H$54</f>
        <v>Glastyp wählen</v>
      </c>
      <c r="V16" s="280">
        <f t="shared" si="0"/>
        <v>0</v>
      </c>
      <c r="W16" s="316">
        <f t="shared" si="0"/>
        <v>0</v>
      </c>
      <c r="X16" s="316">
        <f t="shared" si="0"/>
        <v>0</v>
      </c>
      <c r="Y16" s="316">
        <f t="shared" si="0"/>
        <v>0</v>
      </c>
      <c r="Z16" s="316" t="str">
        <f t="shared" si="0"/>
        <v>Glastyp wählen</v>
      </c>
      <c r="AA16" s="317"/>
      <c r="AB16" s="714"/>
      <c r="AC16" s="453"/>
      <c r="AD16" s="453"/>
      <c r="AE16" s="453"/>
      <c r="AF16" s="439"/>
    </row>
    <row r="17" spans="1:32" x14ac:dyDescent="0.2">
      <c r="A17" s="436" t="s">
        <v>228</v>
      </c>
      <c r="B17" s="460" t="s">
        <v>199</v>
      </c>
      <c r="C17" s="461">
        <f>IF(AND($I$20=TRUE,OR('Pos. 2'!$J$10='Sprachen &amp; Rückgabewerte(2)'!$B$10,'Pos. 2'!$J$10='Sprachen &amp; Rückgabewerte(2)'!$B$11)),1,0)</f>
        <v>0</v>
      </c>
      <c r="D17" s="280" t="s">
        <v>334</v>
      </c>
      <c r="E17" s="316" t="s">
        <v>20</v>
      </c>
      <c r="F17" s="316" t="s">
        <v>21</v>
      </c>
      <c r="G17" s="317" t="s">
        <v>125</v>
      </c>
      <c r="H17" s="436" t="str">
        <f t="shared" si="1"/>
        <v>Positionsüberwachung (P)</v>
      </c>
      <c r="I17" s="445" t="b">
        <v>0</v>
      </c>
      <c r="K17" s="280">
        <v>0</v>
      </c>
      <c r="L17" s="316">
        <v>0</v>
      </c>
      <c r="M17" s="316">
        <v>0</v>
      </c>
      <c r="N17" s="316">
        <v>0</v>
      </c>
      <c r="O17" s="316" t="str">
        <f t="shared" si="2"/>
        <v>Glastyp wählen</v>
      </c>
      <c r="P17" s="317"/>
      <c r="Q17" s="280" t="s">
        <v>244</v>
      </c>
      <c r="R17" s="316">
        <v>0.34</v>
      </c>
      <c r="S17" s="316">
        <v>0.26</v>
      </c>
      <c r="T17" s="316">
        <v>0.53</v>
      </c>
      <c r="U17" s="317" t="s">
        <v>654</v>
      </c>
      <c r="V17" s="280">
        <f t="shared" si="0"/>
        <v>0</v>
      </c>
      <c r="W17" s="316">
        <f t="shared" si="0"/>
        <v>0</v>
      </c>
      <c r="X17" s="316">
        <f t="shared" si="0"/>
        <v>0</v>
      </c>
      <c r="Y17" s="316">
        <f t="shared" si="0"/>
        <v>0</v>
      </c>
      <c r="Z17" s="316" t="str">
        <f t="shared" si="0"/>
        <v>Glastyp wählen</v>
      </c>
      <c r="AA17" s="317"/>
      <c r="AB17" s="714"/>
      <c r="AC17" s="453"/>
      <c r="AD17" s="453"/>
      <c r="AE17" s="453"/>
      <c r="AF17" s="439"/>
    </row>
    <row r="18" spans="1:32" x14ac:dyDescent="0.2">
      <c r="A18" s="436" t="s">
        <v>229</v>
      </c>
      <c r="B18" s="460" t="s">
        <v>200</v>
      </c>
      <c r="C18" s="461">
        <f>IF(AND($I$20=TRUE,OR('Pos. 2'!$N$10='Sprachen &amp; Rückgabewerte(2)'!$B$10,'Pos. 2'!$N$10='Sprachen &amp; Rückgabewerte(2)'!$B$11)),1,0)</f>
        <v>0</v>
      </c>
      <c r="D18" s="280" t="s">
        <v>335</v>
      </c>
      <c r="E18" s="316" t="s">
        <v>22</v>
      </c>
      <c r="F18" s="316" t="s">
        <v>336</v>
      </c>
      <c r="G18" s="317" t="s">
        <v>126</v>
      </c>
      <c r="H18" s="436" t="str">
        <f t="shared" si="1"/>
        <v xml:space="preserve">Riegelüberwachung (R) </v>
      </c>
      <c r="I18" s="445" t="b">
        <v>0</v>
      </c>
      <c r="K18" s="280">
        <v>0</v>
      </c>
      <c r="L18" s="316">
        <v>0</v>
      </c>
      <c r="M18" s="316">
        <v>0</v>
      </c>
      <c r="N18" s="316">
        <v>0</v>
      </c>
      <c r="O18" s="316" t="str">
        <f t="shared" si="2"/>
        <v>Glastyp wählen</v>
      </c>
      <c r="P18" s="317"/>
      <c r="Q18" s="280" t="s">
        <v>245</v>
      </c>
      <c r="R18" s="316">
        <v>0.33</v>
      </c>
      <c r="S18" s="316">
        <v>0.26</v>
      </c>
      <c r="T18" s="316">
        <v>0.52</v>
      </c>
      <c r="U18" s="317" t="s">
        <v>655</v>
      </c>
      <c r="V18" s="280">
        <f t="shared" si="0"/>
        <v>0</v>
      </c>
      <c r="W18" s="316">
        <f t="shared" si="0"/>
        <v>0</v>
      </c>
      <c r="X18" s="316">
        <f t="shared" si="0"/>
        <v>0</v>
      </c>
      <c r="Y18" s="316">
        <f t="shared" si="0"/>
        <v>0</v>
      </c>
      <c r="Z18" s="316" t="str">
        <f t="shared" si="0"/>
        <v>Glastyp wählen</v>
      </c>
      <c r="AA18" s="317"/>
      <c r="AB18" s="714"/>
      <c r="AC18" s="453"/>
      <c r="AD18" s="453"/>
      <c r="AE18" s="453"/>
      <c r="AF18" s="439"/>
    </row>
    <row r="19" spans="1:32" x14ac:dyDescent="0.2">
      <c r="A19" s="436"/>
      <c r="B19" s="460" t="s">
        <v>201</v>
      </c>
      <c r="C19" s="461">
        <f>IF(AND($I$20=TRUE,OR('Pos. 2'!$R$10='Sprachen &amp; Rückgabewerte(2)'!$B$10,'Pos. 2'!$R$10='Sprachen &amp; Rückgabewerte(2)'!$B$11)),1,0)</f>
        <v>0</v>
      </c>
      <c r="D19" s="280" t="s">
        <v>337</v>
      </c>
      <c r="E19" s="316" t="s">
        <v>23</v>
      </c>
      <c r="F19" s="316" t="s">
        <v>24</v>
      </c>
      <c r="G19" s="317" t="s">
        <v>124</v>
      </c>
      <c r="H19" s="436" t="str">
        <f t="shared" si="1"/>
        <v>Glasbruchüberwachung (G)</v>
      </c>
      <c r="I19" s="445" t="b">
        <v>0</v>
      </c>
      <c r="K19" s="280">
        <v>0</v>
      </c>
      <c r="L19" s="316">
        <v>0</v>
      </c>
      <c r="M19" s="316">
        <v>0</v>
      </c>
      <c r="N19" s="316">
        <v>0</v>
      </c>
      <c r="O19" s="316" t="str">
        <f t="shared" si="2"/>
        <v>Glastyp wählen</v>
      </c>
      <c r="P19" s="317"/>
      <c r="Q19" s="280" t="s">
        <v>246</v>
      </c>
      <c r="R19" s="316">
        <v>0.34</v>
      </c>
      <c r="S19" s="316">
        <v>0.26</v>
      </c>
      <c r="T19" s="316">
        <v>0.52</v>
      </c>
      <c r="U19" s="317" t="s">
        <v>656</v>
      </c>
      <c r="V19" s="280">
        <f t="shared" si="0"/>
        <v>0</v>
      </c>
      <c r="W19" s="316">
        <f t="shared" si="0"/>
        <v>0</v>
      </c>
      <c r="X19" s="316">
        <f t="shared" si="0"/>
        <v>0</v>
      </c>
      <c r="Y19" s="316">
        <f t="shared" si="0"/>
        <v>0</v>
      </c>
      <c r="Z19" s="316" t="str">
        <f t="shared" si="0"/>
        <v>Glastyp wählen</v>
      </c>
      <c r="AA19" s="317"/>
      <c r="AB19" s="439"/>
      <c r="AC19" s="439"/>
      <c r="AD19" s="439"/>
      <c r="AE19" s="439"/>
      <c r="AF19" s="439"/>
    </row>
    <row r="20" spans="1:32" x14ac:dyDescent="0.2">
      <c r="A20" s="436" t="s">
        <v>230</v>
      </c>
      <c r="B20" s="460" t="s">
        <v>202</v>
      </c>
      <c r="C20" s="461">
        <f>IF(AND($I$20=TRUE,OR('Pos. 2'!$V$10='Sprachen &amp; Rückgabewerte(2)'!$B$10,'Pos. 2'!$V$10='Sprachen &amp; Rückgabewerte(2)'!$B$11)),1,0)</f>
        <v>0</v>
      </c>
      <c r="D20" s="280" t="s">
        <v>25</v>
      </c>
      <c r="E20" s="316" t="s">
        <v>195</v>
      </c>
      <c r="F20" s="316" t="s">
        <v>26</v>
      </c>
      <c r="G20" s="317" t="s">
        <v>127</v>
      </c>
      <c r="H20" s="436" t="str">
        <f t="shared" si="1"/>
        <v>Elektrischer Antrieb, Anzahl</v>
      </c>
      <c r="I20" s="445" t="b">
        <v>0</v>
      </c>
      <c r="K20" s="280">
        <v>0</v>
      </c>
      <c r="L20" s="316">
        <v>0</v>
      </c>
      <c r="M20" s="316">
        <v>0</v>
      </c>
      <c r="N20" s="316">
        <v>0</v>
      </c>
      <c r="O20" s="316" t="str">
        <f t="shared" si="2"/>
        <v>Glastyp wählen</v>
      </c>
      <c r="P20" s="317"/>
      <c r="Q20" s="280" t="s">
        <v>247</v>
      </c>
      <c r="R20" s="316">
        <v>0.33</v>
      </c>
      <c r="S20" s="316">
        <v>0.26</v>
      </c>
      <c r="T20" s="316">
        <v>0.52</v>
      </c>
      <c r="U20" s="317" t="s">
        <v>657</v>
      </c>
      <c r="V20" s="280">
        <f t="shared" si="0"/>
        <v>0</v>
      </c>
      <c r="W20" s="316">
        <f t="shared" si="0"/>
        <v>0</v>
      </c>
      <c r="X20" s="316">
        <f t="shared" si="0"/>
        <v>0</v>
      </c>
      <c r="Y20" s="316">
        <f t="shared" si="0"/>
        <v>0</v>
      </c>
      <c r="Z20" s="316" t="str">
        <f t="shared" si="0"/>
        <v>Glastyp wählen</v>
      </c>
      <c r="AA20" s="317"/>
      <c r="AB20" s="439"/>
      <c r="AC20" s="439"/>
      <c r="AD20" s="439"/>
      <c r="AE20" s="439"/>
      <c r="AF20" s="439"/>
    </row>
    <row r="21" spans="1:32" x14ac:dyDescent="0.2">
      <c r="A21" s="436" t="s">
        <v>231</v>
      </c>
      <c r="B21" s="460" t="s">
        <v>203</v>
      </c>
      <c r="C21" s="461">
        <f>IF(AND($I$20=TRUE,OR('Pos. 2'!$Z$10='Sprachen &amp; Rückgabewerte(2)'!$B$10,'Pos. 2'!$Z$10='Sprachen &amp; Rückgabewerte(2)'!$B$11)),1,0)</f>
        <v>0</v>
      </c>
      <c r="D21" s="280" t="s">
        <v>27</v>
      </c>
      <c r="E21" s="316" t="s">
        <v>752</v>
      </c>
      <c r="F21" s="316" t="s">
        <v>28</v>
      </c>
      <c r="G21" s="317" t="s">
        <v>128</v>
      </c>
      <c r="H21" s="436" t="str">
        <f t="shared" si="1"/>
        <v>Stk.</v>
      </c>
      <c r="I21" s="445"/>
      <c r="K21" s="280">
        <v>0</v>
      </c>
      <c r="L21" s="316">
        <v>0</v>
      </c>
      <c r="M21" s="316">
        <v>0</v>
      </c>
      <c r="N21" s="316">
        <v>0</v>
      </c>
      <c r="O21" s="316" t="str">
        <f t="shared" si="2"/>
        <v>Glastyp wählen</v>
      </c>
      <c r="P21" s="317"/>
      <c r="Q21" s="280" t="s">
        <v>248</v>
      </c>
      <c r="R21" s="316">
        <v>0.33</v>
      </c>
      <c r="S21" s="316">
        <v>0.26</v>
      </c>
      <c r="T21" s="316">
        <v>0.52</v>
      </c>
      <c r="U21" s="317" t="s">
        <v>658</v>
      </c>
      <c r="V21" s="280">
        <f t="shared" si="0"/>
        <v>0</v>
      </c>
      <c r="W21" s="316">
        <f t="shared" si="0"/>
        <v>0</v>
      </c>
      <c r="X21" s="316">
        <f t="shared" si="0"/>
        <v>0</v>
      </c>
      <c r="Y21" s="316">
        <f t="shared" si="0"/>
        <v>0</v>
      </c>
      <c r="Z21" s="316" t="str">
        <f t="shared" si="0"/>
        <v>Glastyp wählen</v>
      </c>
      <c r="AA21" s="317"/>
      <c r="AB21" s="439"/>
      <c r="AC21" s="439"/>
      <c r="AD21" s="439"/>
      <c r="AE21" s="439"/>
      <c r="AF21" s="439"/>
    </row>
    <row r="22" spans="1:32" x14ac:dyDescent="0.2">
      <c r="A22" s="436"/>
      <c r="B22" s="460" t="s">
        <v>204</v>
      </c>
      <c r="C22" s="461">
        <f>IF(AND($I$20=TRUE,OR('Pos. 2'!$AD$10='Sprachen &amp; Rückgabewerte(2)'!$B$10,'Pos. 2'!$AD$10='Sprachen &amp; Rückgabewerte(2)'!$B$11)),1,0)</f>
        <v>0</v>
      </c>
      <c r="D22" s="280" t="s">
        <v>29</v>
      </c>
      <c r="E22" s="316" t="s">
        <v>333</v>
      </c>
      <c r="F22" s="316" t="s">
        <v>332</v>
      </c>
      <c r="G22" s="317" t="s">
        <v>494</v>
      </c>
      <c r="H22" s="436" t="str">
        <f t="shared" si="1"/>
        <v>geforderte Klassen:</v>
      </c>
      <c r="I22" s="445" t="b">
        <v>0</v>
      </c>
      <c r="K22" s="280">
        <v>0</v>
      </c>
      <c r="L22" s="316">
        <v>0</v>
      </c>
      <c r="M22" s="316">
        <v>0</v>
      </c>
      <c r="N22" s="316">
        <v>0</v>
      </c>
      <c r="O22" s="316" t="str">
        <f t="shared" si="2"/>
        <v>Glastyp wählen</v>
      </c>
      <c r="P22" s="317"/>
      <c r="Q22" s="280" t="s">
        <v>249</v>
      </c>
      <c r="R22" s="316">
        <v>0.33</v>
      </c>
      <c r="S22" s="316">
        <v>0.26</v>
      </c>
      <c r="T22" s="316">
        <v>0.51</v>
      </c>
      <c r="U22" s="317" t="s">
        <v>659</v>
      </c>
      <c r="V22" s="280">
        <f t="shared" si="0"/>
        <v>0</v>
      </c>
      <c r="W22" s="316">
        <f t="shared" si="0"/>
        <v>0</v>
      </c>
      <c r="X22" s="316">
        <f t="shared" si="0"/>
        <v>0</v>
      </c>
      <c r="Y22" s="316">
        <f t="shared" si="0"/>
        <v>0</v>
      </c>
      <c r="Z22" s="316" t="str">
        <f t="shared" si="0"/>
        <v>Glastyp wählen</v>
      </c>
      <c r="AA22" s="317"/>
      <c r="AB22" s="439"/>
      <c r="AC22" s="439"/>
      <c r="AD22" s="439"/>
      <c r="AE22" s="439"/>
      <c r="AF22" s="439"/>
    </row>
    <row r="23" spans="1:32" x14ac:dyDescent="0.2">
      <c r="A23" s="370">
        <v>1</v>
      </c>
      <c r="B23" s="460" t="s">
        <v>205</v>
      </c>
      <c r="C23" s="461">
        <f>IF(AND($I$20=TRUE,OR('Pos. 2'!$AH$10='Sprachen &amp; Rückgabewerte(2)'!$B$10,'Pos. 2'!$AH$10='Sprachen &amp; Rückgabewerte(2)'!$B$11)),1,0)</f>
        <v>0</v>
      </c>
      <c r="D23" s="6" t="s">
        <v>119</v>
      </c>
      <c r="E23" s="7" t="s">
        <v>121</v>
      </c>
      <c r="F23" s="7" t="s">
        <v>122</v>
      </c>
      <c r="G23" s="8" t="s">
        <v>344</v>
      </c>
      <c r="H23" s="436" t="str">
        <f t="shared" si="1"/>
        <v>(Schlagregen, Luftdurchlässigkeit)</v>
      </c>
      <c r="I23" s="445"/>
      <c r="K23" s="280">
        <v>0</v>
      </c>
      <c r="L23" s="316">
        <v>0</v>
      </c>
      <c r="M23" s="316">
        <v>0</v>
      </c>
      <c r="N23" s="316">
        <v>0</v>
      </c>
      <c r="O23" s="316" t="str">
        <f t="shared" si="2"/>
        <v>Glastyp wählen</v>
      </c>
      <c r="P23" s="317"/>
      <c r="Q23" s="280">
        <v>0</v>
      </c>
      <c r="R23" s="316">
        <v>0</v>
      </c>
      <c r="S23" s="316">
        <v>0</v>
      </c>
      <c r="T23" s="316">
        <v>0</v>
      </c>
      <c r="U23" s="317" t="str">
        <f t="shared" si="3"/>
        <v>Glastyp wählen</v>
      </c>
      <c r="V23" s="280">
        <f t="shared" si="0"/>
        <v>0</v>
      </c>
      <c r="W23" s="316">
        <f t="shared" si="0"/>
        <v>0</v>
      </c>
      <c r="X23" s="316">
        <f t="shared" si="0"/>
        <v>0</v>
      </c>
      <c r="Y23" s="316">
        <f t="shared" si="0"/>
        <v>0</v>
      </c>
      <c r="Z23" s="316" t="str">
        <f t="shared" si="0"/>
        <v>Glastyp wählen</v>
      </c>
      <c r="AA23" s="317"/>
      <c r="AB23" s="439"/>
      <c r="AC23" s="439"/>
      <c r="AD23" s="439"/>
      <c r="AE23" s="439"/>
      <c r="AF23" s="439"/>
    </row>
    <row r="24" spans="1:32" ht="13.5" thickBot="1" x14ac:dyDescent="0.25">
      <c r="A24" s="466">
        <v>2</v>
      </c>
      <c r="B24" s="460" t="s">
        <v>206</v>
      </c>
      <c r="C24" s="461">
        <f>IF(AND($I$20=TRUE,OR('Pos. 2'!$AL$10='Sprachen &amp; Rückgabewerte(2)'!$B$10,'Pos. 2'!$AL$10='Sprachen &amp; Rückgabewerte(2)'!$B$11)),1,0)</f>
        <v>0</v>
      </c>
      <c r="D24" s="280" t="s">
        <v>111</v>
      </c>
      <c r="E24" s="316" t="s">
        <v>112</v>
      </c>
      <c r="F24" s="316" t="s">
        <v>113</v>
      </c>
      <c r="G24" s="317" t="s">
        <v>114</v>
      </c>
      <c r="H24" s="436" t="str">
        <f t="shared" si="1"/>
        <v>Speziell:</v>
      </c>
      <c r="I24" s="445"/>
      <c r="K24" s="280">
        <v>0</v>
      </c>
      <c r="L24" s="316">
        <v>0</v>
      </c>
      <c r="M24" s="316">
        <v>0</v>
      </c>
      <c r="N24" s="316">
        <v>0</v>
      </c>
      <c r="O24" s="316" t="str">
        <f t="shared" si="2"/>
        <v>Glastyp wählen</v>
      </c>
      <c r="P24" s="317"/>
      <c r="Q24" s="280" t="s">
        <v>660</v>
      </c>
      <c r="R24" s="316">
        <v>0.34</v>
      </c>
      <c r="S24" s="316">
        <v>0.22</v>
      </c>
      <c r="T24" s="316">
        <v>0.43</v>
      </c>
      <c r="U24" s="317" t="s">
        <v>661</v>
      </c>
      <c r="V24" s="280">
        <f t="shared" si="0"/>
        <v>0</v>
      </c>
      <c r="W24" s="316">
        <f t="shared" si="0"/>
        <v>0</v>
      </c>
      <c r="X24" s="316">
        <f t="shared" si="0"/>
        <v>0</v>
      </c>
      <c r="Y24" s="316">
        <f t="shared" si="0"/>
        <v>0</v>
      </c>
      <c r="Z24" s="316" t="str">
        <f t="shared" si="0"/>
        <v>Glastyp wählen</v>
      </c>
      <c r="AA24" s="317"/>
      <c r="AB24" s="439"/>
      <c r="AC24" s="439"/>
      <c r="AD24" s="439"/>
      <c r="AE24" s="439"/>
      <c r="AF24" s="439"/>
    </row>
    <row r="25" spans="1:32" ht="13.5" thickBot="1" x14ac:dyDescent="0.25">
      <c r="B25" s="467" t="s">
        <v>207</v>
      </c>
      <c r="C25" s="464">
        <f>IF(AND($I$20=TRUE,OR('Pos. 2'!$AP$10='Sprachen &amp; Rückgabewerte(2)'!$B$10,'Pos. 2'!$AP$10='Sprachen &amp; Rückgabewerte(2)'!$B$11)),1,0)</f>
        <v>0</v>
      </c>
      <c r="D25" s="280" t="s">
        <v>30</v>
      </c>
      <c r="E25" s="316" t="s">
        <v>30</v>
      </c>
      <c r="F25" s="316" t="s">
        <v>30</v>
      </c>
      <c r="G25" s="317" t="s">
        <v>30</v>
      </c>
      <c r="H25" s="436" t="str">
        <f t="shared" si="1"/>
        <v>Pool</v>
      </c>
      <c r="I25" s="445" t="b">
        <v>0</v>
      </c>
      <c r="K25" s="280">
        <v>0</v>
      </c>
      <c r="L25" s="316">
        <v>0</v>
      </c>
      <c r="M25" s="316">
        <v>0</v>
      </c>
      <c r="N25" s="316">
        <v>0</v>
      </c>
      <c r="O25" s="316" t="str">
        <f t="shared" si="2"/>
        <v>Glastyp wählen</v>
      </c>
      <c r="P25" s="317"/>
      <c r="Q25" s="280" t="s">
        <v>662</v>
      </c>
      <c r="R25" s="316">
        <v>0.33</v>
      </c>
      <c r="S25" s="316">
        <v>0.22</v>
      </c>
      <c r="T25" s="316">
        <v>0.42</v>
      </c>
      <c r="U25" s="317" t="s">
        <v>663</v>
      </c>
      <c r="V25" s="468">
        <f t="shared" si="0"/>
        <v>0</v>
      </c>
      <c r="W25" s="469">
        <f t="shared" si="0"/>
        <v>0</v>
      </c>
      <c r="X25" s="469">
        <f t="shared" si="0"/>
        <v>0</v>
      </c>
      <c r="Y25" s="469">
        <f t="shared" si="0"/>
        <v>0</v>
      </c>
      <c r="Z25" s="469" t="str">
        <f t="shared" si="0"/>
        <v>Glastyp wählen</v>
      </c>
      <c r="AA25" s="470"/>
      <c r="AB25" s="439"/>
      <c r="AC25" s="439"/>
      <c r="AD25" s="439"/>
      <c r="AE25" s="439"/>
      <c r="AF25" s="439"/>
    </row>
    <row r="26" spans="1:32" ht="13.5" thickBot="1" x14ac:dyDescent="0.25">
      <c r="D26" s="280" t="s">
        <v>115</v>
      </c>
      <c r="E26" s="316" t="s">
        <v>120</v>
      </c>
      <c r="F26" s="316" t="s">
        <v>123</v>
      </c>
      <c r="G26" s="317" t="s">
        <v>345</v>
      </c>
      <c r="H26" s="436" t="str">
        <f t="shared" si="1"/>
        <v>Schallschutz</v>
      </c>
      <c r="I26" s="445"/>
      <c r="K26" s="280">
        <v>0</v>
      </c>
      <c r="L26" s="316">
        <v>0</v>
      </c>
      <c r="M26" s="316">
        <v>0</v>
      </c>
      <c r="N26" s="316">
        <v>0</v>
      </c>
      <c r="O26" s="316" t="str">
        <f t="shared" si="2"/>
        <v>Glastyp wählen</v>
      </c>
      <c r="P26" s="317"/>
      <c r="Q26" s="471" t="s">
        <v>664</v>
      </c>
      <c r="R26" s="472">
        <v>0.34</v>
      </c>
      <c r="S26" s="472">
        <v>0.22</v>
      </c>
      <c r="T26" s="472">
        <v>0.43</v>
      </c>
      <c r="U26" s="317" t="s">
        <v>665</v>
      </c>
      <c r="V26" s="280">
        <f t="shared" ref="V26:Z35" si="4">IF($I$125=TRUE,Q26,K26)</f>
        <v>0</v>
      </c>
      <c r="W26" s="316">
        <f t="shared" si="4"/>
        <v>0</v>
      </c>
      <c r="X26" s="316">
        <f t="shared" si="4"/>
        <v>0</v>
      </c>
      <c r="Y26" s="316">
        <f t="shared" si="4"/>
        <v>0</v>
      </c>
      <c r="Z26" s="316" t="str">
        <f t="shared" si="4"/>
        <v>Glastyp wählen</v>
      </c>
      <c r="AA26" s="317"/>
      <c r="AB26" s="439"/>
      <c r="AC26" s="439"/>
      <c r="AD26" s="439"/>
      <c r="AE26" s="439"/>
      <c r="AF26" s="439"/>
    </row>
    <row r="27" spans="1:32" x14ac:dyDescent="0.2">
      <c r="A27" s="56" t="s">
        <v>860</v>
      </c>
      <c r="B27" s="33" t="s">
        <v>208</v>
      </c>
      <c r="C27" s="438"/>
      <c r="D27" s="280" t="s">
        <v>116</v>
      </c>
      <c r="E27" s="316" t="s">
        <v>116</v>
      </c>
      <c r="F27" s="316" t="s">
        <v>116</v>
      </c>
      <c r="G27" s="317" t="s">
        <v>116</v>
      </c>
      <c r="H27" s="436" t="str">
        <f t="shared" si="1"/>
        <v>MINERGIE Modul</v>
      </c>
      <c r="I27" s="445"/>
      <c r="K27" s="280">
        <v>0</v>
      </c>
      <c r="L27" s="316">
        <v>0</v>
      </c>
      <c r="M27" s="316">
        <v>0</v>
      </c>
      <c r="N27" s="316">
        <v>0</v>
      </c>
      <c r="O27" s="316" t="str">
        <f t="shared" si="2"/>
        <v>Glastyp wählen</v>
      </c>
      <c r="P27" s="317"/>
      <c r="Q27" s="471" t="s">
        <v>666</v>
      </c>
      <c r="R27" s="472">
        <v>0.33</v>
      </c>
      <c r="S27" s="472">
        <v>0.22</v>
      </c>
      <c r="T27" s="472">
        <v>0.42</v>
      </c>
      <c r="U27" s="317" t="s">
        <v>667</v>
      </c>
      <c r="V27" s="280">
        <f t="shared" si="4"/>
        <v>0</v>
      </c>
      <c r="W27" s="316">
        <f t="shared" si="4"/>
        <v>0</v>
      </c>
      <c r="X27" s="316">
        <f t="shared" si="4"/>
        <v>0</v>
      </c>
      <c r="Y27" s="316">
        <f t="shared" si="4"/>
        <v>0</v>
      </c>
      <c r="Z27" s="316" t="str">
        <f t="shared" si="4"/>
        <v>Glastyp wählen</v>
      </c>
      <c r="AA27" s="317"/>
      <c r="AB27" s="439"/>
      <c r="AC27" s="439"/>
      <c r="AD27" s="439"/>
      <c r="AE27" s="439"/>
      <c r="AF27" s="439"/>
    </row>
    <row r="28" spans="1:32" x14ac:dyDescent="0.2">
      <c r="A28" s="369"/>
      <c r="B28" s="329" t="s">
        <v>209</v>
      </c>
      <c r="C28" s="362" t="str">
        <f>IF($I$17=TRUE,"P","")</f>
        <v/>
      </c>
      <c r="D28" s="280" t="s">
        <v>117</v>
      </c>
      <c r="E28" s="316" t="s">
        <v>117</v>
      </c>
      <c r="F28" s="316" t="s">
        <v>117</v>
      </c>
      <c r="G28" s="317" t="s">
        <v>117</v>
      </c>
      <c r="H28" s="436" t="str">
        <f t="shared" si="1"/>
        <v>MINERGIE-P Modul</v>
      </c>
      <c r="I28" s="445"/>
      <c r="K28" s="280">
        <v>0</v>
      </c>
      <c r="L28" s="316">
        <v>0</v>
      </c>
      <c r="M28" s="316">
        <v>0</v>
      </c>
      <c r="N28" s="316">
        <v>0</v>
      </c>
      <c r="O28" s="316" t="str">
        <f t="shared" si="2"/>
        <v>Glastyp wählen</v>
      </c>
      <c r="P28" s="317"/>
      <c r="Q28" s="471" t="s">
        <v>668</v>
      </c>
      <c r="R28" s="472">
        <v>0.33</v>
      </c>
      <c r="S28" s="472">
        <v>0.22</v>
      </c>
      <c r="T28" s="472">
        <v>0.42</v>
      </c>
      <c r="U28" s="317" t="s">
        <v>669</v>
      </c>
      <c r="V28" s="280">
        <f t="shared" si="4"/>
        <v>0</v>
      </c>
      <c r="W28" s="316">
        <f t="shared" si="4"/>
        <v>0</v>
      </c>
      <c r="X28" s="316">
        <f t="shared" si="4"/>
        <v>0</v>
      </c>
      <c r="Y28" s="316">
        <f t="shared" si="4"/>
        <v>0</v>
      </c>
      <c r="Z28" s="316" t="str">
        <f t="shared" si="4"/>
        <v>Glastyp wählen</v>
      </c>
      <c r="AA28" s="317"/>
      <c r="AB28" s="439"/>
      <c r="AC28" s="439"/>
      <c r="AD28" s="439"/>
      <c r="AE28" s="439"/>
      <c r="AF28" s="439"/>
    </row>
    <row r="29" spans="1:32" x14ac:dyDescent="0.2">
      <c r="A29" s="370" t="s">
        <v>862</v>
      </c>
      <c r="B29" s="280" t="s">
        <v>210</v>
      </c>
      <c r="C29" s="461" t="str">
        <f>IF($I$18=TRUE,"R","")</f>
        <v/>
      </c>
      <c r="D29" s="280" t="s">
        <v>118</v>
      </c>
      <c r="E29" s="316" t="s">
        <v>118</v>
      </c>
      <c r="F29" s="316" t="s">
        <v>118</v>
      </c>
      <c r="G29" s="317" t="s">
        <v>118</v>
      </c>
      <c r="H29" s="436" t="str">
        <f t="shared" si="1"/>
        <v>Gun</v>
      </c>
      <c r="I29" s="445"/>
      <c r="K29" s="280">
        <v>0</v>
      </c>
      <c r="L29" s="316">
        <v>0</v>
      </c>
      <c r="M29" s="316">
        <v>0</v>
      </c>
      <c r="N29" s="316">
        <v>0</v>
      </c>
      <c r="O29" s="316" t="str">
        <f t="shared" si="2"/>
        <v>Glastyp wählen</v>
      </c>
      <c r="P29" s="317"/>
      <c r="Q29" s="471" t="s">
        <v>670</v>
      </c>
      <c r="R29" s="472">
        <v>0.33</v>
      </c>
      <c r="S29" s="472">
        <v>0.22</v>
      </c>
      <c r="T29" s="472">
        <v>0.42</v>
      </c>
      <c r="U29" s="317" t="s">
        <v>671</v>
      </c>
      <c r="V29" s="280">
        <f t="shared" si="4"/>
        <v>0</v>
      </c>
      <c r="W29" s="316">
        <f t="shared" si="4"/>
        <v>0</v>
      </c>
      <c r="X29" s="316">
        <f t="shared" si="4"/>
        <v>0</v>
      </c>
      <c r="Y29" s="316">
        <f t="shared" si="4"/>
        <v>0</v>
      </c>
      <c r="Z29" s="316" t="str">
        <f t="shared" si="4"/>
        <v>Glastyp wählen</v>
      </c>
      <c r="AA29" s="317"/>
      <c r="AB29" s="439"/>
      <c r="AC29" s="439"/>
      <c r="AD29" s="439"/>
      <c r="AE29" s="439"/>
      <c r="AF29" s="439"/>
    </row>
    <row r="30" spans="1:32" ht="13.5" thickBot="1" x14ac:dyDescent="0.25">
      <c r="A30" s="371" t="s">
        <v>861</v>
      </c>
      <c r="B30" s="467" t="s">
        <v>211</v>
      </c>
      <c r="C30" s="464" t="str">
        <f>IF($I$19=TRUE,"G","")</f>
        <v/>
      </c>
      <c r="D30" s="280" t="s">
        <v>31</v>
      </c>
      <c r="E30" s="316" t="s">
        <v>32</v>
      </c>
      <c r="F30" s="316" t="s">
        <v>33</v>
      </c>
      <c r="G30" s="317" t="s">
        <v>686</v>
      </c>
      <c r="H30" s="436" t="str">
        <f t="shared" si="1"/>
        <v>nach rechts</v>
      </c>
      <c r="I30" s="445" t="b">
        <v>0</v>
      </c>
      <c r="K30" s="280">
        <v>0</v>
      </c>
      <c r="L30" s="316">
        <v>0</v>
      </c>
      <c r="M30" s="316">
        <v>0</v>
      </c>
      <c r="N30" s="316">
        <v>0</v>
      </c>
      <c r="O30" s="316" t="str">
        <f t="shared" si="2"/>
        <v>Glastyp wählen</v>
      </c>
      <c r="P30" s="317"/>
      <c r="Q30" s="280">
        <v>0</v>
      </c>
      <c r="R30" s="316">
        <v>0</v>
      </c>
      <c r="S30" s="316">
        <v>0</v>
      </c>
      <c r="T30" s="316">
        <v>0</v>
      </c>
      <c r="U30" s="317" t="str">
        <f t="shared" ref="U30" si="5">$H$54</f>
        <v>Glastyp wählen</v>
      </c>
      <c r="V30" s="280">
        <f t="shared" si="4"/>
        <v>0</v>
      </c>
      <c r="W30" s="316">
        <f t="shared" si="4"/>
        <v>0</v>
      </c>
      <c r="X30" s="316">
        <f t="shared" si="4"/>
        <v>0</v>
      </c>
      <c r="Y30" s="316">
        <f t="shared" si="4"/>
        <v>0</v>
      </c>
      <c r="Z30" s="316" t="str">
        <f t="shared" si="4"/>
        <v>Glastyp wählen</v>
      </c>
      <c r="AA30" s="317"/>
      <c r="AB30" s="439"/>
      <c r="AC30" s="439"/>
      <c r="AD30" s="439"/>
      <c r="AE30" s="439"/>
      <c r="AF30" s="439"/>
    </row>
    <row r="31" spans="1:32" ht="13.5" thickBot="1" x14ac:dyDescent="0.25">
      <c r="B31" s="439"/>
      <c r="C31" s="473"/>
      <c r="D31" s="460" t="s">
        <v>34</v>
      </c>
      <c r="E31" s="316" t="s">
        <v>35</v>
      </c>
      <c r="F31" s="316" t="s">
        <v>36</v>
      </c>
      <c r="G31" s="317" t="s">
        <v>687</v>
      </c>
      <c r="H31" s="436" t="str">
        <f t="shared" si="1"/>
        <v>nach links</v>
      </c>
      <c r="I31" s="445" t="b">
        <v>0</v>
      </c>
      <c r="K31" s="280">
        <v>0</v>
      </c>
      <c r="L31" s="316">
        <v>0</v>
      </c>
      <c r="M31" s="316">
        <v>0</v>
      </c>
      <c r="N31" s="316">
        <v>0</v>
      </c>
      <c r="O31" s="316" t="str">
        <f t="shared" si="2"/>
        <v>Glastyp wählen</v>
      </c>
      <c r="P31" s="317"/>
      <c r="Q31" s="471" t="s">
        <v>672</v>
      </c>
      <c r="R31" s="472">
        <v>0.33</v>
      </c>
      <c r="S31" s="472">
        <v>0.46</v>
      </c>
      <c r="T31" s="472">
        <v>0.66</v>
      </c>
      <c r="U31" s="317" t="s">
        <v>676</v>
      </c>
      <c r="V31" s="280">
        <f t="shared" si="4"/>
        <v>0</v>
      </c>
      <c r="W31" s="316">
        <f t="shared" si="4"/>
        <v>0</v>
      </c>
      <c r="X31" s="316">
        <f t="shared" si="4"/>
        <v>0</v>
      </c>
      <c r="Y31" s="316">
        <f t="shared" si="4"/>
        <v>0</v>
      </c>
      <c r="Z31" s="316" t="str">
        <f t="shared" si="4"/>
        <v>Glastyp wählen</v>
      </c>
      <c r="AA31" s="317"/>
      <c r="AB31" s="439"/>
      <c r="AC31" s="439"/>
      <c r="AD31" s="439"/>
      <c r="AE31" s="439"/>
      <c r="AF31" s="439"/>
    </row>
    <row r="32" spans="1:32" x14ac:dyDescent="0.2">
      <c r="B32" s="33" t="s">
        <v>217</v>
      </c>
      <c r="C32" s="33"/>
      <c r="D32" s="460" t="s">
        <v>37</v>
      </c>
      <c r="E32" s="316" t="s">
        <v>38</v>
      </c>
      <c r="F32" s="316" t="s">
        <v>39</v>
      </c>
      <c r="G32" s="317" t="s">
        <v>129</v>
      </c>
      <c r="H32" s="436" t="str">
        <f t="shared" si="1"/>
        <v>Breite =</v>
      </c>
      <c r="I32" s="445"/>
      <c r="K32" s="280">
        <v>0</v>
      </c>
      <c r="L32" s="316">
        <v>0</v>
      </c>
      <c r="M32" s="316">
        <v>0</v>
      </c>
      <c r="N32" s="316">
        <v>0</v>
      </c>
      <c r="O32" s="316" t="str">
        <f t="shared" si="2"/>
        <v>Glastyp wählen</v>
      </c>
      <c r="P32" s="317"/>
      <c r="Q32" s="471" t="s">
        <v>673</v>
      </c>
      <c r="R32" s="472">
        <v>0.32</v>
      </c>
      <c r="S32" s="472">
        <v>0.39</v>
      </c>
      <c r="T32" s="472">
        <v>0.57999999999999996</v>
      </c>
      <c r="U32" s="317" t="s">
        <v>677</v>
      </c>
      <c r="V32" s="280">
        <f t="shared" si="4"/>
        <v>0</v>
      </c>
      <c r="W32" s="316">
        <f t="shared" si="4"/>
        <v>0</v>
      </c>
      <c r="X32" s="316">
        <f t="shared" si="4"/>
        <v>0</v>
      </c>
      <c r="Y32" s="316">
        <f t="shared" si="4"/>
        <v>0</v>
      </c>
      <c r="Z32" s="316" t="str">
        <f t="shared" si="4"/>
        <v>Glastyp wählen</v>
      </c>
      <c r="AA32" s="317"/>
      <c r="AB32" s="439"/>
      <c r="AC32" s="439"/>
      <c r="AD32" s="439"/>
      <c r="AE32" s="439"/>
      <c r="AF32" s="439"/>
    </row>
    <row r="33" spans="1:32" x14ac:dyDescent="0.2">
      <c r="B33" s="329"/>
      <c r="C33" s="446"/>
      <c r="D33" s="280" t="s">
        <v>132</v>
      </c>
      <c r="E33" s="316" t="s">
        <v>131</v>
      </c>
      <c r="F33" s="316" t="s">
        <v>40</v>
      </c>
      <c r="G33" s="317" t="s">
        <v>130</v>
      </c>
      <c r="H33" s="436" t="str">
        <f t="shared" si="1"/>
        <v>Griffhöhe:</v>
      </c>
      <c r="I33" s="445"/>
      <c r="K33" s="280">
        <v>0</v>
      </c>
      <c r="L33" s="316">
        <v>0</v>
      </c>
      <c r="M33" s="316">
        <v>0</v>
      </c>
      <c r="N33" s="316">
        <v>0</v>
      </c>
      <c r="O33" s="316" t="str">
        <f t="shared" si="2"/>
        <v>Glastyp wählen</v>
      </c>
      <c r="P33" s="317"/>
      <c r="Q33" s="471" t="s">
        <v>674</v>
      </c>
      <c r="R33" s="472">
        <v>0.32</v>
      </c>
      <c r="S33" s="472">
        <v>0.26</v>
      </c>
      <c r="T33" s="472">
        <v>0.52</v>
      </c>
      <c r="U33" s="317" t="s">
        <v>675</v>
      </c>
      <c r="V33" s="280">
        <f t="shared" si="4"/>
        <v>0</v>
      </c>
      <c r="W33" s="316">
        <f t="shared" si="4"/>
        <v>0</v>
      </c>
      <c r="X33" s="316">
        <f t="shared" si="4"/>
        <v>0</v>
      </c>
      <c r="Y33" s="316">
        <f t="shared" si="4"/>
        <v>0</v>
      </c>
      <c r="Z33" s="316" t="str">
        <f t="shared" si="4"/>
        <v>Glastyp wählen</v>
      </c>
      <c r="AA33" s="317"/>
      <c r="AB33" s="439"/>
      <c r="AC33" s="439"/>
      <c r="AD33" s="439"/>
      <c r="AE33" s="439"/>
      <c r="AF33" s="439"/>
    </row>
    <row r="34" spans="1:32" ht="13.5" thickBot="1" x14ac:dyDescent="0.25">
      <c r="B34" s="474" t="s">
        <v>218</v>
      </c>
      <c r="C34" s="475"/>
      <c r="D34" s="280" t="s">
        <v>41</v>
      </c>
      <c r="E34" s="316" t="s">
        <v>42</v>
      </c>
      <c r="F34" s="316" t="s">
        <v>43</v>
      </c>
      <c r="G34" s="317" t="s">
        <v>133</v>
      </c>
      <c r="H34" s="436" t="str">
        <f t="shared" si="1"/>
        <v xml:space="preserve">Höhe = </v>
      </c>
      <c r="I34" s="445"/>
      <c r="K34" s="280">
        <v>0</v>
      </c>
      <c r="L34" s="316">
        <v>0</v>
      </c>
      <c r="M34" s="316">
        <v>0</v>
      </c>
      <c r="N34" s="316">
        <v>0</v>
      </c>
      <c r="O34" s="316" t="str">
        <f t="shared" si="2"/>
        <v>Glastyp wählen</v>
      </c>
      <c r="P34" s="228"/>
      <c r="Q34" s="280">
        <v>0</v>
      </c>
      <c r="R34" s="316">
        <v>0</v>
      </c>
      <c r="S34" s="316">
        <v>0</v>
      </c>
      <c r="T34" s="316">
        <v>0</v>
      </c>
      <c r="U34" s="317" t="str">
        <f t="shared" ref="U34" si="6">$H$54</f>
        <v>Glastyp wählen</v>
      </c>
      <c r="V34" s="280">
        <f t="shared" si="4"/>
        <v>0</v>
      </c>
      <c r="W34" s="316">
        <f t="shared" si="4"/>
        <v>0</v>
      </c>
      <c r="X34" s="316">
        <f t="shared" si="4"/>
        <v>0</v>
      </c>
      <c r="Y34" s="316">
        <f t="shared" si="4"/>
        <v>0</v>
      </c>
      <c r="Z34" s="316" t="str">
        <f t="shared" si="4"/>
        <v>Glastyp wählen</v>
      </c>
      <c r="AA34" s="317"/>
      <c r="AB34" s="439"/>
      <c r="AC34" s="439"/>
      <c r="AD34" s="439"/>
      <c r="AE34" s="439"/>
      <c r="AF34" s="439"/>
    </row>
    <row r="35" spans="1:32" ht="13.5" thickBot="1" x14ac:dyDescent="0.25">
      <c r="D35" s="280" t="s">
        <v>44</v>
      </c>
      <c r="E35" s="316" t="s">
        <v>45</v>
      </c>
      <c r="F35" s="316" t="s">
        <v>45</v>
      </c>
      <c r="G35" s="317" t="s">
        <v>134</v>
      </c>
      <c r="H35" s="436" t="str">
        <f t="shared" si="1"/>
        <v>Oberfläche:</v>
      </c>
      <c r="I35" s="445"/>
      <c r="K35" s="467">
        <v>0</v>
      </c>
      <c r="L35" s="476">
        <v>0</v>
      </c>
      <c r="M35" s="476">
        <v>0</v>
      </c>
      <c r="N35" s="476">
        <v>0</v>
      </c>
      <c r="O35" s="476" t="str">
        <f t="shared" si="2"/>
        <v>Glastyp wählen</v>
      </c>
      <c r="P35" s="475"/>
      <c r="Q35" s="477" t="s">
        <v>678</v>
      </c>
      <c r="R35" s="478">
        <v>0.32</v>
      </c>
      <c r="S35" s="478">
        <v>0.22</v>
      </c>
      <c r="T35" s="478">
        <v>0.42</v>
      </c>
      <c r="U35" s="475" t="s">
        <v>679</v>
      </c>
      <c r="V35" s="467">
        <f t="shared" si="4"/>
        <v>0</v>
      </c>
      <c r="W35" s="476">
        <f t="shared" si="4"/>
        <v>0</v>
      </c>
      <c r="X35" s="476">
        <f t="shared" si="4"/>
        <v>0</v>
      </c>
      <c r="Y35" s="476">
        <f t="shared" si="4"/>
        <v>0</v>
      </c>
      <c r="Z35" s="476" t="str">
        <f t="shared" si="4"/>
        <v>Glastyp wählen</v>
      </c>
      <c r="AA35" s="475"/>
      <c r="AB35" s="439"/>
      <c r="AC35" s="439"/>
      <c r="AD35" s="439"/>
      <c r="AE35" s="439"/>
      <c r="AF35" s="439"/>
    </row>
    <row r="36" spans="1:32" x14ac:dyDescent="0.2">
      <c r="B36" s="33" t="s">
        <v>219</v>
      </c>
      <c r="C36" s="33"/>
      <c r="D36" s="280" t="s">
        <v>46</v>
      </c>
      <c r="E36" s="316" t="s">
        <v>47</v>
      </c>
      <c r="F36" s="316" t="s">
        <v>136</v>
      </c>
      <c r="G36" s="317" t="s">
        <v>135</v>
      </c>
      <c r="H36" s="436" t="str">
        <f t="shared" si="1"/>
        <v>eloxiert (Qualanod):</v>
      </c>
      <c r="I36" s="445" t="b">
        <v>0</v>
      </c>
      <c r="AB36" s="439"/>
      <c r="AC36" s="439"/>
      <c r="AD36" s="439"/>
      <c r="AE36" s="439"/>
      <c r="AF36" s="439"/>
    </row>
    <row r="37" spans="1:32" x14ac:dyDescent="0.2">
      <c r="B37" s="329" t="s">
        <v>221</v>
      </c>
      <c r="C37" s="446" t="b">
        <v>1</v>
      </c>
      <c r="D37" s="280" t="s">
        <v>48</v>
      </c>
      <c r="E37" s="316" t="s">
        <v>137</v>
      </c>
      <c r="F37" s="316" t="s">
        <v>137</v>
      </c>
      <c r="G37" s="317" t="s">
        <v>137</v>
      </c>
      <c r="H37" s="436" t="str">
        <f t="shared" si="1"/>
        <v>20 my (Standard)</v>
      </c>
      <c r="I37" s="445"/>
    </row>
    <row r="38" spans="1:32" x14ac:dyDescent="0.2">
      <c r="B38" s="280" t="s">
        <v>220</v>
      </c>
      <c r="C38" s="317" t="b">
        <v>1</v>
      </c>
      <c r="D38" s="280" t="s">
        <v>49</v>
      </c>
      <c r="E38" s="316" t="s">
        <v>50</v>
      </c>
      <c r="F38" s="316" t="s">
        <v>51</v>
      </c>
      <c r="G38" s="317" t="s">
        <v>346</v>
      </c>
      <c r="H38" s="436" t="str">
        <f t="shared" si="1"/>
        <v>25 my (Pool/Meer)</v>
      </c>
      <c r="I38" s="445"/>
    </row>
    <row r="39" spans="1:32" ht="13.5" thickBot="1" x14ac:dyDescent="0.25">
      <c r="B39" s="280" t="s">
        <v>222</v>
      </c>
      <c r="C39" s="317" t="b">
        <v>0</v>
      </c>
      <c r="D39" s="280" t="s">
        <v>369</v>
      </c>
      <c r="E39" s="316" t="s">
        <v>370</v>
      </c>
      <c r="F39" s="316" t="s">
        <v>371</v>
      </c>
      <c r="G39" s="317" t="s">
        <v>372</v>
      </c>
      <c r="H39" s="436" t="str">
        <f t="shared" si="1"/>
        <v>pulverbeschichtet:</v>
      </c>
      <c r="I39" s="445" t="b">
        <v>0</v>
      </c>
    </row>
    <row r="40" spans="1:32" x14ac:dyDescent="0.2">
      <c r="A40" s="281" t="s">
        <v>744</v>
      </c>
      <c r="B40" s="280" t="s">
        <v>223</v>
      </c>
      <c r="C40" s="317" t="b">
        <v>0</v>
      </c>
      <c r="D40" s="280" t="s">
        <v>850</v>
      </c>
      <c r="E40" s="316" t="s">
        <v>851</v>
      </c>
      <c r="F40" s="316" t="s">
        <v>852</v>
      </c>
      <c r="G40" s="317" t="s">
        <v>858</v>
      </c>
      <c r="H40" s="436" t="str">
        <f t="shared" si="1"/>
        <v>Vorbehandlung:</v>
      </c>
      <c r="I40" s="445"/>
      <c r="K40" s="56" t="s">
        <v>454</v>
      </c>
      <c r="L40" s="437"/>
      <c r="M40" s="438"/>
      <c r="N40" s="534" t="s">
        <v>606</v>
      </c>
      <c r="O40" s="535"/>
      <c r="P40" s="536"/>
      <c r="Q40" s="56" t="s">
        <v>309</v>
      </c>
      <c r="R40" s="56" t="s">
        <v>514</v>
      </c>
      <c r="S40" s="56" t="s">
        <v>518</v>
      </c>
      <c r="U40" s="33" t="s">
        <v>742</v>
      </c>
      <c r="V40" s="34"/>
    </row>
    <row r="41" spans="1:32" x14ac:dyDescent="0.2">
      <c r="A41" s="459" t="b">
        <f>IF(C41=FALSE,TRUE,(IF(AND(C41=TRUE,'Pos. 2'!F72=""),FALSE,TRUE)))</f>
        <v>1</v>
      </c>
      <c r="B41" s="280" t="s">
        <v>376</v>
      </c>
      <c r="C41" s="317" t="b">
        <v>0</v>
      </c>
      <c r="D41" s="367" t="s">
        <v>52</v>
      </c>
      <c r="E41" s="368" t="s">
        <v>53</v>
      </c>
      <c r="F41" s="368" t="s">
        <v>54</v>
      </c>
      <c r="G41" s="366" t="s">
        <v>138</v>
      </c>
      <c r="H41" s="436" t="str">
        <f t="shared" si="1"/>
        <v>+Voranodisieren</v>
      </c>
      <c r="I41" s="445"/>
      <c r="K41" s="479" t="s">
        <v>455</v>
      </c>
      <c r="L41" s="283">
        <f>IF(OR($I$5=TRUE,$I$6=TRUE),1,0)</f>
        <v>0</v>
      </c>
      <c r="M41" s="480"/>
      <c r="N41" s="192" t="str">
        <f>CONCATENATE("Pos. ",'Pos. 2'!$B$2,".1")</f>
        <v>Pos. 2.1</v>
      </c>
      <c r="O41" s="193" t="b">
        <f>IF(AND('Pos. 2'!AW32&lt;&gt;"",'Pos. 2'!AX32&lt;&gt;""),TRUE,FALSE)</f>
        <v>0</v>
      </c>
      <c r="P41" s="194"/>
      <c r="Q41" s="369"/>
      <c r="R41" s="369"/>
      <c r="S41" s="279">
        <f>COUNTA('Pos. 2'!G20:AP20)</f>
        <v>0</v>
      </c>
      <c r="U41" s="481" t="b">
        <f>IF(L41=0,FALSE,TRUE)</f>
        <v>0</v>
      </c>
      <c r="V41" s="482">
        <f>IF(U41=FALSE,1,0)</f>
        <v>1</v>
      </c>
    </row>
    <row r="42" spans="1:32" x14ac:dyDescent="0.2">
      <c r="A42" s="436" t="b">
        <f>IF(C42=FALSE,TRUE,(IF(AND(C42=TRUE,'Pos. 2'!L72=""),FALSE,TRUE)))</f>
        <v>1</v>
      </c>
      <c r="B42" s="280" t="s">
        <v>377</v>
      </c>
      <c r="C42" s="317" t="b">
        <v>0</v>
      </c>
      <c r="D42" s="280" t="s">
        <v>55</v>
      </c>
      <c r="E42" s="316" t="s">
        <v>56</v>
      </c>
      <c r="F42" s="316" t="s">
        <v>57</v>
      </c>
      <c r="G42" s="317" t="s">
        <v>139</v>
      </c>
      <c r="H42" s="436" t="str">
        <f t="shared" si="1"/>
        <v>Glas-Typ: SG = "Sky-Glass"</v>
      </c>
      <c r="I42" s="445"/>
      <c r="K42" s="310" t="s">
        <v>456</v>
      </c>
      <c r="L42" s="286">
        <f>IF(AND('Pos. 2'!$Y$5&lt;&gt;"",'Pos. 2'!$Y$7&lt;&gt;"",'Pos. 2'!$Y$6&lt;&gt;""),1,0)</f>
        <v>0</v>
      </c>
      <c r="M42" s="483"/>
      <c r="N42" s="192" t="str">
        <f>CONCATENATE("Pos. ",'Pos. 2'!$B$2,".2")</f>
        <v>Pos. 2.2</v>
      </c>
      <c r="O42" s="193" t="b">
        <f>IF(AND('Pos. 2'!AW33&lt;&gt;"",'Pos. 2'!AX33&lt;&gt;""),TRUE,FALSE)</f>
        <v>0</v>
      </c>
      <c r="P42" s="196"/>
      <c r="Q42" s="484">
        <v>1</v>
      </c>
      <c r="R42" s="485" t="s">
        <v>512</v>
      </c>
      <c r="U42" s="310" t="b">
        <f t="shared" ref="U42:U47" si="7">IF(L42=0,FALSE,TRUE)</f>
        <v>0</v>
      </c>
      <c r="V42" s="486">
        <f t="shared" ref="V42:V79" si="8">IF(U42=FALSE,1,0)</f>
        <v>1</v>
      </c>
    </row>
    <row r="43" spans="1:32" x14ac:dyDescent="0.2">
      <c r="A43" s="436" t="b">
        <f>IF(C43=FALSE,TRUE,(IF(AND(C43=TRUE,'Pos. 2'!R72=""),FALSE,TRUE)))</f>
        <v>1</v>
      </c>
      <c r="B43" s="280" t="s">
        <v>378</v>
      </c>
      <c r="C43" s="317" t="b">
        <v>0</v>
      </c>
      <c r="D43" s="280" t="s">
        <v>58</v>
      </c>
      <c r="E43" s="316" t="s">
        <v>59</v>
      </c>
      <c r="F43" s="316" t="s">
        <v>60</v>
      </c>
      <c r="G43" s="317" t="s">
        <v>140</v>
      </c>
      <c r="H43" s="436" t="str">
        <f t="shared" si="1"/>
        <v>Swisspacer-U schwarz</v>
      </c>
      <c r="I43" s="445" t="b">
        <v>0</v>
      </c>
      <c r="K43" s="310" t="s">
        <v>457</v>
      </c>
      <c r="L43" s="286">
        <f>IF(AND('Pos. 2'!$AJ$5&lt;&gt;"",'Pos. 2'!$AJ$6&lt;&gt;"",'Pos. 2'!$AJ$7&lt;&gt;""),1,0)</f>
        <v>0</v>
      </c>
      <c r="M43" s="483"/>
      <c r="N43" s="192" t="str">
        <f>CONCATENATE("Pos. ",'Pos. 2'!$B$2,".3")</f>
        <v>Pos. 2.3</v>
      </c>
      <c r="O43" s="193" t="b">
        <f>IF(AND('Pos. 2'!AW34&lt;&gt;"",'Pos. 2'!AX34&lt;&gt;""),TRUE,FALSE)</f>
        <v>0</v>
      </c>
      <c r="P43" s="196"/>
      <c r="Q43" s="370">
        <v>2</v>
      </c>
      <c r="R43" s="485" t="s">
        <v>513</v>
      </c>
      <c r="U43" s="310" t="b">
        <f t="shared" si="7"/>
        <v>0</v>
      </c>
      <c r="V43" s="486">
        <f t="shared" si="8"/>
        <v>1</v>
      </c>
    </row>
    <row r="44" spans="1:32" x14ac:dyDescent="0.2">
      <c r="A44" s="436" t="b">
        <f>IF(C44=FALSE,TRUE,(IF(AND(C44=TRUE,'Pos. 2'!X72=""),FALSE,TRUE)))</f>
        <v>1</v>
      </c>
      <c r="B44" s="280" t="str">
        <f>IF('Pos. 2'!AB62="","121101/121101","121401/121401")</f>
        <v>121101/121101</v>
      </c>
      <c r="C44" s="317" t="b">
        <v>0</v>
      </c>
      <c r="D44" s="280" t="s">
        <v>61</v>
      </c>
      <c r="E44" s="316" t="s">
        <v>62</v>
      </c>
      <c r="F44" s="316" t="s">
        <v>63</v>
      </c>
      <c r="G44" s="317" t="s">
        <v>141</v>
      </c>
      <c r="H44" s="436" t="str">
        <f t="shared" si="1"/>
        <v>Swisspacer-U grau</v>
      </c>
      <c r="I44" s="445" t="b">
        <v>0</v>
      </c>
      <c r="K44" s="310" t="s">
        <v>458</v>
      </c>
      <c r="L44" s="286">
        <f>IF(OR($I$10=TRUE,$I$11=TRUE,$I$12=TRUE),1,0)</f>
        <v>0</v>
      </c>
      <c r="M44" s="483"/>
      <c r="N44" s="192" t="str">
        <f>CONCATENATE("Pos. ",'Pos. 2'!$B$2,".4")</f>
        <v>Pos. 2.4</v>
      </c>
      <c r="O44" s="193" t="b">
        <f>IF(AND('Pos. 2'!AW35&lt;&gt;"",'Pos. 2'!AX35&lt;&gt;""),TRUE,FALSE)</f>
        <v>0</v>
      </c>
      <c r="P44" s="196"/>
      <c r="Q44" s="370">
        <v>3</v>
      </c>
      <c r="U44" s="310" t="b">
        <f t="shared" si="7"/>
        <v>0</v>
      </c>
      <c r="V44" s="486">
        <f t="shared" si="8"/>
        <v>1</v>
      </c>
    </row>
    <row r="45" spans="1:32" x14ac:dyDescent="0.2">
      <c r="A45" s="436" t="b">
        <f>IF(C45=FALSE,TRUE,(IF(AND(C45=TRUE,'Pos. 2'!H85=""),FALSE,TRUE)))</f>
        <v>1</v>
      </c>
      <c r="B45" s="280" t="s">
        <v>393</v>
      </c>
      <c r="C45" s="317" t="b">
        <v>0</v>
      </c>
      <c r="D45" s="280" t="s">
        <v>111</v>
      </c>
      <c r="E45" s="316" t="s">
        <v>112</v>
      </c>
      <c r="F45" s="316" t="s">
        <v>113</v>
      </c>
      <c r="G45" s="317" t="s">
        <v>114</v>
      </c>
      <c r="H45" s="436" t="str">
        <f t="shared" si="1"/>
        <v>Speziell:</v>
      </c>
      <c r="I45" s="445" t="b">
        <v>0</v>
      </c>
      <c r="K45" s="310" t="s">
        <v>459</v>
      </c>
      <c r="L45" s="286">
        <f>IF(AND('Pos. 2'!$F$10&lt;&gt;"",OR('Pos. 2'!$E$23&lt;&gt;"",'Pos. 2'!$E$24&lt;&gt;"",'Pos. 2'!$E$25&lt;&gt;"",'Pos. 2'!$E$26&lt;&gt;"")),1,0)</f>
        <v>0</v>
      </c>
      <c r="M45" s="483"/>
      <c r="N45" s="192" t="str">
        <f>CONCATENATE("Pos. ",'Pos. 2'!$B$2,".5")</f>
        <v>Pos. 2.5</v>
      </c>
      <c r="O45" s="193" t="b">
        <f>IF(AND('Pos. 2'!AW36&lt;&gt;"",'Pos. 2'!AX36&lt;&gt;""),TRUE,FALSE)</f>
        <v>0</v>
      </c>
      <c r="P45" s="196"/>
      <c r="Q45" s="370">
        <v>4</v>
      </c>
      <c r="U45" s="310" t="b">
        <f t="shared" si="7"/>
        <v>0</v>
      </c>
      <c r="V45" s="486">
        <f t="shared" si="8"/>
        <v>1</v>
      </c>
    </row>
    <row r="46" spans="1:32" x14ac:dyDescent="0.2">
      <c r="A46" s="436" t="b">
        <f>IF(C46=FALSE,TRUE,(IF(AND(C46=TRUE,'Pos. 2'!O85=""),FALSE,TRUE)))</f>
        <v>1</v>
      </c>
      <c r="B46" s="280" t="s">
        <v>394</v>
      </c>
      <c r="C46" s="317" t="b">
        <v>0</v>
      </c>
      <c r="D46" s="280" t="s">
        <v>64</v>
      </c>
      <c r="E46" s="316" t="s">
        <v>65</v>
      </c>
      <c r="F46" s="316" t="s">
        <v>66</v>
      </c>
      <c r="G46" s="317" t="s">
        <v>142</v>
      </c>
      <c r="H46" s="436" t="str">
        <f t="shared" si="1"/>
        <v>Statik:</v>
      </c>
      <c r="I46" s="445"/>
      <c r="K46" s="310" t="s">
        <v>460</v>
      </c>
      <c r="L46" s="286">
        <f>IF(AND($I$13=TRUE,'Pos. 2'!$E$28=""),0,1)</f>
        <v>1</v>
      </c>
      <c r="M46" s="483"/>
      <c r="N46" s="192" t="str">
        <f>CONCATENATE("Pos. ",'Pos. 2'!$B$2,".6")</f>
        <v>Pos. 2.6</v>
      </c>
      <c r="O46" s="193" t="b">
        <f>IF(AND('Pos. 2'!AW37&lt;&gt;"",'Pos. 2'!AX37&lt;&gt;""),TRUE,FALSE)</f>
        <v>0</v>
      </c>
      <c r="P46" s="196"/>
      <c r="Q46" s="370">
        <v>5</v>
      </c>
      <c r="U46" s="310" t="b">
        <f t="shared" si="7"/>
        <v>1</v>
      </c>
      <c r="V46" s="486">
        <f t="shared" si="8"/>
        <v>0</v>
      </c>
    </row>
    <row r="47" spans="1:32" x14ac:dyDescent="0.2">
      <c r="A47" s="436" t="b">
        <f>IF(C47=FALSE,TRUE,(IF(AND(C47=TRUE,'Pos. 2'!V85=""),FALSE,TRUE)))</f>
        <v>1</v>
      </c>
      <c r="B47" s="280" t="str">
        <f>IF('Pos. 2'!AB73="","322301/322301","400419/400419")</f>
        <v>322301/322301</v>
      </c>
      <c r="C47" s="317" t="b">
        <v>0</v>
      </c>
      <c r="D47" s="280" t="s">
        <v>67</v>
      </c>
      <c r="E47" s="316" t="s">
        <v>68</v>
      </c>
      <c r="F47" s="316" t="s">
        <v>69</v>
      </c>
      <c r="G47" s="317" t="s">
        <v>347</v>
      </c>
      <c r="H47" s="436" t="str">
        <f t="shared" si="1"/>
        <v>Windlast:</v>
      </c>
      <c r="I47" s="445"/>
      <c r="K47" s="310" t="s">
        <v>461</v>
      </c>
      <c r="L47" s="288">
        <f>IF(AND($I$13=FALSE,$I$14=FALSE),0,1)</f>
        <v>0</v>
      </c>
      <c r="M47" s="483"/>
      <c r="N47" s="192" t="str">
        <f>CONCATENATE("Pos. ",'Pos. 2'!$B$2,".7")</f>
        <v>Pos. 2.7</v>
      </c>
      <c r="O47" s="193" t="b">
        <f>IF(AND('Pos. 2'!AW38&lt;&gt;"",'Pos. 2'!AX38&lt;&gt;""),TRUE,FALSE)</f>
        <v>0</v>
      </c>
      <c r="P47" s="196"/>
      <c r="Q47" s="370">
        <v>6</v>
      </c>
      <c r="U47" s="310" t="b">
        <f t="shared" si="7"/>
        <v>0</v>
      </c>
      <c r="V47" s="486">
        <f t="shared" si="8"/>
        <v>1</v>
      </c>
    </row>
    <row r="48" spans="1:32" x14ac:dyDescent="0.2">
      <c r="A48" s="436" t="b">
        <f>IF(C48=FALSE,TRUE,(IF(AND(C48=TRUE,'Pos. 2'!H96=""),FALSE,TRUE)))</f>
        <v>1</v>
      </c>
      <c r="B48" s="280" t="s">
        <v>406</v>
      </c>
      <c r="C48" s="317" t="b">
        <v>0</v>
      </c>
      <c r="D48" s="280" t="s">
        <v>70</v>
      </c>
      <c r="E48" s="316" t="s">
        <v>71</v>
      </c>
      <c r="F48" s="316" t="s">
        <v>72</v>
      </c>
      <c r="G48" s="317" t="s">
        <v>348</v>
      </c>
      <c r="H48" s="436" t="str">
        <f t="shared" si="1"/>
        <v>Bemerkung:</v>
      </c>
      <c r="I48" s="445"/>
      <c r="K48" s="310" t="s">
        <v>463</v>
      </c>
      <c r="L48" s="487">
        <f>IF(OR(AND($C$37=FALSE,$C$39=FALSE),(AND($C$38=FALSE,$C$40=FALSE))),0,1)</f>
        <v>1</v>
      </c>
      <c r="M48" s="488">
        <f>IF($L$49=0,0,L48)</f>
        <v>0</v>
      </c>
      <c r="N48" s="192" t="str">
        <f>CONCATENATE("Pos. ",'Pos. 2'!$B$2,".8")</f>
        <v>Pos. 2.8</v>
      </c>
      <c r="O48" s="193" t="b">
        <f>IF(AND('Pos. 2'!AW39&lt;&gt;"",'Pos. 2'!AX39&lt;&gt;""),TRUE,FALSE)</f>
        <v>0</v>
      </c>
      <c r="P48" s="196"/>
      <c r="Q48" s="370">
        <v>7</v>
      </c>
      <c r="U48" s="310" t="b">
        <f>IF(M49=0,FALSE,TRUE)</f>
        <v>0</v>
      </c>
      <c r="V48" s="486">
        <f t="shared" si="8"/>
        <v>1</v>
      </c>
    </row>
    <row r="49" spans="1:22" ht="13.5" thickBot="1" x14ac:dyDescent="0.25">
      <c r="A49" s="489" t="b">
        <f>IF(C49=FALSE,TRUE,(IF(AND(C49=TRUE,'Pos. 2'!O96=""),FALSE,TRUE)))</f>
        <v>1</v>
      </c>
      <c r="B49" s="280" t="s">
        <v>407</v>
      </c>
      <c r="C49" s="317" t="b">
        <v>0</v>
      </c>
      <c r="D49" s="280" t="s">
        <v>73</v>
      </c>
      <c r="E49" s="316" t="s">
        <v>74</v>
      </c>
      <c r="F49" s="316" t="s">
        <v>331</v>
      </c>
      <c r="G49" s="317" t="s">
        <v>349</v>
      </c>
      <c r="H49" s="436" t="str">
        <f t="shared" si="1"/>
        <v>Zubehör:</v>
      </c>
      <c r="I49" s="445"/>
      <c r="K49" s="310" t="s">
        <v>462</v>
      </c>
      <c r="L49" s="490">
        <f>IF(L48=0,0,IF('Pos. 2'!$I$49&gt;0,1,0))</f>
        <v>0</v>
      </c>
      <c r="M49" s="292">
        <f>SUM(L49,M48)</f>
        <v>0</v>
      </c>
      <c r="N49" s="192" t="str">
        <f>CONCATENATE("Pos. ",'Pos. 2'!$B$2,".9")</f>
        <v>Pos. 2.9</v>
      </c>
      <c r="O49" s="193" t="b">
        <f>IF(AND('Pos. 2'!AW40&lt;&gt;"",'Pos. 2'!AX40&lt;&gt;""),TRUE,FALSE)</f>
        <v>0</v>
      </c>
      <c r="P49" s="196"/>
      <c r="Q49" s="370">
        <v>8</v>
      </c>
      <c r="T49" s="315" t="s">
        <v>845</v>
      </c>
      <c r="U49" s="310" t="b">
        <f>IF(AND(L44=1,AND('Pos. 2'!E23="",'Pos. 2'!E24="",'Pos. 2'!E25="")),FALSE,TRUE)</f>
        <v>1</v>
      </c>
      <c r="V49" s="486">
        <f t="shared" si="8"/>
        <v>0</v>
      </c>
    </row>
    <row r="50" spans="1:22" x14ac:dyDescent="0.2">
      <c r="A50" s="279">
        <f>COUNTIF(A41:A49,FALSE)</f>
        <v>0</v>
      </c>
      <c r="B50" s="280" t="s">
        <v>395</v>
      </c>
      <c r="C50" s="317" t="b">
        <v>0</v>
      </c>
      <c r="D50" s="280" t="s">
        <v>730</v>
      </c>
      <c r="E50" s="316" t="s">
        <v>731</v>
      </c>
      <c r="F50" s="316" t="s">
        <v>733</v>
      </c>
      <c r="G50" s="317" t="s">
        <v>732</v>
      </c>
      <c r="H50" s="436" t="str">
        <f t="shared" si="1"/>
        <v>Rinne (siehe unten)</v>
      </c>
      <c r="I50" s="445" t="b">
        <v>0</v>
      </c>
      <c r="K50" s="310" t="s">
        <v>464</v>
      </c>
      <c r="L50" s="293">
        <f>IF(AND(OR($C$53=TRUE,$C$54=TRUE),'Pos. 2'!$Z$42&lt;&gt;"",'Pos. 2'!$T$45&lt;&gt;""),1,0)</f>
        <v>0</v>
      </c>
      <c r="M50" s="483"/>
      <c r="N50" s="192" t="str">
        <f>CONCATENATE("Pos. ",'Pos. 2'!$B$2,".10")</f>
        <v>Pos. 2.10</v>
      </c>
      <c r="O50" s="193" t="b">
        <f>IF(AND('Pos. 2'!AW41&lt;&gt;"",'Pos. 2'!AX41&lt;&gt;""),TRUE,FALSE)</f>
        <v>0</v>
      </c>
      <c r="P50" s="196"/>
      <c r="Q50" s="370">
        <v>9</v>
      </c>
      <c r="U50" s="310" t="b">
        <f>IF(L50=0,FALSE,TRUE)</f>
        <v>0</v>
      </c>
      <c r="V50" s="486">
        <f t="shared" si="8"/>
        <v>1</v>
      </c>
    </row>
    <row r="51" spans="1:22" ht="13.5" thickBot="1" x14ac:dyDescent="0.25">
      <c r="B51" s="280" t="s">
        <v>416</v>
      </c>
      <c r="C51" s="317" t="b">
        <v>0</v>
      </c>
      <c r="D51" s="280" t="s">
        <v>327</v>
      </c>
      <c r="E51" s="316" t="s">
        <v>328</v>
      </c>
      <c r="F51" s="316" t="s">
        <v>329</v>
      </c>
      <c r="G51" s="317" t="s">
        <v>350</v>
      </c>
      <c r="H51" s="436" t="str">
        <f t="shared" si="1"/>
        <v>Wetterschenkel</v>
      </c>
      <c r="I51" s="445" t="b">
        <v>0</v>
      </c>
      <c r="K51" s="310" t="s">
        <v>465</v>
      </c>
      <c r="L51" s="286">
        <f>IF(OR($I$15=TRUE,$I$16=TRUE,$I$17=TRUE,$I$18=TRUE,$I$19=TRUE,$I$20=TRUE,$I$22=TRUE,$I$25=TRUE,$I$125=TRUE),1,0)</f>
        <v>0</v>
      </c>
      <c r="M51" s="483"/>
      <c r="N51" s="195" t="s">
        <v>607</v>
      </c>
      <c r="O51" s="197">
        <f>IF(P51=O52,1,0)</f>
        <v>0</v>
      </c>
      <c r="P51" s="198" t="str">
        <f>CONCATENATE("(",COUNTBLANK('Pos. 2'!AW32:AW41),")")</f>
        <v>(10)</v>
      </c>
      <c r="Q51" s="466">
        <v>10</v>
      </c>
      <c r="U51" s="310" t="b">
        <f t="shared" ref="U51:U55" si="9">IF(L51=0,FALSE,TRUE)</f>
        <v>0</v>
      </c>
      <c r="V51" s="486">
        <f t="shared" si="8"/>
        <v>1</v>
      </c>
    </row>
    <row r="52" spans="1:22" ht="13.5" thickBot="1" x14ac:dyDescent="0.25">
      <c r="B52" s="280"/>
      <c r="C52" s="317"/>
      <c r="D52" s="280" t="s">
        <v>319</v>
      </c>
      <c r="E52" s="316" t="s">
        <v>320</v>
      </c>
      <c r="F52" s="316" t="s">
        <v>321</v>
      </c>
      <c r="G52" s="317" t="s">
        <v>351</v>
      </c>
      <c r="H52" s="436" t="str">
        <f t="shared" si="1"/>
        <v>Standardgrundplatten:</v>
      </c>
      <c r="I52" s="445" t="b">
        <v>0</v>
      </c>
      <c r="K52" s="310" t="s">
        <v>466</v>
      </c>
      <c r="L52" s="286">
        <f>IF(OR(AND($I$36=TRUE,'Pos. 2'!$AM$43&lt;&gt;0,'Pos. 2'!$AR$43&lt;&gt;0,'Pos. 2'!$AM$49&lt;&gt;""),AND($I$39=TRUE,'Pos. 2'!$AM$45&lt;&gt;"",'Pos. 2'!$AM$49&lt;&gt;"",'Pos. 2'!$AM$46&lt;&gt;"",'Pos. 2'!$AM$47&lt;&gt;"")),1,0)</f>
        <v>0</v>
      </c>
      <c r="M52" s="483"/>
      <c r="N52" s="199"/>
      <c r="O52" s="200" t="str">
        <f>CONCATENATE("(",IF(I19=TRUE,COUNTIF(O41:O50,FALSE),""),")")</f>
        <v>()</v>
      </c>
      <c r="P52" s="201"/>
      <c r="U52" s="310" t="b">
        <f t="shared" si="9"/>
        <v>0</v>
      </c>
      <c r="V52" s="486">
        <f t="shared" si="8"/>
        <v>1</v>
      </c>
    </row>
    <row r="53" spans="1:22" x14ac:dyDescent="0.2">
      <c r="B53" s="280" t="s">
        <v>427</v>
      </c>
      <c r="C53" s="317" t="b">
        <v>0</v>
      </c>
      <c r="D53" s="280" t="s">
        <v>75</v>
      </c>
      <c r="E53" s="316" t="s">
        <v>75</v>
      </c>
      <c r="F53" s="316" t="s">
        <v>75</v>
      </c>
      <c r="G53" s="317" t="s">
        <v>75</v>
      </c>
      <c r="H53" s="436" t="str">
        <f t="shared" si="1"/>
        <v>Sun-Box</v>
      </c>
      <c r="I53" s="445"/>
      <c r="K53" s="310" t="s">
        <v>470</v>
      </c>
      <c r="L53" s="286">
        <f>IF('Pos. 2'!AT52=1,1,IF('Pos. 2'!$AE$53&lt;&gt;0,1,0))</f>
        <v>0</v>
      </c>
      <c r="M53" s="483"/>
      <c r="U53" s="310" t="b">
        <f t="shared" si="9"/>
        <v>0</v>
      </c>
      <c r="V53" s="486">
        <f t="shared" si="8"/>
        <v>1</v>
      </c>
    </row>
    <row r="54" spans="1:22" x14ac:dyDescent="0.2">
      <c r="B54" s="280" t="s">
        <v>428</v>
      </c>
      <c r="C54" s="317" t="b">
        <v>0</v>
      </c>
      <c r="D54" s="280" t="s">
        <v>76</v>
      </c>
      <c r="E54" s="316" t="s">
        <v>77</v>
      </c>
      <c r="F54" s="316" t="s">
        <v>78</v>
      </c>
      <c r="G54" s="317" t="s">
        <v>352</v>
      </c>
      <c r="H54" s="436" t="str">
        <f t="shared" si="1"/>
        <v>Glastyp wählen</v>
      </c>
      <c r="I54" s="445"/>
      <c r="K54" s="310" t="s">
        <v>471</v>
      </c>
      <c r="L54" s="286">
        <f>SUM(IF(AND('Pos. 2'!$AE$70&lt;&gt;"",'Pos. 2'!$AN$70&lt;&gt;"",OR($C$60=TRUE,$C$61=TRUE,$C$62=TRUE,$C$63=TRUE)),1,0),M54)</f>
        <v>1</v>
      </c>
      <c r="M54" s="483">
        <f>IF(AND(OR('Pos. 2'!F10="F",'Pos. 2'!F10=""),OR('Pos. 2'!N10="F",'Pos. 2'!N10=""),OR('Pos. 2'!R10="F",'Pos. 2'!R10=""),OR('Pos. 2'!V10="F",'Pos. 2'!V10=""),OR('Pos. 2'!Z10="F",'Pos. 2'!Z10=""),OR('Pos. 2'!AD10="F",'Pos. 2'!AD10=""),OR('Pos. 2'!AH10="F",'Pos. 2'!AH10=""),OR('Pos. 2'!AL10="F",'Pos. 2'!AL10=""),OR('Pos. 2'!AP10="F",'Pos. 2'!AP10="")),1,0)</f>
        <v>1</v>
      </c>
      <c r="U54" s="310" t="b">
        <f t="shared" si="9"/>
        <v>1</v>
      </c>
      <c r="V54" s="486">
        <f t="shared" si="8"/>
        <v>0</v>
      </c>
    </row>
    <row r="55" spans="1:22" x14ac:dyDescent="0.2">
      <c r="B55" s="280" t="s">
        <v>479</v>
      </c>
      <c r="C55" s="317" t="b">
        <v>0</v>
      </c>
      <c r="D55" s="280" t="s">
        <v>79</v>
      </c>
      <c r="E55" s="316" t="s">
        <v>80</v>
      </c>
      <c r="F55" s="316" t="s">
        <v>79</v>
      </c>
      <c r="G55" s="317" t="s">
        <v>79</v>
      </c>
      <c r="H55" s="436" t="str">
        <f t="shared" si="1"/>
        <v>Pos:</v>
      </c>
      <c r="I55" s="445"/>
      <c r="K55" s="310" t="s">
        <v>472</v>
      </c>
      <c r="L55" s="288">
        <f>IF(AND('Pos. 2'!$AM$88&lt;&gt;"",'Pos. 2'!$AE$84&lt;&gt;"",'Pos. 2'!$AM$87&lt;&gt;""),1,0)</f>
        <v>0</v>
      </c>
      <c r="M55" s="483"/>
      <c r="U55" s="310" t="b">
        <f t="shared" si="9"/>
        <v>0</v>
      </c>
      <c r="V55" s="486">
        <f t="shared" si="8"/>
        <v>1</v>
      </c>
    </row>
    <row r="56" spans="1:22" ht="15" customHeight="1" thickBot="1" x14ac:dyDescent="0.25">
      <c r="B56" s="280" t="s">
        <v>480</v>
      </c>
      <c r="C56" s="317" t="b">
        <v>0</v>
      </c>
      <c r="D56" s="280" t="s">
        <v>81</v>
      </c>
      <c r="E56" s="316" t="s">
        <v>82</v>
      </c>
      <c r="F56" s="316" t="s">
        <v>83</v>
      </c>
      <c r="G56" s="317" t="s">
        <v>150</v>
      </c>
      <c r="H56" s="436" t="str">
        <f t="shared" si="1"/>
        <v>Stück:</v>
      </c>
      <c r="I56" s="445"/>
      <c r="K56" s="310" t="s">
        <v>477</v>
      </c>
      <c r="L56" s="487">
        <f>IF(OR($C$41=TRUE,$C$43=TRUE,$C$44=TRUE,AND('Pos. 2'!F10="F",'Pos. 2'!J10="")),1,0)</f>
        <v>0</v>
      </c>
      <c r="M56" s="294">
        <f>SUM(L56:L57)</f>
        <v>0</v>
      </c>
      <c r="U56" s="310" t="b">
        <f>IF(M56=0,FALSE,TRUE)</f>
        <v>0</v>
      </c>
      <c r="V56" s="486">
        <f t="shared" si="8"/>
        <v>1</v>
      </c>
    </row>
    <row r="57" spans="1:22" x14ac:dyDescent="0.2">
      <c r="B57" s="280" t="s">
        <v>481</v>
      </c>
      <c r="C57" s="317" t="b">
        <v>0</v>
      </c>
      <c r="D57" s="280" t="s">
        <v>84</v>
      </c>
      <c r="E57" s="316" t="s">
        <v>85</v>
      </c>
      <c r="F57" s="316" t="s">
        <v>85</v>
      </c>
      <c r="G57" s="317" t="s">
        <v>196</v>
      </c>
      <c r="H57" s="436" t="str">
        <f t="shared" si="1"/>
        <v>Seite:</v>
      </c>
      <c r="I57" s="445"/>
      <c r="K57" s="310" t="s">
        <v>478</v>
      </c>
      <c r="L57" s="490">
        <f>IF(AND($C$42=TRUE,OR($C$55=TRUE,$C$56=TRUE)),1,0)</f>
        <v>0</v>
      </c>
      <c r="M57" s="295"/>
      <c r="O57" s="33" t="s">
        <v>865</v>
      </c>
      <c r="P57" s="437"/>
      <c r="Q57" s="437"/>
      <c r="R57" s="438"/>
      <c r="T57" s="315"/>
      <c r="U57" s="310"/>
      <c r="V57" s="486"/>
    </row>
    <row r="58" spans="1:22" x14ac:dyDescent="0.2">
      <c r="B58" s="280" t="s">
        <v>482</v>
      </c>
      <c r="C58" s="317" t="b">
        <v>0</v>
      </c>
      <c r="D58" s="280" t="s">
        <v>449</v>
      </c>
      <c r="E58" s="316" t="s">
        <v>450</v>
      </c>
      <c r="F58" s="316" t="s">
        <v>451</v>
      </c>
      <c r="G58" s="317" t="s">
        <v>452</v>
      </c>
      <c r="H58" s="436" t="str">
        <f t="shared" si="1"/>
        <v>Achsmass →</v>
      </c>
      <c r="I58" s="445"/>
      <c r="K58" s="310" t="s">
        <v>483</v>
      </c>
      <c r="L58" s="293">
        <f>IF(AND('Pos. 2'!$G$20=0,'Pos. 2'!$K$20=0,'Pos. 2'!$O$20=0,'Pos. 2'!$S$20=0,'Pos. 2'!$W$20=0,'Pos. 2'!$AA$20=0,'Pos. 2'!$AE$20=0,'Pos. 2'!$AI$20=0,'Pos. 2'!$AM$20=0),1,0)</f>
        <v>1</v>
      </c>
      <c r="M58" s="483"/>
      <c r="O58" s="374" t="s">
        <v>866</v>
      </c>
      <c r="P58" s="375" t="s">
        <v>867</v>
      </c>
      <c r="Q58" s="375" t="s">
        <v>869</v>
      </c>
      <c r="R58" s="376" t="s">
        <v>868</v>
      </c>
      <c r="T58" s="315" t="s">
        <v>750</v>
      </c>
      <c r="U58" s="310" t="b">
        <f>IF(AND(L62=1,'Pos. 2'!C11&gt;35),FALSE,TRUE)</f>
        <v>1</v>
      </c>
      <c r="V58" s="486">
        <f t="shared" si="8"/>
        <v>0</v>
      </c>
    </row>
    <row r="59" spans="1:22" x14ac:dyDescent="0.2">
      <c r="B59" s="280"/>
      <c r="C59" s="317"/>
      <c r="D59" s="280" t="s">
        <v>86</v>
      </c>
      <c r="E59" s="316" t="s">
        <v>87</v>
      </c>
      <c r="F59" s="316" t="s">
        <v>88</v>
      </c>
      <c r="G59" s="317" t="s">
        <v>149</v>
      </c>
      <c r="H59" s="436" t="str">
        <f t="shared" si="1"/>
        <v>VSG mit P4A</v>
      </c>
      <c r="I59" s="445"/>
      <c r="K59" s="310" t="s">
        <v>484</v>
      </c>
      <c r="L59" s="491">
        <f>IF(AND($C$49=FALSE,$C$50=FALSE,$C$51=FALSE),0,1)</f>
        <v>0</v>
      </c>
      <c r="M59" s="297">
        <f>SUM(L58:L59)</f>
        <v>1</v>
      </c>
      <c r="O59" s="329" t="s">
        <v>198</v>
      </c>
      <c r="P59" s="492">
        <f>IF(OR('Pos. 2'!$F$10='Sprachen &amp; Rückgabewerte(2)'!$B$10,'Pos. 2'!$F$10='Sprachen &amp; Rückgabewerte(2)'!B11),1,0)</f>
        <v>0</v>
      </c>
      <c r="Q59" s="330">
        <f>IF(P59=1,0,1)</f>
        <v>1</v>
      </c>
      <c r="R59" s="446">
        <f>IF(AND(P59=1,'Pos. 2'!$F$16=""),1,0)</f>
        <v>0</v>
      </c>
      <c r="U59" s="310" t="b">
        <f>IF(M59=0,FALSE,TRUE)</f>
        <v>1</v>
      </c>
      <c r="V59" s="486">
        <f t="shared" si="8"/>
        <v>0</v>
      </c>
    </row>
    <row r="60" spans="1:22" ht="15" customHeight="1" x14ac:dyDescent="0.2">
      <c r="B60" s="280" t="s">
        <v>250</v>
      </c>
      <c r="C60" s="317" t="b">
        <v>0</v>
      </c>
      <c r="D60" s="280" t="s">
        <v>89</v>
      </c>
      <c r="E60" s="316" t="s">
        <v>90</v>
      </c>
      <c r="F60" s="316" t="s">
        <v>310</v>
      </c>
      <c r="G60" s="317" t="s">
        <v>353</v>
      </c>
      <c r="H60" s="436" t="str">
        <f t="shared" si="1"/>
        <v>Insektenschutz</v>
      </c>
      <c r="I60" s="445"/>
      <c r="K60" s="310" t="s">
        <v>485</v>
      </c>
      <c r="L60" s="487">
        <f>IF(AND($C$46=TRUE,OR($C$57=TRUE,$C$58=TRUE)),1,0)</f>
        <v>0</v>
      </c>
      <c r="M60" s="538">
        <f>SUM(L60:L61)</f>
        <v>1</v>
      </c>
      <c r="O60" s="280" t="s">
        <v>199</v>
      </c>
      <c r="P60" s="493">
        <f>IF(OR('Pos. 2'!$J$10='Sprachen &amp; Rückgabewerte(2)'!$B$10,'Pos. 2'!$J$10='Sprachen &amp; Rückgabewerte(2)'!B11),1,0)</f>
        <v>0</v>
      </c>
      <c r="Q60" s="316">
        <f t="shared" ref="Q60:Q68" si="10">IF(P60=1,0,1)</f>
        <v>1</v>
      </c>
      <c r="R60" s="317">
        <f>IF(AND(P60=1,'Pos. 2'!$J$16=""),1,0)</f>
        <v>0</v>
      </c>
      <c r="U60" s="310" t="b">
        <f>IF(M60=0,FALSE,TRUE)</f>
        <v>1</v>
      </c>
      <c r="V60" s="486">
        <f t="shared" si="8"/>
        <v>0</v>
      </c>
    </row>
    <row r="61" spans="1:22" ht="12.75" customHeight="1" x14ac:dyDescent="0.2">
      <c r="B61" s="280" t="s">
        <v>251</v>
      </c>
      <c r="C61" s="317" t="b">
        <v>0</v>
      </c>
      <c r="D61" s="334" t="s">
        <v>148</v>
      </c>
      <c r="E61" s="494" t="s">
        <v>148</v>
      </c>
      <c r="F61" s="494" t="s">
        <v>148</v>
      </c>
      <c r="G61" s="495" t="s">
        <v>148</v>
      </c>
      <c r="H61" s="436" t="str">
        <f t="shared" si="1"/>
        <v>Standard = 1050mm</v>
      </c>
      <c r="I61" s="445"/>
      <c r="K61" s="310"/>
      <c r="L61" s="490">
        <f>IF(C46=FALSE,1,0)</f>
        <v>1</v>
      </c>
      <c r="M61" s="539"/>
      <c r="O61" s="280" t="s">
        <v>200</v>
      </c>
      <c r="P61" s="493">
        <f>IF(OR('Pos. 2'!$N$10='Sprachen &amp; Rückgabewerte(2)'!$B$10,'Pos. 2'!$N$10='Sprachen &amp; Rückgabewerte(2)'!B11),1,0)</f>
        <v>0</v>
      </c>
      <c r="Q61" s="316">
        <f t="shared" si="10"/>
        <v>1</v>
      </c>
      <c r="R61" s="317">
        <f>IF(AND(P61=1,'Pos. 2'!$N$16=""),1,0)</f>
        <v>0</v>
      </c>
      <c r="U61" s="310"/>
      <c r="V61" s="486"/>
    </row>
    <row r="62" spans="1:22" x14ac:dyDescent="0.2">
      <c r="B62" s="280" t="s">
        <v>252</v>
      </c>
      <c r="C62" s="317" t="b">
        <v>0</v>
      </c>
      <c r="D62" s="280" t="s">
        <v>143</v>
      </c>
      <c r="E62" s="316" t="s">
        <v>144</v>
      </c>
      <c r="F62" s="316" t="s">
        <v>145</v>
      </c>
      <c r="G62" s="317" t="s">
        <v>146</v>
      </c>
      <c r="H62" s="436" t="str">
        <f t="shared" si="1"/>
        <v>RC2: zwingend 1050mm</v>
      </c>
      <c r="I62" s="445"/>
      <c r="K62" s="310" t="s">
        <v>510</v>
      </c>
      <c r="L62" s="487">
        <f>IF(OR(AND('Pos. 2'!$F$10="L",'Pos. 2'!$J$10="R"),AND('Pos. 2'!$J$10="L",'Pos. 2'!$N$10="R"),AND('Pos. 2'!$N$10="L",'Pos. 2'!$R$10="R"),AND('Pos. 2'!$R$10="L",'Pos. 2'!$V$10="R"),AND('Pos. 2'!$V$10="L",'Pos. 2'!$Z$10="R"),AND('Pos. 2'!$Z$10="L",'Pos. 2'!$AD$10="R"),AND('Pos. 2'!$AD$10="L",'Pos. 2'!$AH$10="R"),AND('Pos. 2'!$AH$10="L",'Pos. 2'!$AL$10="R"),AND('Pos. 2'!$AL$10="L",'Pos. 2'!$AP$10="R"),AND('Pos. 2'!F10="F",'Pos. 2'!J10="R"),AND('Pos. 2'!J10="F",'Pos. 2'!N10="R"),AND('Pos. 2'!N10="F",'Pos. 2'!R10="R"),AND('Pos. 2'!R10="F",'Pos. 2'!V10="R"),AND('Pos. 2'!V10="F",'Pos. 2'!Z10="R"),AND('Pos. 2'!Z10="F",'Pos. 2'!AD10="R"),AND('Pos. 2'!AD10="F",'Pos. 2'!AH10="R"),AND('Pos. 2'!AH10="F",'Pos. 2'!AL10="R"),AND('Pos. 2'!AL10="F",'Pos. 2'!AP10="R"),AND('Pos. 2'!F10="L",'Pos. 2'!J10="F"),AND('Pos. 2'!J10="L",'Pos. 2'!N10="F"),AND('Pos. 2'!N10="L",'Pos. 2'!R10="F"),AND('Pos. 2'!R10="L",'Pos. 2'!V10="F"),AND('Pos. 2'!V10="L",'Pos. 2'!Z10="F"),AND('Pos. 2'!Z10="L",'Pos. 2'!AD10="F"),AND('Pos. 2'!AD10="L",'Pos. 2'!AH10="F"),AND('Pos. 2'!AH10="L",'Pos. 2'!AL10="F"),AND('Pos. 2'!AL10="L",'Pos. 2'!AP10="F")),1,0)</f>
        <v>0</v>
      </c>
      <c r="M62" s="294">
        <f>IF(AND(L58=0,SUM(L62:L65)=2),0,SUM(L62:L65))</f>
        <v>1</v>
      </c>
      <c r="O62" s="280" t="s">
        <v>201</v>
      </c>
      <c r="P62" s="493">
        <f>IF(OR('Pos. 2'!$R$10='Sprachen &amp; Rückgabewerte(2)'!$B$10,'Pos. 2'!$R$10='Sprachen &amp; Rückgabewerte(2)'!B11),1,0)</f>
        <v>0</v>
      </c>
      <c r="Q62" s="316">
        <f t="shared" si="10"/>
        <v>1</v>
      </c>
      <c r="R62" s="317">
        <f>IF(AND(P62=1,'Pos. 2'!$R$16=""),1,0)</f>
        <v>0</v>
      </c>
      <c r="U62" s="310" t="b">
        <f>IF(OR(M62=2,M62=3),FALSE,TRUE)</f>
        <v>1</v>
      </c>
      <c r="V62" s="486">
        <f t="shared" si="8"/>
        <v>0</v>
      </c>
    </row>
    <row r="63" spans="1:22" ht="15.75" customHeight="1" thickBot="1" x14ac:dyDescent="0.25">
      <c r="B63" s="467" t="s">
        <v>253</v>
      </c>
      <c r="C63" s="475" t="b">
        <v>0</v>
      </c>
      <c r="D63" s="280" t="s">
        <v>147</v>
      </c>
      <c r="E63" s="316" t="s">
        <v>147</v>
      </c>
      <c r="F63" s="316" t="s">
        <v>147</v>
      </c>
      <c r="G63" s="317" t="s">
        <v>147</v>
      </c>
      <c r="H63" s="436" t="str">
        <f t="shared" si="1"/>
        <v>min: RV=200 MVv=750</v>
      </c>
      <c r="I63" s="445"/>
      <c r="K63" s="310"/>
      <c r="L63" s="496">
        <f>IF(AND('Pos. 2'!G20="",'Pos. 2'!K20="",'Pos. 2'!O20="",'Pos. 2'!S20="",'Pos. 2'!W20="",'Pos. 2'!AA20="",'Pos. 2'!AE20="",'Pos. 2'!AI20="",'Pos. 2'!AM20=""),1,2)</f>
        <v>1</v>
      </c>
      <c r="M63" s="299"/>
      <c r="O63" s="280" t="s">
        <v>202</v>
      </c>
      <c r="P63" s="493">
        <f>IF(OR('Pos. 2'!$V$10='Sprachen &amp; Rückgabewerte(2)'!$B$10,'Pos. 2'!$V$10='Sprachen &amp; Rückgabewerte(2)'!B11),1,0)</f>
        <v>0</v>
      </c>
      <c r="Q63" s="316">
        <f t="shared" si="10"/>
        <v>1</v>
      </c>
      <c r="R63" s="317">
        <f>IF(AND(P63=1,'Pos. 2'!$V$16=""),1,0)</f>
        <v>0</v>
      </c>
      <c r="T63" s="315" t="s">
        <v>758</v>
      </c>
      <c r="U63" s="310" t="b">
        <f>IF('Pos. 2'!AX25="",FALSE,TRUE)</f>
        <v>0</v>
      </c>
      <c r="V63" s="486">
        <f>IF(U63=FALSE,1,0)</f>
        <v>1</v>
      </c>
    </row>
    <row r="64" spans="1:22" ht="15" customHeight="1" x14ac:dyDescent="0.2">
      <c r="B64" s="497" t="s">
        <v>575</v>
      </c>
      <c r="C64" s="498">
        <f>IF(OR($C$60=TRUE,$C$61=TRUE,$C$62=TRUE,$C$63=TRUE),1,0)</f>
        <v>0</v>
      </c>
      <c r="D64" s="280" t="s">
        <v>151</v>
      </c>
      <c r="E64" s="316" t="s">
        <v>255</v>
      </c>
      <c r="F64" s="316" t="s">
        <v>279</v>
      </c>
      <c r="G64" s="317" t="s">
        <v>293</v>
      </c>
      <c r="H64" s="436" t="str">
        <f t="shared" si="1"/>
        <v>Verschlussgriffe:</v>
      </c>
      <c r="I64" s="445"/>
      <c r="K64" s="310"/>
      <c r="L64" s="496">
        <f>IF(AND($C$45=FALSE,$C$46=FALSE,$C$47=FALSE,$C$48=FALSE),0,1)</f>
        <v>0</v>
      </c>
      <c r="M64" s="299"/>
      <c r="O64" s="280" t="s">
        <v>203</v>
      </c>
      <c r="P64" s="493">
        <f>IF(OR('Pos. 2'!$Z$10='Sprachen &amp; Rückgabewerte(2)'!$B$10,'Pos. 2'!$Z$10='Sprachen &amp; Rückgabewerte(2)'!B11),1,0)</f>
        <v>0</v>
      </c>
      <c r="Q64" s="316">
        <f t="shared" si="10"/>
        <v>1</v>
      </c>
      <c r="R64" s="317">
        <f>IF(AND(P64=1,'Pos. 2'!$Z$16=""),1,0)</f>
        <v>0</v>
      </c>
      <c r="T64" s="315" t="s">
        <v>765</v>
      </c>
      <c r="U64" s="310" t="b">
        <f>IF('Pos. 2'!AM87="",FALSE,TRUE)</f>
        <v>0</v>
      </c>
      <c r="V64" s="486">
        <f>IF(U64=FALSE,1,0)</f>
        <v>1</v>
      </c>
    </row>
    <row r="65" spans="2:23" ht="15.75" customHeight="1" thickBot="1" x14ac:dyDescent="0.25">
      <c r="B65" s="89"/>
      <c r="C65" s="499"/>
      <c r="D65" s="280" t="s">
        <v>155</v>
      </c>
      <c r="E65" s="316" t="s">
        <v>256</v>
      </c>
      <c r="F65" s="316" t="s">
        <v>311</v>
      </c>
      <c r="G65" s="317" t="s">
        <v>793</v>
      </c>
      <c r="H65" s="436" t="str">
        <f t="shared" si="1"/>
        <v>mit Verschlussraster (Druckknopf)</v>
      </c>
      <c r="I65" s="445"/>
      <c r="K65" s="310"/>
      <c r="L65" s="490">
        <f>IF(AND('Pos. 2'!H11="",'Pos. 2'!I11="",'Pos. 2'!L11="",'Pos. 2'!M11="",'Pos. 2'!P11="",'Pos. 2'!Q11="",'Pos. 2'!T11="",'Pos. 2'!U11="",'Pos. 2'!X11="",'Pos. 2'!Y11="",'Pos. 2'!AB11="",'Pos. 2'!AC11="",'Pos. 2'!AF11="",'Pos. 2'!AG11="",'Pos. 2'!AJ11="",'Pos. 2'!AK11="",'Pos. 2'!AN11="",'Pos. 2'!AO11=""),0,1)</f>
        <v>0</v>
      </c>
      <c r="M65" s="295"/>
      <c r="O65" s="280" t="s">
        <v>204</v>
      </c>
      <c r="P65" s="493">
        <f>IF(OR('Pos. 2'!$AD$10='Sprachen &amp; Rückgabewerte(2)'!$B$10,'Pos. 2'!$AD$10='Sprachen &amp; Rückgabewerte(2)'!B11),1,0)</f>
        <v>0</v>
      </c>
      <c r="Q65" s="316">
        <f t="shared" si="10"/>
        <v>1</v>
      </c>
      <c r="R65" s="317">
        <f>IF(AND(P65=1,'Pos. 2'!$AD$16=""),1,0)</f>
        <v>0</v>
      </c>
      <c r="U65" s="310"/>
      <c r="V65" s="486"/>
    </row>
    <row r="66" spans="2:23" ht="25.5" x14ac:dyDescent="0.2">
      <c r="B66" s="187" t="s">
        <v>576</v>
      </c>
      <c r="C66" s="499"/>
      <c r="D66" s="280" t="s">
        <v>430</v>
      </c>
      <c r="E66" s="316" t="s">
        <v>431</v>
      </c>
      <c r="F66" s="316" t="s">
        <v>433</v>
      </c>
      <c r="G66" s="317" t="s">
        <v>432</v>
      </c>
      <c r="H66" s="436" t="str">
        <f t="shared" si="1"/>
        <v>mit Verschlussraster (Zylinder)</v>
      </c>
      <c r="I66" s="445"/>
      <c r="K66" s="304" t="s">
        <v>579</v>
      </c>
      <c r="L66" s="487" t="b">
        <f>IF(AND($I$71=TRUE,'Pos. 2'!$AP$74="",'Pos. 2'!$AP$75="",'Pos. 2'!$AP$76=""),FALSE,TRUE)</f>
        <v>1</v>
      </c>
      <c r="M66" s="294" t="b">
        <f>IF(OR($L$66=FALSE,$L$67=FALSE,$L$68=FALSE,L69=FALSE),FALSE,TRUE)</f>
        <v>0</v>
      </c>
      <c r="O66" s="280" t="s">
        <v>205</v>
      </c>
      <c r="P66" s="493">
        <f>IF(OR('Pos. 2'!$AH$10='Sprachen &amp; Rückgabewerte(2)'!$B$10,'Pos. 2'!$AH$10='Sprachen &amp; Rückgabewerte(2)'!B11),1,0)</f>
        <v>0</v>
      </c>
      <c r="Q66" s="316">
        <f t="shared" si="10"/>
        <v>1</v>
      </c>
      <c r="R66" s="317">
        <f>IF(AND(P66=1,'Pos. 2'!$AH$16=""),1,0)</f>
        <v>0</v>
      </c>
      <c r="U66" s="310" t="b">
        <f>M66</f>
        <v>0</v>
      </c>
      <c r="V66" s="486">
        <f t="shared" si="8"/>
        <v>1</v>
      </c>
    </row>
    <row r="67" spans="2:23" ht="15" customHeight="1" x14ac:dyDescent="0.2">
      <c r="B67" s="500"/>
      <c r="C67" s="499"/>
      <c r="D67" s="280" t="s">
        <v>152</v>
      </c>
      <c r="E67" s="316" t="s">
        <v>257</v>
      </c>
      <c r="F67" s="316" t="s">
        <v>312</v>
      </c>
      <c r="G67" s="317" t="s">
        <v>354</v>
      </c>
      <c r="H67" s="436" t="str">
        <f t="shared" si="1"/>
        <v>ohne Verschlussraster</v>
      </c>
      <c r="I67" s="445"/>
      <c r="K67" s="304" t="s">
        <v>580</v>
      </c>
      <c r="L67" s="501" t="b">
        <f>IF('Pos. 2'!AN78="",FALSE,TRUE)</f>
        <v>0</v>
      </c>
      <c r="M67" s="299"/>
      <c r="O67" s="280" t="s">
        <v>206</v>
      </c>
      <c r="P67" s="493">
        <f>IF(OR('Pos. 2'!$AL$10='Sprachen &amp; Rückgabewerte(2)'!$B$10,'Pos. 2'!$AL$10='Sprachen &amp; Rückgabewerte(2)'!B11),1,0)</f>
        <v>0</v>
      </c>
      <c r="Q67" s="316">
        <f t="shared" si="10"/>
        <v>1</v>
      </c>
      <c r="R67" s="317">
        <f>IF(AND(P67=1,'Pos. 2'!$AL$16=""),1,0)</f>
        <v>0</v>
      </c>
      <c r="T67" s="315" t="s">
        <v>864</v>
      </c>
      <c r="U67" s="310" t="b">
        <f>IF(R69&gt;0,FALSE,TRUE)</f>
        <v>1</v>
      </c>
      <c r="V67" s="486">
        <f>IF(U67=FALSE,1,0)</f>
        <v>0</v>
      </c>
      <c r="W67" s="502"/>
    </row>
    <row r="68" spans="2:23" ht="15" customHeight="1" x14ac:dyDescent="0.2">
      <c r="B68" s="436" t="str">
        <f>$H$112</f>
        <v>mit CFK</v>
      </c>
      <c r="C68" s="499"/>
      <c r="D68" s="280" t="s">
        <v>153</v>
      </c>
      <c r="E68" s="316" t="s">
        <v>258</v>
      </c>
      <c r="F68" s="316" t="s">
        <v>281</v>
      </c>
      <c r="G68" s="317" t="s">
        <v>355</v>
      </c>
      <c r="H68" s="436" t="str">
        <f t="shared" si="1"/>
        <v>2-Punkt Verriegelung</v>
      </c>
      <c r="I68" s="445"/>
      <c r="J68" s="279" t="str">
        <f>H68</f>
        <v>2-Punkt Verriegelung</v>
      </c>
      <c r="K68" s="304" t="s">
        <v>581</v>
      </c>
      <c r="L68" s="501" t="b">
        <f>IF('Pos. 2'!AN79="",FALSE,TRUE)</f>
        <v>0</v>
      </c>
      <c r="M68" s="299"/>
      <c r="O68" s="280" t="s">
        <v>207</v>
      </c>
      <c r="P68" s="493">
        <f>IF(OR('Pos. 2'!$AP$10='Sprachen &amp; Rückgabewerte(2)'!$B$10,'Pos. 2'!$AP$10='Sprachen &amp; Rückgabewerte(2)'!B11),1,0)</f>
        <v>0</v>
      </c>
      <c r="Q68" s="316">
        <f t="shared" si="10"/>
        <v>1</v>
      </c>
      <c r="R68" s="317">
        <f>IF(AND(P68=1,'Pos. 2'!$AP$16=""),1,0)</f>
        <v>0</v>
      </c>
      <c r="T68" s="315" t="s">
        <v>910</v>
      </c>
      <c r="U68" s="310" t="b">
        <f>IF('Pos. 2'!AQ96="",FALSE,TRUE)</f>
        <v>0</v>
      </c>
      <c r="V68" s="486">
        <f t="shared" ref="V68:V69" si="11">IF(U68=FALSE,1,0)</f>
        <v>1</v>
      </c>
      <c r="W68" s="502">
        <f>SUM(V68:V69)</f>
        <v>1</v>
      </c>
    </row>
    <row r="69" spans="2:23" ht="15" customHeight="1" thickBot="1" x14ac:dyDescent="0.25">
      <c r="B69" s="436" t="str">
        <f>$H$113</f>
        <v>ohne CFK</v>
      </c>
      <c r="C69" s="499"/>
      <c r="D69" s="280" t="s">
        <v>154</v>
      </c>
      <c r="E69" s="316" t="s">
        <v>259</v>
      </c>
      <c r="F69" s="316" t="s">
        <v>280</v>
      </c>
      <c r="G69" s="317" t="s">
        <v>356</v>
      </c>
      <c r="H69" s="436" t="str">
        <f t="shared" si="1"/>
        <v>3-Punkt Verriegelung</v>
      </c>
      <c r="I69" s="445"/>
      <c r="J69" s="279" t="str">
        <f>H69</f>
        <v>3-Punkt Verriegelung</v>
      </c>
      <c r="K69" s="304" t="s">
        <v>582</v>
      </c>
      <c r="L69" s="503" t="b">
        <f>IF('Pos. 2'!$AN$80&lt;&gt;"",TRUE,FALSE)</f>
        <v>0</v>
      </c>
      <c r="M69" s="295"/>
      <c r="O69" s="377"/>
      <c r="P69" s="504"/>
      <c r="Q69" s="378" t="s">
        <v>870</v>
      </c>
      <c r="R69" s="475">
        <f>IF(I20=TRUE,SUM(R59:R68),0)</f>
        <v>0</v>
      </c>
      <c r="T69" s="315" t="s">
        <v>911</v>
      </c>
      <c r="U69" s="310" t="b">
        <f>IF(AND('Pos. 2'!AQ96='Sprachen &amp; Rückgabewerte(2)'!H95,'Pos. 2'!AW96=""),FALSE,TRUE)</f>
        <v>1</v>
      </c>
      <c r="V69" s="486">
        <f t="shared" si="11"/>
        <v>0</v>
      </c>
    </row>
    <row r="70" spans="2:23" x14ac:dyDescent="0.2">
      <c r="B70" s="436"/>
      <c r="C70" s="499"/>
      <c r="D70" s="280" t="s">
        <v>254</v>
      </c>
      <c r="E70" s="316" t="s">
        <v>260</v>
      </c>
      <c r="F70" s="316" t="s">
        <v>282</v>
      </c>
      <c r="G70" s="317" t="s">
        <v>294</v>
      </c>
      <c r="H70" s="436" t="str">
        <f t="shared" si="1"/>
        <v>Befestigung:</v>
      </c>
      <c r="I70" s="445"/>
      <c r="K70" s="310" t="s">
        <v>605</v>
      </c>
      <c r="L70" s="505">
        <f>IF(AND(I19=TRUE,O51=1),1,0)</f>
        <v>0</v>
      </c>
      <c r="M70" s="297"/>
      <c r="U70" s="310" t="b">
        <f>IF(AND(I19=TRUE,O51&lt;&gt;1),FALSE,TRUE)</f>
        <v>1</v>
      </c>
      <c r="V70" s="486">
        <f t="shared" si="8"/>
        <v>0</v>
      </c>
    </row>
    <row r="71" spans="2:23" x14ac:dyDescent="0.2">
      <c r="B71" s="436" t="str">
        <f>$H$114</f>
        <v>mit Stahl</v>
      </c>
      <c r="C71" s="499"/>
      <c r="D71" s="280" t="s">
        <v>306</v>
      </c>
      <c r="E71" s="316" t="s">
        <v>307</v>
      </c>
      <c r="F71" s="316" t="s">
        <v>308</v>
      </c>
      <c r="G71" s="317" t="s">
        <v>295</v>
      </c>
      <c r="H71" s="436" t="str">
        <f t="shared" si="1"/>
        <v>Universalschrauben (A2):</v>
      </c>
      <c r="I71" s="445" t="b">
        <v>0</v>
      </c>
      <c r="K71" s="310" t="s">
        <v>683</v>
      </c>
      <c r="L71" s="505">
        <f>IF(OR('Pos. 2'!$F$10='Sprachen &amp; Rückgabewerte(2)'!$B$14,'Pos. 2'!$J$10='Sprachen &amp; Rückgabewerte(2)'!$B$14,'Pos. 2'!$N$10='Sprachen &amp; Rückgabewerte(2)'!B14,'Pos. 2'!$R$10='Sprachen &amp; Rückgabewerte(2)'!$B$14,'Pos. 2'!$V$10='Sprachen &amp; Rückgabewerte(2)'!$B$14,'Pos. 2'!$Z$10='Sprachen &amp; Rückgabewerte(2)'!$B$14,'Pos. 2'!$AD$10='Sprachen &amp; Rückgabewerte(2)'!$B$14,'Pos. 2'!$AH$10='Sprachen &amp; Rückgabewerte(2)'!$B$14,'Pos. 2'!$AL$10='Sprachen &amp; Rückgabewerte(2)'!$B$14,'Pos. 2'!$AP$10='Sprachen &amp; Rückgabewerte(2)'!$B$14),0,1)</f>
        <v>1</v>
      </c>
      <c r="M71" s="297">
        <f>IF(AND(L71=0,'Pos. 2'!AW48=""),0,1)</f>
        <v>1</v>
      </c>
      <c r="U71" s="310" t="b">
        <f>IF(M71=1,TRUE,FALSE)</f>
        <v>1</v>
      </c>
      <c r="V71" s="486">
        <f t="shared" si="8"/>
        <v>0</v>
      </c>
    </row>
    <row r="72" spans="2:23" x14ac:dyDescent="0.2">
      <c r="B72" s="436" t="str">
        <f>$H$115</f>
        <v>ohne Stahl</v>
      </c>
      <c r="C72" s="499"/>
      <c r="D72" s="280" t="s">
        <v>156</v>
      </c>
      <c r="E72" s="316" t="s">
        <v>156</v>
      </c>
      <c r="F72" s="316" t="s">
        <v>156</v>
      </c>
      <c r="G72" s="316" t="s">
        <v>156</v>
      </c>
      <c r="H72" s="436" t="str">
        <f t="shared" ref="H72:H88" si="12">IF($B$3=$A$3,D72,IF($B$3=$A$4,E72,IF($B$3=$A$5,F72,IF($B$3=$A$6,G72,""))))</f>
        <v>L=52mm</v>
      </c>
      <c r="I72" s="445"/>
      <c r="J72" s="279" t="str">
        <f>H72</f>
        <v>L=52mm</v>
      </c>
      <c r="K72" s="304" t="s">
        <v>743</v>
      </c>
      <c r="L72" s="305">
        <f>C95</f>
        <v>6</v>
      </c>
      <c r="M72" s="486"/>
      <c r="U72" s="310" t="b">
        <f>IF(AND(L72&gt;0,I50=TRUE),FALSE,TRUE)</f>
        <v>1</v>
      </c>
      <c r="V72" s="486">
        <f t="shared" si="8"/>
        <v>0</v>
      </c>
    </row>
    <row r="73" spans="2:23" x14ac:dyDescent="0.2">
      <c r="B73" s="436"/>
      <c r="C73" s="499"/>
      <c r="D73" s="280" t="s">
        <v>157</v>
      </c>
      <c r="E73" s="316" t="s">
        <v>157</v>
      </c>
      <c r="F73" s="316" t="s">
        <v>157</v>
      </c>
      <c r="G73" s="316" t="s">
        <v>157</v>
      </c>
      <c r="H73" s="436" t="str">
        <f t="shared" si="12"/>
        <v>L=82mm</v>
      </c>
      <c r="I73" s="445"/>
      <c r="J73" s="279" t="str">
        <f>H73</f>
        <v>L=82mm</v>
      </c>
      <c r="K73" s="304" t="s">
        <v>745</v>
      </c>
      <c r="L73" s="305">
        <f>A50</f>
        <v>0</v>
      </c>
      <c r="M73" s="486"/>
      <c r="U73" s="310" t="b">
        <f>IF(L73=0,TRUE,FALSE)</f>
        <v>1</v>
      </c>
      <c r="V73" s="486">
        <f t="shared" si="8"/>
        <v>0</v>
      </c>
    </row>
    <row r="74" spans="2:23" x14ac:dyDescent="0.2">
      <c r="B74" s="436" t="str">
        <f>$H$120</f>
        <v>mit AL.</v>
      </c>
      <c r="C74" s="499"/>
      <c r="D74" s="280" t="s">
        <v>158</v>
      </c>
      <c r="E74" s="316" t="s">
        <v>158</v>
      </c>
      <c r="F74" s="316" t="s">
        <v>158</v>
      </c>
      <c r="G74" s="316" t="s">
        <v>158</v>
      </c>
      <c r="H74" s="436" t="str">
        <f t="shared" si="12"/>
        <v>L=112mm</v>
      </c>
      <c r="I74" s="445"/>
      <c r="J74" s="279" t="str">
        <f>H74</f>
        <v>L=112mm</v>
      </c>
      <c r="K74" s="304" t="s">
        <v>327</v>
      </c>
      <c r="L74" s="305" t="b">
        <f>IF(AND(I51=TRUE,'Pos. 2'!AP86=""),FALSE,TRUE)</f>
        <v>1</v>
      </c>
      <c r="M74" s="486"/>
      <c r="U74" s="310" t="b">
        <f>L74</f>
        <v>1</v>
      </c>
      <c r="V74" s="486">
        <f t="shared" si="8"/>
        <v>0</v>
      </c>
    </row>
    <row r="75" spans="2:23" x14ac:dyDescent="0.2">
      <c r="B75" s="436" t="str">
        <f>$H$121</f>
        <v>ohne AL.</v>
      </c>
      <c r="C75" s="499"/>
      <c r="D75" s="280" t="s">
        <v>871</v>
      </c>
      <c r="E75" s="316" t="s">
        <v>872</v>
      </c>
      <c r="F75" s="316" t="s">
        <v>873</v>
      </c>
      <c r="G75" s="317" t="s">
        <v>874</v>
      </c>
      <c r="H75" s="436" t="str">
        <f t="shared" si="12"/>
        <v>(VE à 100 Stk.)</v>
      </c>
      <c r="I75" s="445"/>
      <c r="K75" s="304" t="s">
        <v>746</v>
      </c>
      <c r="L75" s="305" t="b">
        <f>IF(AND(I22=TRUE,'Pos. 2'!AL39=""),FALSE,TRUE)</f>
        <v>1</v>
      </c>
      <c r="M75" s="486"/>
      <c r="U75" s="310" t="b">
        <f>L75</f>
        <v>1</v>
      </c>
      <c r="V75" s="486">
        <f t="shared" si="8"/>
        <v>0</v>
      </c>
    </row>
    <row r="76" spans="2:23" x14ac:dyDescent="0.2">
      <c r="B76" s="436"/>
      <c r="D76" s="280" t="s">
        <v>159</v>
      </c>
      <c r="E76" s="316" t="s">
        <v>261</v>
      </c>
      <c r="F76" s="316" t="s">
        <v>283</v>
      </c>
      <c r="G76" s="317" t="s">
        <v>296</v>
      </c>
      <c r="H76" s="436" t="str">
        <f t="shared" si="12"/>
        <v>Sockelbefestigung:</v>
      </c>
      <c r="I76" s="445"/>
      <c r="K76" s="304" t="s">
        <v>747</v>
      </c>
      <c r="L76" s="305" t="b">
        <f>IF(AND(I45=TRUE,'Pos. 2'!AI57=""),FALSE,TRUE)</f>
        <v>1</v>
      </c>
      <c r="M76" s="486"/>
      <c r="U76" s="310" t="b">
        <f t="shared" ref="U76:U77" si="13">L76</f>
        <v>1</v>
      </c>
      <c r="V76" s="486">
        <f t="shared" si="8"/>
        <v>0</v>
      </c>
    </row>
    <row r="77" spans="2:23" ht="13.5" thickBot="1" x14ac:dyDescent="0.25">
      <c r="B77" s="436" t="str">
        <f>$H$122</f>
        <v>mit Stahl (&gt;2.5m)</v>
      </c>
      <c r="D77" s="280" t="s">
        <v>160</v>
      </c>
      <c r="E77" s="316" t="s">
        <v>262</v>
      </c>
      <c r="F77" s="316" t="s">
        <v>284</v>
      </c>
      <c r="G77" s="317" t="s">
        <v>297</v>
      </c>
      <c r="H77" s="436" t="str">
        <f t="shared" si="12"/>
        <v>Verstellschrauben M10 x</v>
      </c>
      <c r="I77" s="445"/>
      <c r="J77" s="279" t="str">
        <f>H80</f>
        <v>ohne</v>
      </c>
      <c r="K77" s="307" t="s">
        <v>748</v>
      </c>
      <c r="L77" s="308" t="b">
        <f>IF(OR('Pos. 2'!AE84='Sprachen &amp; Rückgabewerte(2)'!H88,AND('Pos. 2'!AE84='Sprachen &amp; Rückgabewerte(2)'!H89,'Pos. 2'!AE85&lt;&gt;"")),TRUE,FALSE)</f>
        <v>0</v>
      </c>
      <c r="M77" s="506"/>
      <c r="U77" s="310" t="b">
        <f t="shared" si="13"/>
        <v>0</v>
      </c>
      <c r="V77" s="486">
        <f t="shared" si="8"/>
        <v>1</v>
      </c>
    </row>
    <row r="78" spans="2:23" ht="13.5" thickBot="1" x14ac:dyDescent="0.25">
      <c r="B78" s="489" t="str">
        <f>$H$123</f>
        <v>ohne Stahl (&lt;2.5m)</v>
      </c>
      <c r="D78" s="280" t="s">
        <v>161</v>
      </c>
      <c r="E78" s="316" t="s">
        <v>161</v>
      </c>
      <c r="F78" s="316" t="s">
        <v>161</v>
      </c>
      <c r="G78" s="316" t="s">
        <v>161</v>
      </c>
      <c r="H78" s="436" t="str">
        <f t="shared" si="12"/>
        <v>L=70mm</v>
      </c>
      <c r="I78" s="445"/>
      <c r="J78" s="279" t="str">
        <f>H78</f>
        <v>L=70mm</v>
      </c>
      <c r="K78" s="33" t="s">
        <v>429</v>
      </c>
      <c r="L78" s="437"/>
      <c r="M78" s="437"/>
      <c r="N78" s="437"/>
      <c r="O78" s="438"/>
      <c r="T78" s="315" t="s">
        <v>935</v>
      </c>
      <c r="U78" s="310" t="b">
        <f>IF('Pos. 2'!AZ9="",FALSE,TRUE)</f>
        <v>0</v>
      </c>
      <c r="V78" s="486">
        <f t="shared" si="8"/>
        <v>1</v>
      </c>
      <c r="W78" s="502">
        <f>SUM(V78:V79)</f>
        <v>2</v>
      </c>
    </row>
    <row r="79" spans="2:23" ht="13.5" thickBot="1" x14ac:dyDescent="0.25">
      <c r="D79" s="280" t="s">
        <v>162</v>
      </c>
      <c r="E79" s="316" t="s">
        <v>162</v>
      </c>
      <c r="F79" s="316" t="s">
        <v>162</v>
      </c>
      <c r="G79" s="316" t="s">
        <v>162</v>
      </c>
      <c r="H79" s="436" t="str">
        <f t="shared" si="12"/>
        <v>L=100mm</v>
      </c>
      <c r="I79" s="445"/>
      <c r="J79" s="279" t="str">
        <f>H79</f>
        <v>L=100mm</v>
      </c>
      <c r="K79" s="507" t="str">
        <f>H65</f>
        <v>mit Verschlussraster (Druckknopf)</v>
      </c>
      <c r="L79" s="508"/>
      <c r="M79" s="509"/>
      <c r="N79" s="510" t="str">
        <f>IF(OR(C62=TRUE,C63=TRUE),K81,K79)</f>
        <v>mit Verschlussraster (Druckknopf)</v>
      </c>
      <c r="O79" s="511"/>
      <c r="T79" s="315" t="s">
        <v>936</v>
      </c>
      <c r="U79" s="310" t="b">
        <f>IF('Pos. 2'!AZ10="",FALSE,TRUE)</f>
        <v>0</v>
      </c>
      <c r="V79" s="486">
        <f t="shared" si="8"/>
        <v>1</v>
      </c>
    </row>
    <row r="80" spans="2:23" ht="13.5" thickBot="1" x14ac:dyDescent="0.25">
      <c r="B80" s="56" t="s">
        <v>604</v>
      </c>
      <c r="D80" s="280" t="s">
        <v>163</v>
      </c>
      <c r="E80" s="316" t="s">
        <v>263</v>
      </c>
      <c r="F80" s="316" t="s">
        <v>285</v>
      </c>
      <c r="G80" s="317" t="s">
        <v>298</v>
      </c>
      <c r="H80" s="436" t="str">
        <f t="shared" si="12"/>
        <v>ohne</v>
      </c>
      <c r="I80" s="445"/>
      <c r="J80" s="279" t="str">
        <f>H80</f>
        <v>ohne</v>
      </c>
      <c r="K80" s="512" t="str">
        <f>H67</f>
        <v>ohne Verschlussraster</v>
      </c>
      <c r="L80" s="513"/>
      <c r="M80" s="460"/>
      <c r="N80" s="514" t="str">
        <f>IF(OR(C62=TRUE,C63=TRUE),K82,K80)</f>
        <v>ohne Verschlussraster</v>
      </c>
      <c r="O80" s="450"/>
      <c r="U80" s="310"/>
      <c r="V80" s="486"/>
    </row>
    <row r="81" spans="1:22" ht="13.5" thickBot="1" x14ac:dyDescent="0.25">
      <c r="A81" s="515">
        <v>280</v>
      </c>
      <c r="B81" s="516" t="str">
        <f>""</f>
        <v/>
      </c>
      <c r="C81" s="517">
        <v>214</v>
      </c>
      <c r="D81" s="280" t="s">
        <v>164</v>
      </c>
      <c r="E81" s="316" t="s">
        <v>264</v>
      </c>
      <c r="F81" s="316" t="s">
        <v>286</v>
      </c>
      <c r="G81" s="317" t="s">
        <v>299</v>
      </c>
      <c r="H81" s="436" t="str">
        <f t="shared" si="12"/>
        <v>inklusive</v>
      </c>
      <c r="I81" s="445"/>
      <c r="J81" s="279" t="str">
        <f>H81</f>
        <v>inklusive</v>
      </c>
      <c r="K81" s="377" t="str">
        <f>H66</f>
        <v>mit Verschlussraster (Zylinder)</v>
      </c>
      <c r="L81" s="504"/>
      <c r="M81" s="378"/>
      <c r="N81" s="518"/>
      <c r="O81" s="455"/>
      <c r="U81" s="310"/>
      <c r="V81" s="486"/>
    </row>
    <row r="82" spans="1:22" x14ac:dyDescent="0.2">
      <c r="A82" s="519">
        <v>254</v>
      </c>
      <c r="B82" s="520">
        <v>85</v>
      </c>
      <c r="C82" s="521">
        <f>IF('Pos. 2'!$T$114='Sprachen &amp; Rückgabewerte(2)'!$J$146,130,144)</f>
        <v>144</v>
      </c>
      <c r="D82" s="280" t="s">
        <v>265</v>
      </c>
      <c r="E82" s="316" t="s">
        <v>266</v>
      </c>
      <c r="F82" s="316" t="s">
        <v>287</v>
      </c>
      <c r="G82" s="317" t="s">
        <v>266</v>
      </c>
      <c r="H82" s="436" t="str">
        <f t="shared" si="12"/>
        <v>Sockel 75</v>
      </c>
      <c r="I82" s="445"/>
      <c r="J82" s="279" t="str">
        <f>H82</f>
        <v>Sockel 75</v>
      </c>
      <c r="K82" s="279" t="str">
        <f>H161</f>
        <v>ohne Verschlussraster (Zylinder)</v>
      </c>
      <c r="U82" s="310"/>
      <c r="V82" s="486"/>
    </row>
    <row r="83" spans="1:22" ht="13.5" thickBot="1" x14ac:dyDescent="0.25">
      <c r="A83" s="519">
        <v>254</v>
      </c>
      <c r="B83" s="520">
        <v>105</v>
      </c>
      <c r="C83" s="521">
        <f>IF('Pos. 2'!$T$114='Sprachen &amp; Rückgabewerte(2)'!$J$146,158,172)</f>
        <v>172</v>
      </c>
      <c r="D83" s="280" t="s">
        <v>163</v>
      </c>
      <c r="E83" s="316" t="s">
        <v>263</v>
      </c>
      <c r="F83" s="316" t="s">
        <v>285</v>
      </c>
      <c r="G83" s="317" t="s">
        <v>298</v>
      </c>
      <c r="H83" s="436" t="str">
        <f t="shared" si="12"/>
        <v>ohne</v>
      </c>
      <c r="I83" s="445"/>
      <c r="S83" s="279" t="s">
        <v>934</v>
      </c>
      <c r="T83" s="314" t="s">
        <v>749</v>
      </c>
      <c r="U83" s="311" t="b">
        <f>IF(V83&gt;0,FALSE,TRUE)</f>
        <v>0</v>
      </c>
      <c r="V83" s="506">
        <f>SUM(V41:V82)</f>
        <v>20</v>
      </c>
    </row>
    <row r="84" spans="1:22" ht="13.5" thickBot="1" x14ac:dyDescent="0.25">
      <c r="A84" s="522">
        <v>228</v>
      </c>
      <c r="B84" s="523">
        <v>110</v>
      </c>
      <c r="C84" s="524">
        <f>IF('Pos. 2'!$T$114='Sprachen &amp; Rückgabewerte(2)'!$J$146,186,200)</f>
        <v>200</v>
      </c>
      <c r="D84" s="280" t="s">
        <v>165</v>
      </c>
      <c r="E84" s="316" t="s">
        <v>267</v>
      </c>
      <c r="F84" s="316" t="s">
        <v>288</v>
      </c>
      <c r="G84" s="317" t="s">
        <v>300</v>
      </c>
      <c r="H84" s="436" t="str">
        <f t="shared" si="12"/>
        <v>Rahmenzusammenbau:</v>
      </c>
      <c r="I84" s="445"/>
    </row>
    <row r="85" spans="1:22" x14ac:dyDescent="0.2">
      <c r="D85" s="280" t="s">
        <v>166</v>
      </c>
      <c r="E85" s="316" t="s">
        <v>268</v>
      </c>
      <c r="F85" s="316" t="s">
        <v>289</v>
      </c>
      <c r="G85" s="317" t="s">
        <v>301</v>
      </c>
      <c r="H85" s="436" t="str">
        <f t="shared" si="12"/>
        <v>Gehrungsstoss (A)</v>
      </c>
      <c r="I85" s="445"/>
      <c r="J85" s="279" t="str">
        <f>H85</f>
        <v>Gehrungsstoss (A)</v>
      </c>
      <c r="L85" s="542" t="s">
        <v>696</v>
      </c>
      <c r="M85" s="543"/>
    </row>
    <row r="86" spans="1:22" ht="13.5" thickBot="1" x14ac:dyDescent="0.25">
      <c r="D86" s="280" t="s">
        <v>322</v>
      </c>
      <c r="E86" s="316" t="s">
        <v>269</v>
      </c>
      <c r="F86" s="316" t="s">
        <v>290</v>
      </c>
      <c r="G86" s="317" t="s">
        <v>493</v>
      </c>
      <c r="H86" s="436" t="str">
        <f t="shared" si="12"/>
        <v>Montagestoss (B)</v>
      </c>
      <c r="I86" s="445"/>
      <c r="J86" s="279" t="str">
        <f>H86</f>
        <v>Montagestoss (B)</v>
      </c>
      <c r="L86" s="525"/>
      <c r="M86" s="446"/>
    </row>
    <row r="87" spans="1:22" x14ac:dyDescent="0.2">
      <c r="B87" s="540" t="s">
        <v>634</v>
      </c>
      <c r="C87" s="541"/>
      <c r="D87" s="280" t="s">
        <v>167</v>
      </c>
      <c r="E87" s="316" t="s">
        <v>270</v>
      </c>
      <c r="F87" s="316" t="s">
        <v>330</v>
      </c>
      <c r="G87" s="317" t="s">
        <v>302</v>
      </c>
      <c r="H87" s="436" t="str">
        <f t="shared" si="12"/>
        <v>Logistik:</v>
      </c>
      <c r="I87" s="445"/>
      <c r="L87" s="526">
        <v>1</v>
      </c>
      <c r="M87" s="317" t="str">
        <f>CONCATENATE($H$154," ",L87)</f>
        <v>Kalenderwoche 1</v>
      </c>
    </row>
    <row r="88" spans="1:22" x14ac:dyDescent="0.2">
      <c r="B88" s="329" t="s">
        <v>635</v>
      </c>
      <c r="C88" s="362">
        <f>IF(AND(I50=TRUE,'Pos. 2'!T104&lt;&gt;""),0,1)</f>
        <v>1</v>
      </c>
      <c r="D88" s="280" t="s">
        <v>323</v>
      </c>
      <c r="E88" s="316" t="s">
        <v>753</v>
      </c>
      <c r="F88" s="316" t="s">
        <v>324</v>
      </c>
      <c r="G88" s="317" t="s">
        <v>508</v>
      </c>
      <c r="H88" s="436" t="str">
        <f t="shared" si="12"/>
        <v>ohne Glas-Sortierung</v>
      </c>
      <c r="I88" s="445"/>
      <c r="J88" s="279" t="str">
        <f>H88</f>
        <v>ohne Glas-Sortierung</v>
      </c>
      <c r="L88" s="526">
        <v>2</v>
      </c>
      <c r="M88" s="317" t="str">
        <f t="shared" ref="M88:M138" si="14">CONCATENATE($H$154," ",L88)</f>
        <v>Kalenderwoche 2</v>
      </c>
    </row>
    <row r="89" spans="1:22" x14ac:dyDescent="0.2">
      <c r="B89" s="280" t="s">
        <v>636</v>
      </c>
      <c r="C89" s="461">
        <f>IF(AND(I50=TRUE,'Pos. 2'!T106&lt;&gt;""),0,1)</f>
        <v>1</v>
      </c>
      <c r="D89" s="280" t="s">
        <v>168</v>
      </c>
      <c r="E89" s="316" t="s">
        <v>325</v>
      </c>
      <c r="F89" s="316" t="s">
        <v>326</v>
      </c>
      <c r="G89" s="317" t="s">
        <v>509</v>
      </c>
      <c r="H89" s="436" t="str">
        <f>IF($B$3=$A$3,D89,IF($B$3=$A$4,E89,IF($B$3=$A$5,F89,IF($B$3=$A$6,$G$89,""))))</f>
        <v>nach Stockwerk:</v>
      </c>
      <c r="I89" s="445"/>
      <c r="J89" s="279" t="str">
        <f>H89</f>
        <v>nach Stockwerk:</v>
      </c>
      <c r="L89" s="526">
        <v>3</v>
      </c>
      <c r="M89" s="317" t="str">
        <f t="shared" si="14"/>
        <v>Kalenderwoche 3</v>
      </c>
    </row>
    <row r="90" spans="1:22" x14ac:dyDescent="0.2">
      <c r="B90" s="280" t="s">
        <v>637</v>
      </c>
      <c r="C90" s="461">
        <f>IF(AND(I50=TRUE,'Pos. 2'!T108&lt;&gt;""),0,1)</f>
        <v>1</v>
      </c>
      <c r="D90" s="280" t="s">
        <v>272</v>
      </c>
      <c r="E90" s="316" t="s">
        <v>271</v>
      </c>
      <c r="F90" s="316" t="s">
        <v>291</v>
      </c>
      <c r="G90" s="317" t="s">
        <v>357</v>
      </c>
      <c r="H90" s="436" t="str">
        <f>IF($B$3=$A$3,D90,IF($B$3=$A$4,E90,IF($B$3=$A$5,F90,IF($B$3=$A$6,G90,""))))</f>
        <v>Wunschtermin:</v>
      </c>
      <c r="I90" s="445"/>
      <c r="L90" s="526">
        <v>4</v>
      </c>
      <c r="M90" s="317" t="str">
        <f t="shared" si="14"/>
        <v>Kalenderwoche 4</v>
      </c>
    </row>
    <row r="91" spans="1:22" x14ac:dyDescent="0.2">
      <c r="B91" s="280" t="s">
        <v>638</v>
      </c>
      <c r="C91" s="461">
        <f>IF(AND(I50=TRUE,'Pos. 2'!T110&lt;&gt;""),0,1)</f>
        <v>1</v>
      </c>
      <c r="D91" s="280" t="s">
        <v>373</v>
      </c>
      <c r="E91" s="316" t="s">
        <v>273</v>
      </c>
      <c r="F91" s="316" t="s">
        <v>374</v>
      </c>
      <c r="G91" s="317" t="s">
        <v>375</v>
      </c>
      <c r="H91" s="436" t="str">
        <f t="shared" ref="H91:H111" si="15">IF($B$3=$A$3,D91,IF($B$3=$A$4,E91,IF($B$3=$A$5,F91,IF($B$3=$A$6,G91,""))))</f>
        <v>Farbe Laufschiene + Schraubenarretierungen:</v>
      </c>
      <c r="I91" s="445"/>
      <c r="L91" s="526">
        <v>5</v>
      </c>
      <c r="M91" s="317" t="str">
        <f t="shared" si="14"/>
        <v>Kalenderwoche 5</v>
      </c>
    </row>
    <row r="92" spans="1:22" x14ac:dyDescent="0.2">
      <c r="B92" s="280" t="s">
        <v>639</v>
      </c>
      <c r="C92" s="461">
        <f>IF(AND(I50=TRUE,'Pos. 2'!T112&lt;&gt;""),0,1)</f>
        <v>1</v>
      </c>
      <c r="D92" s="280" t="s">
        <v>421</v>
      </c>
      <c r="E92" s="316" t="s">
        <v>422</v>
      </c>
      <c r="F92" s="316" t="s">
        <v>423</v>
      </c>
      <c r="G92" s="317" t="s">
        <v>424</v>
      </c>
      <c r="H92" s="436" t="str">
        <f t="shared" si="15"/>
        <v>Silber</v>
      </c>
      <c r="I92" s="445"/>
      <c r="J92" s="279" t="str">
        <f>H92</f>
        <v>Silber</v>
      </c>
      <c r="L92" s="526">
        <v>6</v>
      </c>
      <c r="M92" s="317" t="str">
        <f t="shared" si="14"/>
        <v>Kalenderwoche 6</v>
      </c>
    </row>
    <row r="93" spans="1:22" x14ac:dyDescent="0.2">
      <c r="B93" s="280" t="s">
        <v>640</v>
      </c>
      <c r="C93" s="461">
        <f>IF(AND(I50=TRUE,'Pos. 2'!T114&lt;&gt;""),0,1)</f>
        <v>1</v>
      </c>
      <c r="D93" s="280" t="s">
        <v>169</v>
      </c>
      <c r="E93" s="316" t="s">
        <v>274</v>
      </c>
      <c r="F93" s="316" t="s">
        <v>292</v>
      </c>
      <c r="G93" s="317" t="s">
        <v>303</v>
      </c>
      <c r="H93" s="436" t="str">
        <f t="shared" si="15"/>
        <v>Schwarz</v>
      </c>
      <c r="I93" s="445"/>
      <c r="J93" s="279" t="str">
        <f>H93</f>
        <v>Schwarz</v>
      </c>
      <c r="L93" s="526">
        <v>7</v>
      </c>
      <c r="M93" s="317" t="str">
        <f t="shared" si="14"/>
        <v>Kalenderwoche 7</v>
      </c>
      <c r="N93" s="527"/>
    </row>
    <row r="94" spans="1:22" x14ac:dyDescent="0.2">
      <c r="B94" s="280"/>
      <c r="C94" s="317"/>
      <c r="D94" s="280" t="s">
        <v>367</v>
      </c>
      <c r="E94" s="316" t="s">
        <v>578</v>
      </c>
      <c r="F94" s="316" t="s">
        <v>366</v>
      </c>
      <c r="G94" s="317" t="s">
        <v>368</v>
      </c>
      <c r="H94" s="436" t="str">
        <f t="shared" si="15"/>
        <v>Druckausgleichsventile :</v>
      </c>
      <c r="I94" s="445"/>
      <c r="L94" s="526">
        <v>8</v>
      </c>
      <c r="M94" s="317" t="str">
        <f t="shared" si="14"/>
        <v>Kalenderwoche 8</v>
      </c>
    </row>
    <row r="95" spans="1:22" ht="13.5" thickBot="1" x14ac:dyDescent="0.25">
      <c r="B95" s="225" t="s">
        <v>641</v>
      </c>
      <c r="C95" s="226">
        <f>SUM(C88:C93)</f>
        <v>6</v>
      </c>
      <c r="D95" s="280" t="s">
        <v>170</v>
      </c>
      <c r="E95" s="316" t="s">
        <v>175</v>
      </c>
      <c r="F95" s="316" t="s">
        <v>313</v>
      </c>
      <c r="G95" s="317" t="s">
        <v>304</v>
      </c>
      <c r="H95" s="436" t="str">
        <f t="shared" si="15"/>
        <v>Ja</v>
      </c>
      <c r="I95" s="445"/>
      <c r="J95" s="279" t="str">
        <f>H95</f>
        <v>Ja</v>
      </c>
      <c r="L95" s="526">
        <v>9</v>
      </c>
      <c r="M95" s="317" t="str">
        <f t="shared" si="14"/>
        <v>Kalenderwoche 9</v>
      </c>
    </row>
    <row r="96" spans="1:22" x14ac:dyDescent="0.2">
      <c r="D96" s="280" t="s">
        <v>171</v>
      </c>
      <c r="E96" s="316" t="s">
        <v>176</v>
      </c>
      <c r="F96" s="316" t="s">
        <v>798</v>
      </c>
      <c r="G96" s="317" t="s">
        <v>176</v>
      </c>
      <c r="H96" s="436" t="str">
        <f t="shared" si="15"/>
        <v>Nein</v>
      </c>
      <c r="I96" s="445"/>
      <c r="J96" s="279" t="str">
        <f>H96</f>
        <v>Nein</v>
      </c>
      <c r="L96" s="526">
        <v>10</v>
      </c>
      <c r="M96" s="317" t="str">
        <f t="shared" si="14"/>
        <v>Kalenderwoche 10</v>
      </c>
    </row>
    <row r="97" spans="4:14" x14ac:dyDescent="0.2">
      <c r="D97" s="280" t="s">
        <v>172</v>
      </c>
      <c r="E97" s="316" t="s">
        <v>177</v>
      </c>
      <c r="F97" s="316" t="s">
        <v>314</v>
      </c>
      <c r="G97" s="317" t="s">
        <v>305</v>
      </c>
      <c r="H97" s="436" t="str">
        <f t="shared" si="15"/>
        <v>Digitale Unterschrift:</v>
      </c>
      <c r="I97" s="445"/>
      <c r="L97" s="526">
        <v>11</v>
      </c>
      <c r="M97" s="317" t="str">
        <f t="shared" si="14"/>
        <v>Kalenderwoche 11</v>
      </c>
    </row>
    <row r="98" spans="4:14" x14ac:dyDescent="0.2">
      <c r="D98" s="280" t="s">
        <v>174</v>
      </c>
      <c r="E98" s="316" t="s">
        <v>275</v>
      </c>
      <c r="F98" s="316" t="s">
        <v>315</v>
      </c>
      <c r="G98" s="317" t="s">
        <v>358</v>
      </c>
      <c r="H98" s="436" t="str">
        <f t="shared" si="15"/>
        <v>Bestellung an:</v>
      </c>
      <c r="I98" s="445"/>
      <c r="L98" s="526">
        <v>12</v>
      </c>
      <c r="M98" s="317" t="str">
        <f t="shared" si="14"/>
        <v>Kalenderwoche 12</v>
      </c>
    </row>
    <row r="99" spans="4:14" x14ac:dyDescent="0.2">
      <c r="D99" s="280" t="s">
        <v>173</v>
      </c>
      <c r="E99" s="316" t="s">
        <v>173</v>
      </c>
      <c r="F99" s="316" t="s">
        <v>173</v>
      </c>
      <c r="G99" s="317" t="s">
        <v>173</v>
      </c>
      <c r="H99" s="436" t="str">
        <f t="shared" si="15"/>
        <v>orders@sky-frame.ch</v>
      </c>
      <c r="I99" s="445"/>
      <c r="L99" s="526">
        <v>13</v>
      </c>
      <c r="M99" s="317" t="str">
        <f t="shared" si="14"/>
        <v>Kalenderwoche 13</v>
      </c>
    </row>
    <row r="100" spans="4:14" x14ac:dyDescent="0.2">
      <c r="D100" s="280"/>
      <c r="E100" s="316"/>
      <c r="F100" s="316"/>
      <c r="G100" s="317"/>
      <c r="H100" s="436">
        <f t="shared" si="15"/>
        <v>0</v>
      </c>
      <c r="I100" s="445"/>
      <c r="L100" s="526">
        <v>14</v>
      </c>
      <c r="M100" s="317" t="str">
        <f t="shared" si="14"/>
        <v>Kalenderwoche 14</v>
      </c>
    </row>
    <row r="101" spans="4:14" x14ac:dyDescent="0.2">
      <c r="D101" s="280"/>
      <c r="E101" s="316"/>
      <c r="F101" s="316"/>
      <c r="G101" s="317"/>
      <c r="H101" s="436">
        <f t="shared" si="15"/>
        <v>0</v>
      </c>
      <c r="I101" s="445"/>
      <c r="L101" s="526">
        <v>15</v>
      </c>
      <c r="M101" s="317" t="str">
        <f t="shared" si="14"/>
        <v>Kalenderwoche 15</v>
      </c>
    </row>
    <row r="102" spans="4:14" ht="51" x14ac:dyDescent="0.2">
      <c r="D102" s="334" t="s">
        <v>496</v>
      </c>
      <c r="E102" s="494" t="s">
        <v>276</v>
      </c>
      <c r="F102" s="494" t="s">
        <v>734</v>
      </c>
      <c r="G102" s="495" t="s">
        <v>417</v>
      </c>
      <c r="H102" s="528" t="str">
        <f t="shared" si="15"/>
        <v>Diese Bestellung ist verbindlich und muss komplett ausgefüllt werden. Änderungen werden als Mehraufwand verrechnet.</v>
      </c>
      <c r="I102" s="445"/>
      <c r="L102" s="526">
        <v>16</v>
      </c>
      <c r="M102" s="317" t="str">
        <f t="shared" si="14"/>
        <v>Kalenderwoche 16</v>
      </c>
    </row>
    <row r="103" spans="4:14" ht="12.75" customHeight="1" x14ac:dyDescent="0.2">
      <c r="D103" s="334"/>
      <c r="E103" s="316"/>
      <c r="F103" s="316"/>
      <c r="G103" s="317"/>
      <c r="H103" s="436"/>
      <c r="I103" s="445"/>
      <c r="L103" s="526">
        <v>17</v>
      </c>
      <c r="M103" s="317" t="str">
        <f t="shared" si="14"/>
        <v>Kalenderwoche 17</v>
      </c>
      <c r="N103" s="527"/>
    </row>
    <row r="104" spans="4:14" ht="12.75" customHeight="1" x14ac:dyDescent="0.2">
      <c r="D104" s="280" t="s">
        <v>212</v>
      </c>
      <c r="E104" s="316" t="s">
        <v>741</v>
      </c>
      <c r="F104" s="316" t="s">
        <v>316</v>
      </c>
      <c r="G104" s="317" t="s">
        <v>359</v>
      </c>
      <c r="H104" s="436" t="str">
        <f t="shared" si="15"/>
        <v>A-Ecke 90°</v>
      </c>
      <c r="I104" s="445"/>
      <c r="L104" s="526">
        <v>18</v>
      </c>
      <c r="M104" s="317" t="str">
        <f t="shared" si="14"/>
        <v>Kalenderwoche 18</v>
      </c>
    </row>
    <row r="105" spans="4:14" ht="12.75" customHeight="1" x14ac:dyDescent="0.2">
      <c r="D105" s="280" t="s">
        <v>213</v>
      </c>
      <c r="E105" s="316" t="s">
        <v>740</v>
      </c>
      <c r="F105" s="316" t="s">
        <v>447</v>
      </c>
      <c r="G105" s="317" t="s">
        <v>360</v>
      </c>
      <c r="H105" s="436" t="str">
        <f t="shared" si="15"/>
        <v>I-Ecke 90°</v>
      </c>
      <c r="I105" s="445"/>
      <c r="L105" s="526">
        <v>19</v>
      </c>
      <c r="M105" s="317" t="str">
        <f t="shared" si="14"/>
        <v>Kalenderwoche 19</v>
      </c>
    </row>
    <row r="106" spans="4:14" ht="12.75" customHeight="1" x14ac:dyDescent="0.2">
      <c r="D106" s="280" t="s">
        <v>215</v>
      </c>
      <c r="E106" s="316" t="s">
        <v>739</v>
      </c>
      <c r="F106" s="316" t="s">
        <v>317</v>
      </c>
      <c r="G106" s="317" t="s">
        <v>361</v>
      </c>
      <c r="H106" s="436" t="str">
        <f t="shared" si="15"/>
        <v>A-Ecke≠90°</v>
      </c>
      <c r="I106" s="445"/>
      <c r="L106" s="526">
        <v>20</v>
      </c>
      <c r="M106" s="317" t="str">
        <f t="shared" si="14"/>
        <v>Kalenderwoche 20</v>
      </c>
    </row>
    <row r="107" spans="4:14" ht="12.75" customHeight="1" x14ac:dyDescent="0.2">
      <c r="D107" s="280" t="s">
        <v>216</v>
      </c>
      <c r="E107" s="316" t="s">
        <v>738</v>
      </c>
      <c r="F107" s="316" t="s">
        <v>448</v>
      </c>
      <c r="G107" s="317" t="s">
        <v>362</v>
      </c>
      <c r="H107" s="436" t="str">
        <f t="shared" si="15"/>
        <v>I-Ecke≠90°</v>
      </c>
      <c r="I107" s="445"/>
      <c r="L107" s="526">
        <v>21</v>
      </c>
      <c r="M107" s="317" t="str">
        <f t="shared" si="14"/>
        <v>Kalenderwoche 21</v>
      </c>
    </row>
    <row r="108" spans="4:14" ht="12.75" customHeight="1" x14ac:dyDescent="0.2">
      <c r="D108" s="280" t="s">
        <v>434</v>
      </c>
      <c r="E108" s="316" t="s">
        <v>435</v>
      </c>
      <c r="F108" s="316" t="s">
        <v>436</v>
      </c>
      <c r="G108" s="317" t="s">
        <v>437</v>
      </c>
      <c r="H108" s="436" t="str">
        <f t="shared" si="15"/>
        <v>Wert:</v>
      </c>
      <c r="I108" s="445"/>
      <c r="L108" s="526">
        <v>22</v>
      </c>
      <c r="M108" s="317" t="str">
        <f t="shared" si="14"/>
        <v>Kalenderwoche 22</v>
      </c>
    </row>
    <row r="109" spans="4:14" ht="12.75" customHeight="1" x14ac:dyDescent="0.2">
      <c r="D109" s="280" t="s">
        <v>278</v>
      </c>
      <c r="E109" s="316" t="s">
        <v>277</v>
      </c>
      <c r="F109" s="316" t="s">
        <v>318</v>
      </c>
      <c r="G109" s="316" t="s">
        <v>363</v>
      </c>
      <c r="H109" s="436" t="str">
        <f t="shared" si="15"/>
        <v>Bitte auswählen:</v>
      </c>
      <c r="I109" s="445"/>
      <c r="L109" s="526">
        <v>23</v>
      </c>
      <c r="M109" s="317" t="str">
        <f t="shared" si="14"/>
        <v>Kalenderwoche 23</v>
      </c>
    </row>
    <row r="110" spans="4:14" ht="12.75" customHeight="1" x14ac:dyDescent="0.2">
      <c r="D110" s="280" t="s">
        <v>338</v>
      </c>
      <c r="E110" s="316" t="s">
        <v>338</v>
      </c>
      <c r="F110" s="316" t="s">
        <v>338</v>
      </c>
      <c r="G110" s="316" t="s">
        <v>338</v>
      </c>
      <c r="H110" s="436" t="str">
        <f t="shared" si="15"/>
        <v>KABA (22)</v>
      </c>
      <c r="I110" s="445" t="b">
        <v>0</v>
      </c>
      <c r="L110" s="526">
        <v>24</v>
      </c>
      <c r="M110" s="317" t="str">
        <f t="shared" si="14"/>
        <v>Kalenderwoche 24</v>
      </c>
    </row>
    <row r="111" spans="4:14" ht="12.75" customHeight="1" x14ac:dyDescent="0.2">
      <c r="D111" s="280" t="s">
        <v>339</v>
      </c>
      <c r="E111" s="316" t="s">
        <v>339</v>
      </c>
      <c r="F111" s="316" t="s">
        <v>339</v>
      </c>
      <c r="G111" s="317" t="s">
        <v>339</v>
      </c>
      <c r="H111" s="436" t="str">
        <f t="shared" si="15"/>
        <v>PZ / Euro (17)</v>
      </c>
      <c r="I111" s="445" t="b">
        <v>0</v>
      </c>
      <c r="L111" s="526">
        <v>25</v>
      </c>
      <c r="M111" s="317" t="str">
        <f t="shared" si="14"/>
        <v>Kalenderwoche 25</v>
      </c>
    </row>
    <row r="112" spans="4:14" x14ac:dyDescent="0.2">
      <c r="D112" s="280" t="s">
        <v>379</v>
      </c>
      <c r="E112" s="316" t="s">
        <v>380</v>
      </c>
      <c r="F112" s="316" t="s">
        <v>381</v>
      </c>
      <c r="G112" s="317" t="s">
        <v>382</v>
      </c>
      <c r="H112" s="436" t="str">
        <f>IF($B$3=$A$3,D112,IF($B$3=$A$4,E112,IF($B$3=$A$5,F112,IF($B$3=$A$6,G112,""))))</f>
        <v>mit CFK</v>
      </c>
      <c r="I112" s="445"/>
      <c r="L112" s="526">
        <v>26</v>
      </c>
      <c r="M112" s="317" t="str">
        <f t="shared" si="14"/>
        <v>Kalenderwoche 26</v>
      </c>
    </row>
    <row r="113" spans="4:14" x14ac:dyDescent="0.2">
      <c r="D113" s="280" t="s">
        <v>383</v>
      </c>
      <c r="E113" s="316" t="s">
        <v>384</v>
      </c>
      <c r="F113" s="316" t="s">
        <v>385</v>
      </c>
      <c r="G113" s="317" t="s">
        <v>386</v>
      </c>
      <c r="H113" s="436" t="str">
        <f>IF($B$3=$A$3,D113,IF($B$3=$A$4,E113,IF($B$3=$A$5,F113,IF($B$3=$A$6,G113,""))))</f>
        <v>ohne CFK</v>
      </c>
      <c r="I113" s="445"/>
      <c r="L113" s="526">
        <v>27</v>
      </c>
      <c r="M113" s="317" t="str">
        <f t="shared" si="14"/>
        <v>Kalenderwoche 27</v>
      </c>
      <c r="N113" s="527"/>
    </row>
    <row r="114" spans="4:14" x14ac:dyDescent="0.2">
      <c r="D114" s="280" t="s">
        <v>387</v>
      </c>
      <c r="E114" s="316" t="s">
        <v>389</v>
      </c>
      <c r="F114" s="316" t="s">
        <v>391</v>
      </c>
      <c r="G114" s="317" t="s">
        <v>425</v>
      </c>
      <c r="H114" s="436" t="str">
        <f>IF($B$3=$A$3,D114,IF($B$3=$A$4,E114,IF($B$3=$A$5,F114,IF($B$3=$A$6,G114,""))))</f>
        <v>mit Stahl</v>
      </c>
      <c r="I114" s="445"/>
      <c r="L114" s="526">
        <v>28</v>
      </c>
      <c r="M114" s="317" t="str">
        <f t="shared" si="14"/>
        <v>Kalenderwoche 28</v>
      </c>
    </row>
    <row r="115" spans="4:14" x14ac:dyDescent="0.2">
      <c r="D115" s="280" t="s">
        <v>388</v>
      </c>
      <c r="E115" s="316" t="s">
        <v>390</v>
      </c>
      <c r="F115" s="316" t="s">
        <v>392</v>
      </c>
      <c r="G115" s="317" t="s">
        <v>426</v>
      </c>
      <c r="H115" s="436" t="str">
        <f>IF($B$3=$A$3,D115,IF($B$3=$A$4,E115,IF($B$3=$A$5,F115,IF($B$3=$A$6,G115,""))))</f>
        <v>ohne Stahl</v>
      </c>
      <c r="I115" s="445"/>
      <c r="L115" s="526">
        <v>29</v>
      </c>
      <c r="M115" s="317" t="str">
        <f t="shared" si="14"/>
        <v>Kalenderwoche 29</v>
      </c>
    </row>
    <row r="116" spans="4:14" x14ac:dyDescent="0.2">
      <c r="D116" s="280" t="s">
        <v>395</v>
      </c>
      <c r="E116" s="316" t="s">
        <v>398</v>
      </c>
      <c r="F116" s="316" t="s">
        <v>400</v>
      </c>
      <c r="G116" s="317" t="s">
        <v>403</v>
      </c>
      <c r="H116" s="436" t="str">
        <f>IF($B$3=$A$3,D116,IF($B$3=$A$4,E116,IF($B$3=$A$5,F116,IF($B$3=$A$6,G116,""))))</f>
        <v>Ganzglas-Ecke</v>
      </c>
      <c r="I116" s="445"/>
      <c r="L116" s="526">
        <v>30</v>
      </c>
      <c r="M116" s="317" t="str">
        <f t="shared" si="14"/>
        <v>Kalenderwoche 30</v>
      </c>
    </row>
    <row r="117" spans="4:14" x14ac:dyDescent="0.2">
      <c r="D117" s="280" t="s">
        <v>396</v>
      </c>
      <c r="E117" s="316" t="s">
        <v>737</v>
      </c>
      <c r="F117" s="316" t="s">
        <v>401</v>
      </c>
      <c r="G117" s="317" t="s">
        <v>404</v>
      </c>
      <c r="H117" s="436" t="str">
        <f t="shared" ref="H117:H180" si="16">IF($B$3=$A$3,D117,IF($B$3=$A$4,E117,IF($B$3=$A$5,F117,IF($B$3=$A$6,G117,""))))</f>
        <v>Ecke RC2 (WK2)</v>
      </c>
      <c r="I117" s="445"/>
      <c r="L117" s="526">
        <v>31</v>
      </c>
      <c r="M117" s="317" t="str">
        <f t="shared" si="14"/>
        <v>Kalenderwoche 31</v>
      </c>
    </row>
    <row r="118" spans="4:14" x14ac:dyDescent="0.2">
      <c r="D118" s="280" t="s">
        <v>397</v>
      </c>
      <c r="E118" s="316" t="s">
        <v>399</v>
      </c>
      <c r="F118" s="316" t="s">
        <v>402</v>
      </c>
      <c r="G118" s="317" t="s">
        <v>405</v>
      </c>
      <c r="H118" s="436" t="str">
        <f t="shared" si="16"/>
        <v>Standard (RC2 in Anlehnung)</v>
      </c>
      <c r="I118" s="445"/>
      <c r="L118" s="526">
        <v>32</v>
      </c>
      <c r="M118" s="317" t="str">
        <f t="shared" si="14"/>
        <v>Kalenderwoche 32</v>
      </c>
    </row>
    <row r="119" spans="4:14" x14ac:dyDescent="0.2">
      <c r="D119" s="280" t="s">
        <v>968</v>
      </c>
      <c r="E119" s="316" t="s">
        <v>969</v>
      </c>
      <c r="F119" s="316" t="s">
        <v>970</v>
      </c>
      <c r="G119" s="317" t="s">
        <v>971</v>
      </c>
      <c r="H119" s="436" t="str">
        <f t="shared" si="16"/>
        <v>RC2 mit Blech</v>
      </c>
      <c r="I119" s="445"/>
      <c r="L119" s="526">
        <v>33</v>
      </c>
      <c r="M119" s="317" t="str">
        <f t="shared" si="14"/>
        <v>Kalenderwoche 33</v>
      </c>
    </row>
    <row r="120" spans="4:14" x14ac:dyDescent="0.2">
      <c r="D120" s="280" t="s">
        <v>408</v>
      </c>
      <c r="E120" s="316" t="s">
        <v>411</v>
      </c>
      <c r="F120" s="316" t="s">
        <v>412</v>
      </c>
      <c r="G120" s="317" t="s">
        <v>414</v>
      </c>
      <c r="H120" s="436" t="str">
        <f t="shared" si="16"/>
        <v>mit AL.</v>
      </c>
      <c r="I120" s="445"/>
      <c r="L120" s="526">
        <v>34</v>
      </c>
      <c r="M120" s="317" t="str">
        <f t="shared" si="14"/>
        <v>Kalenderwoche 34</v>
      </c>
    </row>
    <row r="121" spans="4:14" x14ac:dyDescent="0.2">
      <c r="D121" s="280" t="s">
        <v>409</v>
      </c>
      <c r="E121" s="316" t="s">
        <v>410</v>
      </c>
      <c r="F121" s="316" t="s">
        <v>413</v>
      </c>
      <c r="G121" s="317" t="s">
        <v>415</v>
      </c>
      <c r="H121" s="436" t="str">
        <f t="shared" si="16"/>
        <v>ohne AL.</v>
      </c>
      <c r="I121" s="445"/>
      <c r="L121" s="526">
        <v>35</v>
      </c>
      <c r="M121" s="317" t="str">
        <f t="shared" si="14"/>
        <v>Kalenderwoche 35</v>
      </c>
    </row>
    <row r="122" spans="4:14" x14ac:dyDescent="0.2">
      <c r="D122" s="280" t="s">
        <v>837</v>
      </c>
      <c r="E122" s="316" t="s">
        <v>839</v>
      </c>
      <c r="F122" s="316" t="s">
        <v>841</v>
      </c>
      <c r="G122" s="317" t="s">
        <v>843</v>
      </c>
      <c r="H122" s="436" t="str">
        <f t="shared" si="16"/>
        <v>mit Stahl (&gt;2.5m)</v>
      </c>
      <c r="I122" s="445"/>
      <c r="L122" s="526">
        <v>36</v>
      </c>
      <c r="M122" s="317" t="str">
        <f t="shared" si="14"/>
        <v>Kalenderwoche 36</v>
      </c>
    </row>
    <row r="123" spans="4:14" x14ac:dyDescent="0.2">
      <c r="D123" s="280" t="s">
        <v>838</v>
      </c>
      <c r="E123" s="316" t="s">
        <v>840</v>
      </c>
      <c r="F123" s="316" t="s">
        <v>842</v>
      </c>
      <c r="G123" s="317" t="s">
        <v>844</v>
      </c>
      <c r="H123" s="436" t="str">
        <f t="shared" si="16"/>
        <v>ohne Stahl (&lt;2.5m)</v>
      </c>
      <c r="I123" s="445"/>
      <c r="L123" s="526">
        <v>37</v>
      </c>
      <c r="M123" s="317" t="str">
        <f t="shared" si="14"/>
        <v>Kalenderwoche 37</v>
      </c>
    </row>
    <row r="124" spans="4:14" x14ac:dyDescent="0.2">
      <c r="D124" s="280" t="s">
        <v>418</v>
      </c>
      <c r="E124" s="316" t="s">
        <v>736</v>
      </c>
      <c r="F124" s="316" t="s">
        <v>419</v>
      </c>
      <c r="G124" s="317" t="s">
        <v>420</v>
      </c>
      <c r="H124" s="436" t="str">
        <f t="shared" si="16"/>
        <v>Ecke:</v>
      </c>
      <c r="I124" s="445"/>
      <c r="L124" s="526">
        <v>38</v>
      </c>
      <c r="M124" s="317" t="str">
        <f t="shared" si="14"/>
        <v>Kalenderwoche 38</v>
      </c>
    </row>
    <row r="125" spans="4:14" x14ac:dyDescent="0.2">
      <c r="D125" s="280" t="s">
        <v>442</v>
      </c>
      <c r="E125" s="316" t="s">
        <v>442</v>
      </c>
      <c r="F125" s="316" t="s">
        <v>442</v>
      </c>
      <c r="G125" s="317" t="s">
        <v>442</v>
      </c>
      <c r="H125" s="436" t="str">
        <f t="shared" si="16"/>
        <v>NFRC (USA)</v>
      </c>
      <c r="I125" s="445" t="b">
        <v>0</v>
      </c>
      <c r="L125" s="526">
        <v>39</v>
      </c>
      <c r="M125" s="317" t="str">
        <f t="shared" si="14"/>
        <v>Kalenderwoche 39</v>
      </c>
    </row>
    <row r="126" spans="4:14" x14ac:dyDescent="0.2">
      <c r="D126" s="280" t="s">
        <v>453</v>
      </c>
      <c r="E126" s="316" t="s">
        <v>487</v>
      </c>
      <c r="F126" s="316" t="s">
        <v>490</v>
      </c>
      <c r="G126" s="317" t="s">
        <v>474</v>
      </c>
      <c r="H126" s="436" t="str">
        <f t="shared" si="16"/>
        <v>Bestellung vollständig ausfüllen.</v>
      </c>
      <c r="I126" s="445"/>
      <c r="L126" s="526">
        <v>40</v>
      </c>
      <c r="M126" s="317" t="str">
        <f t="shared" si="14"/>
        <v>Kalenderwoche 40</v>
      </c>
    </row>
    <row r="127" spans="4:14" x14ac:dyDescent="0.2">
      <c r="D127" s="280" t="s">
        <v>468</v>
      </c>
      <c r="E127" s="316" t="s">
        <v>488</v>
      </c>
      <c r="F127" s="316" t="s">
        <v>492</v>
      </c>
      <c r="G127" s="317" t="s">
        <v>475</v>
      </c>
      <c r="H127" s="436" t="str">
        <f t="shared" si="16"/>
        <v>Überprüfen ob keine roten Rahmen aufleuchten.</v>
      </c>
      <c r="I127" s="445"/>
      <c r="L127" s="526">
        <v>41</v>
      </c>
      <c r="M127" s="317" t="str">
        <f t="shared" si="14"/>
        <v>Kalenderwoche 41</v>
      </c>
    </row>
    <row r="128" spans="4:14" x14ac:dyDescent="0.2">
      <c r="D128" s="280" t="s">
        <v>469</v>
      </c>
      <c r="E128" s="316" t="s">
        <v>489</v>
      </c>
      <c r="F128" s="316" t="s">
        <v>491</v>
      </c>
      <c r="G128" s="317" t="s">
        <v>476</v>
      </c>
      <c r="H128" s="436" t="str">
        <f t="shared" si="16"/>
        <v>Bestellung senden an:</v>
      </c>
      <c r="I128" s="445"/>
      <c r="L128" s="526">
        <v>42</v>
      </c>
      <c r="M128" s="317" t="str">
        <f t="shared" si="14"/>
        <v>Kalenderwoche 42</v>
      </c>
    </row>
    <row r="129" spans="4:13" x14ac:dyDescent="0.2">
      <c r="D129" s="280" t="s">
        <v>467</v>
      </c>
      <c r="E129" s="316" t="s">
        <v>486</v>
      </c>
      <c r="F129" s="316" t="s">
        <v>486</v>
      </c>
      <c r="G129" s="317" t="s">
        <v>473</v>
      </c>
      <c r="H129" s="436" t="str">
        <f t="shared" si="16"/>
        <v>Anleitung:</v>
      </c>
      <c r="I129" s="445"/>
      <c r="L129" s="526">
        <v>43</v>
      </c>
      <c r="M129" s="317" t="str">
        <f t="shared" si="14"/>
        <v>Kalenderwoche 43</v>
      </c>
    </row>
    <row r="130" spans="4:13" x14ac:dyDescent="0.2">
      <c r="D130" s="280" t="s">
        <v>498</v>
      </c>
      <c r="E130" s="316" t="s">
        <v>497</v>
      </c>
      <c r="F130" s="316" t="s">
        <v>503</v>
      </c>
      <c r="G130" s="317" t="s">
        <v>685</v>
      </c>
      <c r="H130" s="436" t="str">
        <f t="shared" si="16"/>
        <v>Vertriebspartner:</v>
      </c>
      <c r="I130" s="445"/>
      <c r="L130" s="526">
        <v>44</v>
      </c>
      <c r="M130" s="317" t="str">
        <f t="shared" si="14"/>
        <v>Kalenderwoche 44</v>
      </c>
    </row>
    <row r="131" spans="4:13" x14ac:dyDescent="0.2">
      <c r="D131" s="280" t="s">
        <v>495</v>
      </c>
      <c r="E131" s="316" t="s">
        <v>505</v>
      </c>
      <c r="F131" s="316" t="s">
        <v>504</v>
      </c>
      <c r="G131" s="317" t="s">
        <v>507</v>
      </c>
      <c r="H131" s="436" t="str">
        <f t="shared" si="16"/>
        <v>Bemerkungen:</v>
      </c>
      <c r="I131" s="445"/>
      <c r="L131" s="526">
        <v>45</v>
      </c>
      <c r="M131" s="317" t="str">
        <f t="shared" si="14"/>
        <v>Kalenderwoche 45</v>
      </c>
    </row>
    <row r="132" spans="4:13" x14ac:dyDescent="0.2">
      <c r="D132" s="280" t="s">
        <v>511</v>
      </c>
      <c r="E132" s="316" t="s">
        <v>515</v>
      </c>
      <c r="F132" s="316" t="s">
        <v>516</v>
      </c>
      <c r="G132" s="317" t="s">
        <v>517</v>
      </c>
      <c r="H132" s="436" t="str">
        <f>IF($B$3=$A$3,D132,IF($B$3=$A$4,E132,IF($B$3=$A$5,F132,IF($B$3=$A$6,G132,""))))</f>
        <v>Öffnung angeben →</v>
      </c>
      <c r="I132" s="445"/>
      <c r="L132" s="526">
        <v>46</v>
      </c>
      <c r="M132" s="317" t="str">
        <f t="shared" si="14"/>
        <v>Kalenderwoche 46</v>
      </c>
    </row>
    <row r="133" spans="4:13" x14ac:dyDescent="0.2">
      <c r="D133" s="280" t="s">
        <v>567</v>
      </c>
      <c r="E133" s="316" t="s">
        <v>568</v>
      </c>
      <c r="F133" s="316" t="s">
        <v>570</v>
      </c>
      <c r="G133" s="317" t="s">
        <v>569</v>
      </c>
      <c r="H133" s="436" t="str">
        <f t="shared" si="16"/>
        <v>5-gleisig</v>
      </c>
      <c r="I133" s="445" t="b">
        <f>IF(AND(I12=TRUE,'Pos. 2'!AT5=1),TRUE,FALSE)</f>
        <v>0</v>
      </c>
      <c r="L133" s="526">
        <v>47</v>
      </c>
      <c r="M133" s="317" t="str">
        <f t="shared" si="14"/>
        <v>Kalenderwoche 47</v>
      </c>
    </row>
    <row r="134" spans="4:13" x14ac:dyDescent="0.2">
      <c r="D134" s="512" t="s">
        <v>572</v>
      </c>
      <c r="E134" s="316" t="s">
        <v>572</v>
      </c>
      <c r="F134" s="316" t="s">
        <v>572</v>
      </c>
      <c r="G134" s="317" t="s">
        <v>572</v>
      </c>
      <c r="H134" s="436" t="str">
        <f t="shared" si="16"/>
        <v>Features</v>
      </c>
      <c r="I134" s="445"/>
      <c r="J134" s="279" t="str">
        <f>H159</f>
        <v>Keine</v>
      </c>
      <c r="L134" s="526">
        <v>48</v>
      </c>
      <c r="M134" s="317" t="str">
        <f t="shared" si="14"/>
        <v>Kalenderwoche 48</v>
      </c>
    </row>
    <row r="135" spans="4:13" x14ac:dyDescent="0.2">
      <c r="D135" s="280" t="s">
        <v>586</v>
      </c>
      <c r="E135" s="316" t="s">
        <v>588</v>
      </c>
      <c r="F135" s="316" t="s">
        <v>589</v>
      </c>
      <c r="G135" s="317" t="s">
        <v>590</v>
      </c>
      <c r="H135" s="436" t="str">
        <f t="shared" si="16"/>
        <v>Oben Links</v>
      </c>
      <c r="I135" s="445"/>
      <c r="J135" s="279" t="str">
        <f>H135</f>
        <v>Oben Links</v>
      </c>
      <c r="L135" s="526">
        <v>49</v>
      </c>
      <c r="M135" s="317" t="str">
        <f t="shared" si="14"/>
        <v>Kalenderwoche 49</v>
      </c>
    </row>
    <row r="136" spans="4:13" x14ac:dyDescent="0.2">
      <c r="D136" s="280" t="s">
        <v>587</v>
      </c>
      <c r="E136" s="316" t="s">
        <v>591</v>
      </c>
      <c r="F136" s="316" t="s">
        <v>592</v>
      </c>
      <c r="G136" s="317" t="s">
        <v>593</v>
      </c>
      <c r="H136" s="436" t="str">
        <f t="shared" si="16"/>
        <v>Oben Rechts</v>
      </c>
      <c r="I136" s="445"/>
      <c r="J136" s="279" t="str">
        <f>H136</f>
        <v>Oben Rechts</v>
      </c>
      <c r="L136" s="526">
        <v>50</v>
      </c>
      <c r="M136" s="317" t="str">
        <f t="shared" si="14"/>
        <v>Kalenderwoche 50</v>
      </c>
    </row>
    <row r="137" spans="4:13" x14ac:dyDescent="0.2">
      <c r="D137" s="280" t="s">
        <v>594</v>
      </c>
      <c r="E137" s="316" t="s">
        <v>595</v>
      </c>
      <c r="F137" s="316" t="s">
        <v>596</v>
      </c>
      <c r="G137" s="317" t="s">
        <v>597</v>
      </c>
      <c r="H137" s="436" t="str">
        <f t="shared" si="16"/>
        <v>Lage Glasspinne (Ansicht von Aussen)</v>
      </c>
      <c r="I137" s="445"/>
      <c r="L137" s="526">
        <v>51</v>
      </c>
      <c r="M137" s="317" t="str">
        <f t="shared" si="14"/>
        <v>Kalenderwoche 51</v>
      </c>
    </row>
    <row r="138" spans="4:13" ht="13.5" thickBot="1" x14ac:dyDescent="0.25">
      <c r="D138" s="280" t="s">
        <v>598</v>
      </c>
      <c r="E138" s="316" t="s">
        <v>715</v>
      </c>
      <c r="F138" s="316" t="s">
        <v>688</v>
      </c>
      <c r="G138" s="317" t="s">
        <v>697</v>
      </c>
      <c r="H138" s="436" t="str">
        <f t="shared" si="16"/>
        <v>Rinnenbestellung</v>
      </c>
      <c r="I138" s="445"/>
      <c r="L138" s="529">
        <v>52</v>
      </c>
      <c r="M138" s="475" t="str">
        <f t="shared" si="14"/>
        <v>Kalenderwoche 52</v>
      </c>
    </row>
    <row r="139" spans="4:13" x14ac:dyDescent="0.2">
      <c r="D139" s="280" t="s">
        <v>632</v>
      </c>
      <c r="E139" s="316" t="s">
        <v>716</v>
      </c>
      <c r="F139" s="316" t="s">
        <v>709</v>
      </c>
      <c r="G139" s="317" t="s">
        <v>698</v>
      </c>
      <c r="H139" s="436" t="str">
        <f t="shared" si="16"/>
        <v>Wahl des Rinnensystems:</v>
      </c>
      <c r="I139" s="445"/>
    </row>
    <row r="140" spans="4:13" x14ac:dyDescent="0.2">
      <c r="D140" s="280" t="s">
        <v>631</v>
      </c>
      <c r="E140" s="316" t="s">
        <v>717</v>
      </c>
      <c r="F140" s="316" t="s">
        <v>710</v>
      </c>
      <c r="G140" s="317" t="s">
        <v>833</v>
      </c>
      <c r="H140" s="436" t="str">
        <f t="shared" si="16"/>
        <v>Einzug an der linken Anlagenseite:</v>
      </c>
      <c r="I140" s="445"/>
    </row>
    <row r="141" spans="4:13" x14ac:dyDescent="0.2">
      <c r="D141" s="280" t="s">
        <v>630</v>
      </c>
      <c r="E141" s="316" t="s">
        <v>718</v>
      </c>
      <c r="F141" s="316" t="s">
        <v>711</v>
      </c>
      <c r="G141" s="317" t="s">
        <v>834</v>
      </c>
      <c r="H141" s="436" t="str">
        <f t="shared" si="16"/>
        <v>Einzug an der rechten Anlagenseite:</v>
      </c>
      <c r="I141" s="445"/>
    </row>
    <row r="142" spans="4:13" x14ac:dyDescent="0.2">
      <c r="D142" s="280" t="s">
        <v>629</v>
      </c>
      <c r="E142" s="316" t="s">
        <v>719</v>
      </c>
      <c r="F142" s="316" t="s">
        <v>712</v>
      </c>
      <c r="G142" s="317" t="s">
        <v>699</v>
      </c>
      <c r="H142" s="436" t="str">
        <f t="shared" si="16"/>
        <v>Anschlussstutzen:</v>
      </c>
      <c r="I142" s="445"/>
    </row>
    <row r="143" spans="4:13" x14ac:dyDescent="0.2">
      <c r="D143" s="280" t="s">
        <v>599</v>
      </c>
      <c r="E143" s="316" t="s">
        <v>720</v>
      </c>
      <c r="F143" s="316" t="s">
        <v>689</v>
      </c>
      <c r="G143" s="317" t="s">
        <v>700</v>
      </c>
      <c r="H143" s="436" t="str">
        <f t="shared" si="16"/>
        <v>lose mitliefern</v>
      </c>
      <c r="I143" s="445"/>
      <c r="J143" s="279" t="str">
        <f>H143</f>
        <v>lose mitliefern</v>
      </c>
    </row>
    <row r="144" spans="4:13" x14ac:dyDescent="0.2">
      <c r="D144" s="280" t="s">
        <v>600</v>
      </c>
      <c r="E144" s="316" t="s">
        <v>721</v>
      </c>
      <c r="F144" s="316" t="s">
        <v>690</v>
      </c>
      <c r="G144" s="317" t="s">
        <v>701</v>
      </c>
      <c r="H144" s="436" t="str">
        <f t="shared" si="16"/>
        <v>vordefiniert</v>
      </c>
      <c r="I144" s="445"/>
      <c r="J144" s="279" t="str">
        <f>H144</f>
        <v>vordefiniert</v>
      </c>
    </row>
    <row r="145" spans="4:10" x14ac:dyDescent="0.2">
      <c r="D145" s="280" t="s">
        <v>633</v>
      </c>
      <c r="E145" s="316" t="s">
        <v>722</v>
      </c>
      <c r="F145" s="316" t="s">
        <v>713</v>
      </c>
      <c r="G145" s="317" t="s">
        <v>702</v>
      </c>
      <c r="H145" s="436" t="str">
        <f t="shared" si="16"/>
        <v>Anzahl Anschlussstutzen:</v>
      </c>
      <c r="I145" s="445"/>
    </row>
    <row r="146" spans="4:10" x14ac:dyDescent="0.2">
      <c r="D146" s="280" t="s">
        <v>601</v>
      </c>
      <c r="E146" s="316" t="s">
        <v>691</v>
      </c>
      <c r="F146" s="316" t="s">
        <v>691</v>
      </c>
      <c r="G146" s="317" t="s">
        <v>703</v>
      </c>
      <c r="H146" s="436" t="str">
        <f t="shared" si="16"/>
        <v>Typ A</v>
      </c>
      <c r="I146" s="445"/>
      <c r="J146" s="279" t="str">
        <f>H146</f>
        <v>Typ A</v>
      </c>
    </row>
    <row r="147" spans="4:10" x14ac:dyDescent="0.2">
      <c r="D147" s="280" t="s">
        <v>602</v>
      </c>
      <c r="E147" s="316" t="s">
        <v>692</v>
      </c>
      <c r="F147" s="316" t="s">
        <v>692</v>
      </c>
      <c r="G147" s="317" t="s">
        <v>704</v>
      </c>
      <c r="H147" s="436" t="str">
        <f t="shared" si="16"/>
        <v>Typ B</v>
      </c>
      <c r="I147" s="445"/>
      <c r="J147" s="279" t="str">
        <f>H147</f>
        <v>Typ B</v>
      </c>
    </row>
    <row r="148" spans="4:10" x14ac:dyDescent="0.2">
      <c r="D148" s="280" t="s">
        <v>887</v>
      </c>
      <c r="E148" s="316" t="s">
        <v>888</v>
      </c>
      <c r="F148" s="316" t="s">
        <v>889</v>
      </c>
      <c r="G148" s="317" t="s">
        <v>890</v>
      </c>
      <c r="H148" s="436" t="str">
        <f t="shared" si="16"/>
        <v>Abstände Ablaufstutzen (E):</v>
      </c>
      <c r="I148" s="445"/>
    </row>
    <row r="149" spans="4:10" x14ac:dyDescent="0.2">
      <c r="D149" s="280" t="s">
        <v>603</v>
      </c>
      <c r="E149" s="316" t="s">
        <v>723</v>
      </c>
      <c r="F149" s="316" t="s">
        <v>735</v>
      </c>
      <c r="G149" s="317" t="s">
        <v>705</v>
      </c>
      <c r="H149" s="436" t="str">
        <f t="shared" si="16"/>
        <v>Rinnenanschluss:</v>
      </c>
      <c r="I149" s="445"/>
    </row>
    <row r="150" spans="4:10" x14ac:dyDescent="0.2">
      <c r="D150" s="280" t="s">
        <v>680</v>
      </c>
      <c r="E150" s="316" t="s">
        <v>724</v>
      </c>
      <c r="F150" s="316" t="s">
        <v>714</v>
      </c>
      <c r="G150" s="317" t="s">
        <v>706</v>
      </c>
      <c r="H150" s="436" t="str">
        <f t="shared" si="16"/>
        <v>Farbe Panele:</v>
      </c>
      <c r="I150" s="445"/>
    </row>
    <row r="151" spans="4:10" x14ac:dyDescent="0.2">
      <c r="D151" s="280" t="s">
        <v>16</v>
      </c>
      <c r="E151" s="316" t="s">
        <v>16</v>
      </c>
      <c r="F151" s="316" t="s">
        <v>16</v>
      </c>
      <c r="G151" s="317" t="s">
        <v>16</v>
      </c>
      <c r="H151" s="436" t="str">
        <f t="shared" si="16"/>
        <v>Standard</v>
      </c>
      <c r="I151" s="445"/>
      <c r="J151" s="279" t="str">
        <f>H151</f>
        <v>Standard</v>
      </c>
    </row>
    <row r="152" spans="4:10" x14ac:dyDescent="0.2">
      <c r="D152" s="280" t="s">
        <v>681</v>
      </c>
      <c r="E152" s="316" t="s">
        <v>725</v>
      </c>
      <c r="F152" s="316" t="s">
        <v>693</v>
      </c>
      <c r="G152" s="317" t="s">
        <v>707</v>
      </c>
      <c r="H152" s="436" t="str">
        <f t="shared" si="16"/>
        <v>Rahmenfarbe</v>
      </c>
      <c r="I152" s="445"/>
      <c r="J152" s="279" t="str">
        <f>H152</f>
        <v>Rahmenfarbe</v>
      </c>
    </row>
    <row r="153" spans="4:10" x14ac:dyDescent="0.2">
      <c r="D153" s="280" t="s">
        <v>682</v>
      </c>
      <c r="E153" s="316" t="s">
        <v>726</v>
      </c>
      <c r="F153" s="316" t="s">
        <v>694</v>
      </c>
      <c r="G153" s="317" t="s">
        <v>708</v>
      </c>
      <c r="H153" s="436" t="str">
        <f t="shared" si="16"/>
        <v>Glas Satinato</v>
      </c>
      <c r="I153" s="445"/>
      <c r="J153" s="279" t="str">
        <f>H153</f>
        <v>Glas Satinato</v>
      </c>
    </row>
    <row r="154" spans="4:10" x14ac:dyDescent="0.2">
      <c r="D154" s="280" t="s">
        <v>695</v>
      </c>
      <c r="E154" s="316" t="s">
        <v>727</v>
      </c>
      <c r="F154" s="316" t="s">
        <v>728</v>
      </c>
      <c r="G154" s="317" t="s">
        <v>729</v>
      </c>
      <c r="H154" s="436" t="str">
        <f t="shared" si="16"/>
        <v>Kalenderwoche</v>
      </c>
      <c r="I154" s="445"/>
    </row>
    <row r="155" spans="4:10" x14ac:dyDescent="0.2">
      <c r="D155" s="280" t="s">
        <v>751</v>
      </c>
      <c r="E155" s="316" t="s">
        <v>759</v>
      </c>
      <c r="F155" s="316" t="s">
        <v>762</v>
      </c>
      <c r="G155" s="317" t="s">
        <v>777</v>
      </c>
      <c r="H155" s="436" t="str">
        <f>IF($B$3=$A$3,D155,IF($B$3=$A$4,E155,IF($B$3=$A$5,F155,IF($B$3=$A$6,G155,""))))</f>
        <v>Bestellformular unvollständig!</v>
      </c>
      <c r="I155" s="445"/>
    </row>
    <row r="156" spans="4:10" x14ac:dyDescent="0.2">
      <c r="D156" s="280" t="s">
        <v>761</v>
      </c>
      <c r="E156" s="316" t="s">
        <v>760</v>
      </c>
      <c r="F156" s="316" t="s">
        <v>763</v>
      </c>
      <c r="G156" s="317" t="s">
        <v>778</v>
      </c>
      <c r="H156" s="436" t="str">
        <f t="shared" si="16"/>
        <v>Bestellformular vollständig.</v>
      </c>
      <c r="I156" s="445"/>
    </row>
    <row r="157" spans="4:10" x14ac:dyDescent="0.2">
      <c r="D157" s="280" t="s">
        <v>756</v>
      </c>
      <c r="E157" s="316" t="s">
        <v>755</v>
      </c>
      <c r="F157" s="316" t="s">
        <v>754</v>
      </c>
      <c r="G157" s="317" t="s">
        <v>757</v>
      </c>
      <c r="H157" s="436" t="str">
        <f t="shared" si="16"/>
        <v>B2B-Login Projektnr:</v>
      </c>
      <c r="I157" s="445"/>
    </row>
    <row r="158" spans="4:10" ht="12.75" customHeight="1" x14ac:dyDescent="0.2">
      <c r="D158" s="323" t="s">
        <v>766</v>
      </c>
      <c r="E158" s="316" t="s">
        <v>767</v>
      </c>
      <c r="F158" s="316" t="s">
        <v>768</v>
      </c>
      <c r="G158" s="317" t="s">
        <v>769</v>
      </c>
      <c r="H158" s="436" t="str">
        <f t="shared" si="16"/>
        <v>OHNE Glas</v>
      </c>
      <c r="I158" s="445"/>
    </row>
    <row r="159" spans="4:10" ht="12.75" customHeight="1" x14ac:dyDescent="0.2">
      <c r="D159" s="280" t="s">
        <v>770</v>
      </c>
      <c r="E159" s="316" t="s">
        <v>771</v>
      </c>
      <c r="F159" s="316" t="s">
        <v>285</v>
      </c>
      <c r="G159" s="317" t="s">
        <v>298</v>
      </c>
      <c r="H159" s="436" t="str">
        <f t="shared" si="16"/>
        <v>Keine</v>
      </c>
      <c r="I159" s="445"/>
    </row>
    <row r="160" spans="4:10" ht="12.75" customHeight="1" x14ac:dyDescent="0.2">
      <c r="D160" s="280" t="s">
        <v>773</v>
      </c>
      <c r="E160" s="316" t="s">
        <v>774</v>
      </c>
      <c r="F160" s="316" t="s">
        <v>775</v>
      </c>
      <c r="G160" s="317" t="s">
        <v>776</v>
      </c>
      <c r="H160" s="436" t="str">
        <f t="shared" si="16"/>
        <v>(auf Anfrage)</v>
      </c>
      <c r="I160" s="445"/>
    </row>
    <row r="161" spans="4:10" x14ac:dyDescent="0.2">
      <c r="D161" s="280" t="s">
        <v>797</v>
      </c>
      <c r="E161" s="316" t="s">
        <v>794</v>
      </c>
      <c r="F161" s="316" t="s">
        <v>796</v>
      </c>
      <c r="G161" s="317" t="s">
        <v>795</v>
      </c>
      <c r="H161" s="436" t="str">
        <f t="shared" si="16"/>
        <v>ohne Verschlussraster (Zylinder)</v>
      </c>
      <c r="I161" s="445"/>
    </row>
    <row r="162" spans="4:10" x14ac:dyDescent="0.2">
      <c r="D162" s="280"/>
      <c r="E162" s="316"/>
      <c r="F162" s="316"/>
      <c r="G162" s="317"/>
      <c r="H162" s="436">
        <f t="shared" si="16"/>
        <v>0</v>
      </c>
      <c r="I162" s="445"/>
    </row>
    <row r="163" spans="4:10" x14ac:dyDescent="0.2">
      <c r="D163" s="280"/>
      <c r="E163" s="316"/>
      <c r="F163" s="316"/>
      <c r="G163" s="317"/>
      <c r="H163" s="436">
        <f t="shared" si="16"/>
        <v>0</v>
      </c>
      <c r="I163" s="445"/>
    </row>
    <row r="164" spans="4:10" x14ac:dyDescent="0.2">
      <c r="D164" s="280"/>
      <c r="E164" s="316"/>
      <c r="F164" s="316"/>
      <c r="G164" s="317"/>
      <c r="H164" s="436">
        <f t="shared" si="16"/>
        <v>0</v>
      </c>
      <c r="I164" s="445"/>
    </row>
    <row r="165" spans="4:10" x14ac:dyDescent="0.2">
      <c r="D165" s="280" t="s">
        <v>937</v>
      </c>
      <c r="E165" s="335" t="s">
        <v>938</v>
      </c>
      <c r="F165" s="335" t="s">
        <v>504</v>
      </c>
      <c r="G165" s="335" t="s">
        <v>939</v>
      </c>
      <c r="H165" s="528" t="str">
        <f t="shared" si="16"/>
        <v>Hinweise:</v>
      </c>
      <c r="I165" s="445"/>
    </row>
    <row r="166" spans="4:10" x14ac:dyDescent="0.2">
      <c r="D166" s="280" t="s">
        <v>799</v>
      </c>
      <c r="E166" s="336" t="s">
        <v>807</v>
      </c>
      <c r="F166" s="335" t="s">
        <v>815</v>
      </c>
      <c r="G166" s="336" t="s">
        <v>823</v>
      </c>
      <c r="H166" s="528" t="str">
        <f t="shared" si="16"/>
        <v>Angabe erstöffnender Flügel</v>
      </c>
      <c r="I166" s="445"/>
    </row>
    <row r="167" spans="4:10" ht="102" x14ac:dyDescent="0.2">
      <c r="D167" s="334" t="s">
        <v>800</v>
      </c>
      <c r="E167" s="337" t="s">
        <v>808</v>
      </c>
      <c r="F167" s="337" t="s">
        <v>816</v>
      </c>
      <c r="G167" s="337" t="s">
        <v>824</v>
      </c>
      <c r="H167" s="528" t="str">
        <f t="shared" si="16"/>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45"/>
    </row>
    <row r="168" spans="4:10" x14ac:dyDescent="0.2">
      <c r="D168" s="334" t="s">
        <v>801</v>
      </c>
      <c r="E168" s="336" t="s">
        <v>809</v>
      </c>
      <c r="F168" s="336" t="s">
        <v>817</v>
      </c>
      <c r="G168" s="337" t="s">
        <v>825</v>
      </c>
      <c r="H168" s="528" t="str">
        <f t="shared" si="16"/>
        <v>Eingabe Ecke ≠ 90° (von 60° - 160°)</v>
      </c>
      <c r="I168" s="445"/>
    </row>
    <row r="169" spans="4:10" ht="63.75" x14ac:dyDescent="0.2">
      <c r="D169" s="334" t="s">
        <v>802</v>
      </c>
      <c r="E169" s="337" t="s">
        <v>810</v>
      </c>
      <c r="F169" s="337" t="s">
        <v>818</v>
      </c>
      <c r="G169" s="337" t="s">
        <v>826</v>
      </c>
      <c r="H169" s="528" t="str">
        <f t="shared" si="16"/>
        <v xml:space="preserve">Um eine Ecke auszuwählen, welche grösser oder kleiner wie 90° ist, muss das dementsprechende Feld ausgewählt werden. Danach muss der gewünschte Wert angegeben werden. </v>
      </c>
      <c r="I169" s="445"/>
    </row>
    <row r="170" spans="4:10" ht="25.5" x14ac:dyDescent="0.2">
      <c r="D170" s="334" t="s">
        <v>803</v>
      </c>
      <c r="E170" s="336" t="s">
        <v>811</v>
      </c>
      <c r="F170" s="336" t="s">
        <v>819</v>
      </c>
      <c r="G170" s="337" t="s">
        <v>827</v>
      </c>
      <c r="H170" s="528" t="str">
        <f t="shared" si="16"/>
        <v>Breitenangabe bei Eckanlagen</v>
      </c>
      <c r="I170" s="445"/>
    </row>
    <row r="171" spans="4:10" ht="102" x14ac:dyDescent="0.2">
      <c r="D171" s="334" t="s">
        <v>804</v>
      </c>
      <c r="E171" s="337" t="s">
        <v>812</v>
      </c>
      <c r="F171" s="337" t="s">
        <v>820</v>
      </c>
      <c r="G171" s="337" t="s">
        <v>828</v>
      </c>
      <c r="H171" s="528" t="str">
        <f t="shared" si="16"/>
        <v>Wird eine Eckanlage eingegeben, erscheint bei der Angabe "Breite" automatisch ein neues Eingabefeld. Die Länge der einzelnen Fronten muss hier separat angegeben werden (Rahmenaussenmass). Die verschiedenen Fronten sind von links nach rechts anzugeben:</v>
      </c>
      <c r="I171" s="445"/>
    </row>
    <row r="172" spans="4:10" x14ac:dyDescent="0.2">
      <c r="D172" s="334" t="s">
        <v>805</v>
      </c>
      <c r="E172" s="336" t="s">
        <v>813</v>
      </c>
      <c r="F172" s="336" t="s">
        <v>821</v>
      </c>
      <c r="G172" s="337" t="s">
        <v>829</v>
      </c>
      <c r="H172" s="528" t="str">
        <f t="shared" si="16"/>
        <v>Rinnenlänge angeben</v>
      </c>
      <c r="I172" s="445"/>
    </row>
    <row r="173" spans="4:10" ht="140.25" x14ac:dyDescent="0.2">
      <c r="D173" s="334" t="s">
        <v>806</v>
      </c>
      <c r="E173" s="338" t="s">
        <v>814</v>
      </c>
      <c r="F173" s="337" t="s">
        <v>822</v>
      </c>
      <c r="G173" s="337" t="s">
        <v>830</v>
      </c>
      <c r="H173" s="528" t="str">
        <f t="shared" si="16"/>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45"/>
    </row>
    <row r="174" spans="4:10" x14ac:dyDescent="0.2">
      <c r="D174" s="280" t="s">
        <v>16</v>
      </c>
      <c r="E174" s="316" t="s">
        <v>16</v>
      </c>
      <c r="F174" s="316" t="s">
        <v>16</v>
      </c>
      <c r="G174" s="317" t="s">
        <v>16</v>
      </c>
      <c r="H174" s="528" t="str">
        <f t="shared" si="16"/>
        <v>Standard</v>
      </c>
      <c r="I174" s="445"/>
      <c r="J174" s="279" t="str">
        <f>H174</f>
        <v>Standard</v>
      </c>
    </row>
    <row r="175" spans="4:10" x14ac:dyDescent="0.2">
      <c r="D175" s="280" t="s">
        <v>846</v>
      </c>
      <c r="E175" s="316" t="s">
        <v>847</v>
      </c>
      <c r="F175" s="316" t="s">
        <v>848</v>
      </c>
      <c r="G175" s="317" t="s">
        <v>849</v>
      </c>
      <c r="H175" s="528" t="str">
        <f t="shared" si="16"/>
        <v>Seaside (Pool/Meer)</v>
      </c>
      <c r="I175" s="445"/>
      <c r="J175" s="279" t="str">
        <f>H175</f>
        <v>Seaside (Pool/Meer)</v>
      </c>
    </row>
    <row r="176" spans="4:10" x14ac:dyDescent="0.2">
      <c r="D176" s="280" t="s">
        <v>853</v>
      </c>
      <c r="E176" s="316" t="s">
        <v>854</v>
      </c>
      <c r="F176" s="316" t="s">
        <v>855</v>
      </c>
      <c r="G176" s="317" t="s">
        <v>859</v>
      </c>
      <c r="H176" s="528" t="str">
        <f t="shared" si="16"/>
        <v>Pulverlack Klasse:</v>
      </c>
      <c r="I176" s="445"/>
    </row>
    <row r="177" spans="4:10" x14ac:dyDescent="0.2">
      <c r="D177" s="280" t="s">
        <v>856</v>
      </c>
      <c r="E177" s="316" t="s">
        <v>856</v>
      </c>
      <c r="F177" s="316" t="s">
        <v>856</v>
      </c>
      <c r="G177" s="317" t="s">
        <v>856</v>
      </c>
      <c r="H177" s="528" t="str">
        <f t="shared" si="16"/>
        <v>Qualicoat 1</v>
      </c>
      <c r="I177" s="445"/>
      <c r="J177" s="279" t="str">
        <f>H177</f>
        <v>Qualicoat 1</v>
      </c>
    </row>
    <row r="178" spans="4:10" x14ac:dyDescent="0.2">
      <c r="D178" s="280" t="s">
        <v>857</v>
      </c>
      <c r="E178" s="316" t="s">
        <v>857</v>
      </c>
      <c r="F178" s="316" t="s">
        <v>857</v>
      </c>
      <c r="G178" s="317" t="s">
        <v>857</v>
      </c>
      <c r="H178" s="528" t="str">
        <f t="shared" si="16"/>
        <v>Qualicoat 2</v>
      </c>
      <c r="I178" s="445"/>
      <c r="J178" s="279" t="str">
        <f>H178</f>
        <v>Qualicoat 2</v>
      </c>
    </row>
    <row r="179" spans="4:10" x14ac:dyDescent="0.2">
      <c r="D179" s="280" t="s">
        <v>879</v>
      </c>
      <c r="E179" s="316" t="s">
        <v>881</v>
      </c>
      <c r="F179" s="316" t="s">
        <v>880</v>
      </c>
      <c r="G179" s="317" t="s">
        <v>886</v>
      </c>
      <c r="H179" s="528" t="str">
        <f t="shared" si="16"/>
        <v>Übersicht:</v>
      </c>
      <c r="I179" s="445"/>
    </row>
    <row r="180" spans="4:10" x14ac:dyDescent="0.2">
      <c r="D180" s="280" t="s">
        <v>875</v>
      </c>
      <c r="E180" s="316" t="s">
        <v>876</v>
      </c>
      <c r="F180" s="316" t="s">
        <v>877</v>
      </c>
      <c r="G180" s="317" t="s">
        <v>878</v>
      </c>
      <c r="H180" s="528" t="str">
        <f t="shared" si="16"/>
        <v>VE</v>
      </c>
      <c r="I180" s="445"/>
    </row>
    <row r="181" spans="4:10" x14ac:dyDescent="0.2">
      <c r="D181" s="280" t="s">
        <v>893</v>
      </c>
      <c r="E181" s="316" t="s">
        <v>940</v>
      </c>
      <c r="F181" s="316" t="s">
        <v>941</v>
      </c>
      <c r="G181" s="317" t="s">
        <v>919</v>
      </c>
      <c r="H181" s="528" t="str">
        <f t="shared" ref="H181:H206" si="17">IF($B$3=$A$3,D181,IF($B$3=$A$4,E181,IF($B$3=$A$5,F181,IF($B$3=$A$6,G181,""))))</f>
        <v>Sky-Frame Beratung vorhanden:</v>
      </c>
      <c r="I181" s="445"/>
    </row>
    <row r="182" spans="4:10" x14ac:dyDescent="0.2">
      <c r="D182" s="280" t="s">
        <v>894</v>
      </c>
      <c r="E182" s="316" t="s">
        <v>942</v>
      </c>
      <c r="F182" s="316" t="s">
        <v>943</v>
      </c>
      <c r="G182" s="317" t="s">
        <v>918</v>
      </c>
      <c r="H182" s="528" t="str">
        <f t="shared" si="17"/>
        <v>Beratungsnummer: (z.B. P123456)</v>
      </c>
      <c r="I182" s="445"/>
    </row>
    <row r="183" spans="4:10" x14ac:dyDescent="0.2">
      <c r="D183" s="280" t="s">
        <v>895</v>
      </c>
      <c r="E183" s="316" t="s">
        <v>896</v>
      </c>
      <c r="F183" s="316" t="s">
        <v>944</v>
      </c>
      <c r="G183" s="317" t="s">
        <v>917</v>
      </c>
      <c r="H183" s="528" t="str">
        <f t="shared" si="17"/>
        <v>Inch-Rechner</v>
      </c>
      <c r="I183" s="445"/>
    </row>
    <row r="184" spans="4:10" x14ac:dyDescent="0.2">
      <c r="D184" s="280" t="s">
        <v>897</v>
      </c>
      <c r="E184" s="316" t="s">
        <v>898</v>
      </c>
      <c r="F184" s="316" t="s">
        <v>945</v>
      </c>
      <c r="G184" s="317" t="s">
        <v>916</v>
      </c>
      <c r="H184" s="528" t="str">
        <f t="shared" si="17"/>
        <v>Fuss:</v>
      </c>
      <c r="I184" s="445"/>
    </row>
    <row r="185" spans="4:10" x14ac:dyDescent="0.2">
      <c r="D185" s="280" t="s">
        <v>899</v>
      </c>
      <c r="E185" s="316" t="s">
        <v>900</v>
      </c>
      <c r="F185" s="316" t="s">
        <v>946</v>
      </c>
      <c r="G185" s="317" t="s">
        <v>915</v>
      </c>
      <c r="H185" s="528" t="str">
        <f t="shared" si="17"/>
        <v>Zoll:</v>
      </c>
      <c r="I185" s="445"/>
    </row>
    <row r="186" spans="4:10" x14ac:dyDescent="0.2">
      <c r="D186" s="280" t="s">
        <v>901</v>
      </c>
      <c r="E186" s="316" t="s">
        <v>947</v>
      </c>
      <c r="F186" s="316" t="s">
        <v>948</v>
      </c>
      <c r="G186" s="317" t="s">
        <v>914</v>
      </c>
      <c r="H186" s="528" t="str">
        <f t="shared" si="17"/>
        <v>Bemassung Bahnhof</v>
      </c>
      <c r="I186" s="445"/>
    </row>
    <row r="187" spans="4:10" ht="102" x14ac:dyDescent="0.2">
      <c r="D187" s="434" t="s">
        <v>902</v>
      </c>
      <c r="E187" s="338" t="s">
        <v>949</v>
      </c>
      <c r="F187" s="338" t="s">
        <v>950</v>
      </c>
      <c r="G187" s="435" t="s">
        <v>903</v>
      </c>
      <c r="H187" s="528"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45"/>
    </row>
    <row r="188" spans="4:10" x14ac:dyDescent="0.2">
      <c r="D188" s="280" t="s">
        <v>904</v>
      </c>
      <c r="E188" s="316" t="s">
        <v>951</v>
      </c>
      <c r="F188" s="316" t="s">
        <v>952</v>
      </c>
      <c r="G188" s="317" t="s">
        <v>913</v>
      </c>
      <c r="H188" s="528" t="str">
        <f t="shared" si="17"/>
        <v>Bahnhof Typ 1:</v>
      </c>
      <c r="I188" s="445"/>
    </row>
    <row r="189" spans="4:10" x14ac:dyDescent="0.2">
      <c r="D189" s="280" t="s">
        <v>905</v>
      </c>
      <c r="E189" s="316" t="s">
        <v>953</v>
      </c>
      <c r="F189" s="316" t="s">
        <v>954</v>
      </c>
      <c r="G189" s="317" t="s">
        <v>912</v>
      </c>
      <c r="H189" s="528" t="str">
        <f t="shared" si="17"/>
        <v>Bahnhof Typ 2:</v>
      </c>
      <c r="I189" s="445"/>
    </row>
    <row r="190" spans="4:10" x14ac:dyDescent="0.2">
      <c r="D190" s="280" t="s">
        <v>906</v>
      </c>
      <c r="E190" s="316" t="s">
        <v>274</v>
      </c>
      <c r="F190" s="316" t="s">
        <v>292</v>
      </c>
      <c r="G190" s="317" t="s">
        <v>303</v>
      </c>
      <c r="H190" s="528" t="str">
        <f t="shared" si="17"/>
        <v>schwarz</v>
      </c>
      <c r="I190" s="445"/>
    </row>
    <row r="191" spans="4:10" x14ac:dyDescent="0.2">
      <c r="D191" s="280" t="s">
        <v>681</v>
      </c>
      <c r="E191" s="316" t="s">
        <v>907</v>
      </c>
      <c r="F191" s="316" t="s">
        <v>908</v>
      </c>
      <c r="G191" s="317" t="s">
        <v>909</v>
      </c>
      <c r="H191" s="528" t="str">
        <f t="shared" si="17"/>
        <v>Rahmenfarbe</v>
      </c>
      <c r="I191" s="445"/>
    </row>
    <row r="192" spans="4:10" x14ac:dyDescent="0.2">
      <c r="D192" s="280" t="s">
        <v>906</v>
      </c>
      <c r="E192" s="316" t="s">
        <v>274</v>
      </c>
      <c r="F192" s="316" t="s">
        <v>292</v>
      </c>
      <c r="G192" s="317" t="s">
        <v>303</v>
      </c>
      <c r="H192" s="528" t="str">
        <f t="shared" si="17"/>
        <v>schwarz</v>
      </c>
      <c r="I192" s="445"/>
    </row>
    <row r="193" spans="4:9" x14ac:dyDescent="0.2">
      <c r="D193" s="280" t="s">
        <v>920</v>
      </c>
      <c r="E193" s="316" t="s">
        <v>921</v>
      </c>
      <c r="F193" s="316" t="s">
        <v>955</v>
      </c>
      <c r="G193" s="317" t="s">
        <v>956</v>
      </c>
      <c r="H193" s="528" t="str">
        <f t="shared" si="17"/>
        <v>Sonstiges:</v>
      </c>
      <c r="I193" s="445"/>
    </row>
    <row r="194" spans="4:9" x14ac:dyDescent="0.2">
      <c r="D194" s="280" t="s">
        <v>922</v>
      </c>
      <c r="E194" s="316" t="s">
        <v>923</v>
      </c>
      <c r="F194" s="316" t="s">
        <v>957</v>
      </c>
      <c r="G194" s="317" t="s">
        <v>958</v>
      </c>
      <c r="H194" s="528" t="str">
        <f t="shared" si="17"/>
        <v>Sichtbare Rahmenprofile (aussen):</v>
      </c>
      <c r="I194" s="445"/>
    </row>
    <row r="195" spans="4:9" x14ac:dyDescent="0.2">
      <c r="D195" s="280" t="s">
        <v>924</v>
      </c>
      <c r="E195" s="316" t="s">
        <v>925</v>
      </c>
      <c r="F195" s="316" t="s">
        <v>959</v>
      </c>
      <c r="G195" s="317" t="s">
        <v>960</v>
      </c>
      <c r="H195" s="528" t="str">
        <f t="shared" si="17"/>
        <v>Lieferung Glas und Rahmen:</v>
      </c>
      <c r="I195" s="445"/>
    </row>
    <row r="196" spans="4:9" x14ac:dyDescent="0.2">
      <c r="D196" s="280" t="s">
        <v>926</v>
      </c>
      <c r="E196" s="316" t="s">
        <v>927</v>
      </c>
      <c r="F196" s="316" t="s">
        <v>961</v>
      </c>
      <c r="G196" s="317" t="s">
        <v>962</v>
      </c>
      <c r="H196" s="528" t="str">
        <f t="shared" si="17"/>
        <v>zusammen</v>
      </c>
      <c r="I196" s="445"/>
    </row>
    <row r="197" spans="4:9" x14ac:dyDescent="0.2">
      <c r="D197" s="280" t="s">
        <v>928</v>
      </c>
      <c r="E197" s="316" t="s">
        <v>929</v>
      </c>
      <c r="F197" s="316" t="s">
        <v>963</v>
      </c>
      <c r="G197" s="317" t="s">
        <v>964</v>
      </c>
      <c r="H197" s="528" t="str">
        <f t="shared" si="17"/>
        <v>getrennt</v>
      </c>
      <c r="I197" s="445"/>
    </row>
    <row r="198" spans="4:9" x14ac:dyDescent="0.2">
      <c r="D198" s="280" t="s">
        <v>930</v>
      </c>
      <c r="E198" s="316" t="s">
        <v>931</v>
      </c>
      <c r="F198" s="316" t="s">
        <v>931</v>
      </c>
      <c r="G198" s="317" t="s">
        <v>965</v>
      </c>
      <c r="H198" s="528" t="str">
        <f t="shared" si="17"/>
        <v>sichtbar</v>
      </c>
      <c r="I198" s="445"/>
    </row>
    <row r="199" spans="4:9" x14ac:dyDescent="0.2">
      <c r="D199" s="280" t="s">
        <v>932</v>
      </c>
      <c r="E199" s="316" t="s">
        <v>933</v>
      </c>
      <c r="F199" s="316" t="s">
        <v>966</v>
      </c>
      <c r="G199" s="317" t="s">
        <v>967</v>
      </c>
      <c r="H199" s="528" t="str">
        <f t="shared" si="17"/>
        <v>nicht sichtbar</v>
      </c>
      <c r="I199" s="445"/>
    </row>
    <row r="200" spans="4:9" x14ac:dyDescent="0.2">
      <c r="D200" s="280"/>
      <c r="E200" s="316"/>
      <c r="F200" s="316"/>
      <c r="G200" s="317"/>
      <c r="H200" s="528">
        <f t="shared" si="17"/>
        <v>0</v>
      </c>
      <c r="I200" s="445"/>
    </row>
    <row r="201" spans="4:9" x14ac:dyDescent="0.2">
      <c r="D201" s="280"/>
      <c r="E201" s="316"/>
      <c r="F201" s="316"/>
      <c r="G201" s="317"/>
      <c r="H201" s="528">
        <f t="shared" si="17"/>
        <v>0</v>
      </c>
      <c r="I201" s="445"/>
    </row>
    <row r="202" spans="4:9" x14ac:dyDescent="0.2">
      <c r="D202" s="280"/>
      <c r="E202" s="316"/>
      <c r="F202" s="316"/>
      <c r="G202" s="317"/>
      <c r="H202" s="528">
        <f t="shared" si="17"/>
        <v>0</v>
      </c>
      <c r="I202" s="445"/>
    </row>
    <row r="203" spans="4:9" x14ac:dyDescent="0.2">
      <c r="D203" s="280"/>
      <c r="E203" s="316"/>
      <c r="F203" s="316"/>
      <c r="G203" s="317"/>
      <c r="H203" s="528">
        <f t="shared" si="17"/>
        <v>0</v>
      </c>
      <c r="I203" s="445"/>
    </row>
    <row r="204" spans="4:9" x14ac:dyDescent="0.2">
      <c r="D204" s="280"/>
      <c r="E204" s="316"/>
      <c r="F204" s="316"/>
      <c r="G204" s="317"/>
      <c r="H204" s="528">
        <f t="shared" si="17"/>
        <v>0</v>
      </c>
      <c r="I204" s="445"/>
    </row>
    <row r="205" spans="4:9" x14ac:dyDescent="0.2">
      <c r="D205" s="280"/>
      <c r="E205" s="316"/>
      <c r="F205" s="316"/>
      <c r="G205" s="317"/>
      <c r="H205" s="528">
        <f t="shared" si="17"/>
        <v>0</v>
      </c>
      <c r="I205" s="445"/>
    </row>
    <row r="206" spans="4:9" x14ac:dyDescent="0.2">
      <c r="D206" s="280"/>
      <c r="E206" s="316"/>
      <c r="F206" s="316"/>
      <c r="G206" s="317"/>
      <c r="H206" s="528">
        <f t="shared" si="17"/>
        <v>0</v>
      </c>
      <c r="I206" s="445"/>
    </row>
  </sheetData>
  <mergeCells count="5">
    <mergeCell ref="AB4:AB18"/>
    <mergeCell ref="N40:P40"/>
    <mergeCell ref="M60:M61"/>
    <mergeCell ref="L85:M85"/>
    <mergeCell ref="B87:C87"/>
  </mergeCells>
  <dataValidations count="1">
    <dataValidation type="list" allowBlank="1" showInputMessage="1" showErrorMessage="1" sqref="P38" xr:uid="{562A90B1-C1F0-48BE-951A-D73634541618}">
      <formula1>$O$45:$O$46</formula1>
    </dataValidation>
  </dataValidation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BCA9-786C-472C-B37F-E6068C1F0EF4}">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5" width="11.42578125" style="141"/>
    <col min="56" max="56" width="5.5703125" style="141" customWidth="1"/>
    <col min="57" max="57" width="5" style="141" customWidth="1"/>
    <col min="58" max="58" width="1.85546875" style="141" customWidth="1"/>
    <col min="59" max="59" width="5.7109375" style="141" customWidth="1"/>
    <col min="60" max="60" width="6.28515625" style="141" customWidth="1"/>
    <col min="61" max="61" width="5.85546875" style="141" customWidth="1"/>
    <col min="62" max="64" width="0" style="141" hidden="1" customWidth="1"/>
    <col min="65" max="16384" width="11.42578125" style="141"/>
  </cols>
  <sheetData>
    <row r="1" spans="1:64" ht="13.5" thickBot="1" x14ac:dyDescent="0.25">
      <c r="A1" s="159" t="s">
        <v>519</v>
      </c>
      <c r="C1" s="60"/>
      <c r="AW1" s="160"/>
    </row>
    <row r="2" spans="1:64" ht="13.5" thickTop="1" x14ac:dyDescent="0.2">
      <c r="B2" s="203">
        <v>2</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113"/>
      <c r="AW2" s="414"/>
      <c r="AX2" s="240"/>
      <c r="AY2" s="240"/>
      <c r="AZ2" s="240"/>
      <c r="BA2" s="240"/>
      <c r="BB2" s="363" t="str">
        <f>CONCATENATE(ROUND(SUM(I46:K49)*Z42/1000000,2)*AJ6,"m²")</f>
        <v>0m²</v>
      </c>
      <c r="BD2" s="239"/>
      <c r="BE2" s="240"/>
      <c r="BF2" s="240"/>
      <c r="BG2" s="240"/>
      <c r="BH2" s="240"/>
      <c r="BI2" s="241"/>
    </row>
    <row r="3" spans="1:64" ht="36.75" customHeight="1" x14ac:dyDescent="0.3">
      <c r="B3" s="202"/>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142"/>
      <c r="AR3" s="83"/>
      <c r="AS3" s="83"/>
      <c r="AT3" s="143" t="s">
        <v>772</v>
      </c>
      <c r="AU3" s="115"/>
      <c r="AW3" s="242"/>
      <c r="AX3" s="243" t="str">
        <f>'Sprachen &amp; Rückgabewerte(2)'!$H$2</f>
        <v>Sprache:</v>
      </c>
      <c r="AY3" s="60"/>
      <c r="AZ3" s="60"/>
      <c r="BA3" s="60"/>
      <c r="BB3" s="379" t="str">
        <f>IF(AJ6&gt;1,CONCATENATE(AH6," ",AJ6),"")</f>
        <v/>
      </c>
      <c r="BD3" s="242"/>
      <c r="BE3" s="411" t="str">
        <f>'Sprachen &amp; Rückgabewerte(2)'!H183</f>
        <v>Inch-Rechner</v>
      </c>
      <c r="BF3" s="411"/>
      <c r="BG3" s="60"/>
      <c r="BH3" s="60"/>
      <c r="BI3" s="244"/>
    </row>
    <row r="4" spans="1:64" ht="19.5" customHeight="1" x14ac:dyDescent="0.2">
      <c r="B4" s="11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113"/>
      <c r="AW4" s="242"/>
      <c r="AX4" s="60"/>
      <c r="AY4" s="60"/>
      <c r="AZ4" s="60"/>
      <c r="BA4" s="60"/>
      <c r="BB4" s="244"/>
      <c r="BD4" s="242"/>
      <c r="BE4" s="415" t="str">
        <f>'Sprachen &amp; Rückgabewerte(2)'!H184</f>
        <v>Fuss:</v>
      </c>
      <c r="BF4" s="156"/>
      <c r="BG4" s="415" t="str">
        <f>'Sprachen &amp; Rückgabewerte(2)'!H185</f>
        <v>Zoll:</v>
      </c>
      <c r="BH4" s="60"/>
      <c r="BI4" s="244"/>
    </row>
    <row r="5" spans="1:64" x14ac:dyDescent="0.2">
      <c r="B5" s="59"/>
      <c r="C5" s="126"/>
      <c r="D5" s="127"/>
      <c r="E5" s="128" t="str">
        <f>'Sprachen &amp; Rückgabewerte(2)'!H4</f>
        <v>BESTELLUNG</v>
      </c>
      <c r="F5" s="127"/>
      <c r="G5" s="127"/>
      <c r="H5" s="127"/>
      <c r="I5" s="127"/>
      <c r="J5" s="127"/>
      <c r="K5" s="127"/>
      <c r="L5" s="127"/>
      <c r="M5" s="127"/>
      <c r="N5" s="127"/>
      <c r="O5" s="127"/>
      <c r="P5" s="127"/>
      <c r="Q5" s="127"/>
      <c r="R5" s="129"/>
      <c r="S5" s="696" t="str">
        <f>'Sprachen &amp; Rückgabewerte(2)'!$H$130</f>
        <v>Vertriebspartner:</v>
      </c>
      <c r="T5" s="697"/>
      <c r="U5" s="697"/>
      <c r="V5" s="697"/>
      <c r="W5" s="697"/>
      <c r="X5" s="698"/>
      <c r="Y5" s="661"/>
      <c r="Z5" s="662"/>
      <c r="AA5" s="662"/>
      <c r="AB5" s="662"/>
      <c r="AC5" s="662"/>
      <c r="AD5" s="662"/>
      <c r="AE5" s="662"/>
      <c r="AF5" s="663"/>
      <c r="AG5" s="144"/>
      <c r="AH5" s="130" t="str">
        <f>'Sprachen &amp; Rückgabewerte(2)'!H55</f>
        <v>Pos:</v>
      </c>
      <c r="AI5" s="145"/>
      <c r="AJ5" s="705"/>
      <c r="AK5" s="706"/>
      <c r="AL5" s="707"/>
      <c r="AM5" s="144"/>
      <c r="AN5" s="130" t="str">
        <f>'Sprachen &amp; Rückgabewerte(2)'!$H$10</f>
        <v>2-gleisig</v>
      </c>
      <c r="AO5" s="145"/>
      <c r="AP5" s="145"/>
      <c r="AQ5" s="145"/>
      <c r="AR5" s="145"/>
      <c r="AS5" s="145"/>
      <c r="AT5" s="331"/>
      <c r="AU5" s="114"/>
      <c r="AW5" s="242"/>
      <c r="AX5" s="60"/>
      <c r="AY5" s="60"/>
      <c r="AZ5" s="60"/>
      <c r="BA5" s="60"/>
      <c r="BB5" s="244"/>
      <c r="BD5" s="242"/>
      <c r="BE5" s="548"/>
      <c r="BF5" s="550" t="str">
        <f>"'"</f>
        <v>'</v>
      </c>
      <c r="BG5" s="551"/>
      <c r="BH5" s="412"/>
      <c r="BI5" s="244"/>
      <c r="BJ5" s="141">
        <f>BE5*304.8</f>
        <v>0</v>
      </c>
      <c r="BK5" s="141">
        <f>BG5*25.4</f>
        <v>0</v>
      </c>
      <c r="BL5" s="141">
        <f>IF(AND(BH5="",BH6=""),0,25.4*BH5/BH6)</f>
        <v>0</v>
      </c>
    </row>
    <row r="6" spans="1:64" x14ac:dyDescent="0.2">
      <c r="B6" s="59"/>
      <c r="C6" s="131"/>
      <c r="D6" s="132"/>
      <c r="E6" s="66"/>
      <c r="F6" s="132" t="str">
        <f>'Sprachen &amp; Rückgabewerte(2)'!$H$5</f>
        <v>Gemäss Zeichnung Nr.:</v>
      </c>
      <c r="G6" s="132"/>
      <c r="H6" s="132"/>
      <c r="I6" s="132"/>
      <c r="J6" s="132"/>
      <c r="K6" s="132"/>
      <c r="L6" s="146"/>
      <c r="M6" s="699"/>
      <c r="N6" s="700"/>
      <c r="O6" s="700"/>
      <c r="P6" s="700"/>
      <c r="Q6" s="701"/>
      <c r="R6" s="133"/>
      <c r="S6" s="134" t="str">
        <f>'Sprachen &amp; Rückgabewerte(2)'!$H$7</f>
        <v xml:space="preserve">Objekt: </v>
      </c>
      <c r="T6" s="132"/>
      <c r="U6" s="132"/>
      <c r="V6" s="132"/>
      <c r="W6" s="132"/>
      <c r="X6" s="90"/>
      <c r="Y6" s="711"/>
      <c r="Z6" s="712"/>
      <c r="AA6" s="712"/>
      <c r="AB6" s="712"/>
      <c r="AC6" s="712"/>
      <c r="AD6" s="712"/>
      <c r="AE6" s="712"/>
      <c r="AF6" s="713"/>
      <c r="AG6" s="133"/>
      <c r="AH6" s="134" t="str">
        <f>'Sprachen &amp; Rückgabewerte(2)'!H56</f>
        <v>Stück:</v>
      </c>
      <c r="AI6" s="132"/>
      <c r="AJ6" s="702"/>
      <c r="AK6" s="703"/>
      <c r="AL6" s="704"/>
      <c r="AM6" s="116"/>
      <c r="AN6" s="134" t="str">
        <f>'Sprachen &amp; Rückgabewerte(2)'!$H$11</f>
        <v>3-gleisig</v>
      </c>
      <c r="AO6" s="132"/>
      <c r="AP6" s="132"/>
      <c r="AQ6" s="132"/>
      <c r="AR6" s="132"/>
      <c r="AS6" s="132"/>
      <c r="AT6" s="133"/>
      <c r="AU6" s="114"/>
      <c r="AW6" s="242"/>
      <c r="AX6" s="60"/>
      <c r="AY6" s="60"/>
      <c r="AZ6" s="60"/>
      <c r="BA6" s="60"/>
      <c r="BB6" s="244"/>
      <c r="BD6" s="242"/>
      <c r="BE6" s="549"/>
      <c r="BF6" s="550"/>
      <c r="BG6" s="552"/>
      <c r="BH6" s="413"/>
      <c r="BI6" s="244"/>
    </row>
    <row r="7" spans="1:64" ht="12" customHeight="1" x14ac:dyDescent="0.2">
      <c r="B7" s="59"/>
      <c r="C7" s="131"/>
      <c r="D7" s="132"/>
      <c r="E7" s="66"/>
      <c r="F7" s="132" t="str">
        <f>'Sprachen &amp; Rückgabewerte(2)'!$H$6</f>
        <v>Gemäss Skizze: (Ansicht von Aussen)</v>
      </c>
      <c r="G7" s="132"/>
      <c r="H7" s="132"/>
      <c r="I7" s="132"/>
      <c r="J7" s="132"/>
      <c r="K7" s="132"/>
      <c r="L7" s="132"/>
      <c r="M7" s="132"/>
      <c r="N7" s="132"/>
      <c r="O7" s="132"/>
      <c r="P7" s="132"/>
      <c r="Q7" s="132"/>
      <c r="R7" s="133"/>
      <c r="S7" s="134" t="str">
        <f>'Sprachen &amp; Rückgabewerte(2)'!$H$8</f>
        <v>Bestelldatum:</v>
      </c>
      <c r="T7" s="132"/>
      <c r="U7" s="132"/>
      <c r="V7" s="132"/>
      <c r="W7" s="132"/>
      <c r="X7" s="90"/>
      <c r="Y7" s="708"/>
      <c r="Z7" s="709"/>
      <c r="AA7" s="709"/>
      <c r="AB7" s="709"/>
      <c r="AC7" s="709"/>
      <c r="AD7" s="709"/>
      <c r="AE7" s="709"/>
      <c r="AF7" s="710"/>
      <c r="AG7" s="147"/>
      <c r="AH7" s="134" t="str">
        <f>'Sprachen &amp; Rückgabewerte(2)'!H57</f>
        <v>Seite:</v>
      </c>
      <c r="AI7" s="148"/>
      <c r="AJ7" s="705"/>
      <c r="AK7" s="706"/>
      <c r="AL7" s="707"/>
      <c r="AM7" s="116"/>
      <c r="AN7" s="327" t="str">
        <f>IF('Sprachen &amp; Rückgabewerte(2)'!I11=TRUE,'Sprachen &amp; Rückgabewerte(2)'!H160,"")</f>
        <v/>
      </c>
      <c r="AO7" s="90"/>
      <c r="AP7" s="146"/>
      <c r="AQ7" s="146"/>
      <c r="AR7" s="146"/>
      <c r="AS7" s="146"/>
      <c r="AT7" s="133"/>
      <c r="AU7" s="114"/>
      <c r="AW7" s="242"/>
      <c r="AX7" s="155" t="str">
        <f>'Sprachen &amp; Rückgabewerte(2)'!H193</f>
        <v>Sonstiges:</v>
      </c>
      <c r="AY7" s="60"/>
      <c r="AZ7" s="60"/>
      <c r="BA7" s="60"/>
      <c r="BB7" s="244"/>
      <c r="BD7" s="242"/>
      <c r="BE7" s="60"/>
      <c r="BF7" s="60"/>
      <c r="BG7" s="60"/>
      <c r="BH7" s="60"/>
      <c r="BI7" s="244"/>
    </row>
    <row r="8" spans="1:64" ht="7.5" customHeight="1" thickBot="1" x14ac:dyDescent="0.25">
      <c r="B8" s="59"/>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2"/>
      <c r="AX8" s="60"/>
      <c r="AY8" s="60"/>
      <c r="AZ8" s="60"/>
      <c r="BA8" s="60"/>
      <c r="BB8" s="244"/>
      <c r="BD8" s="242"/>
      <c r="BE8" s="60"/>
      <c r="BF8" s="60"/>
      <c r="BG8" s="60"/>
      <c r="BH8" s="60"/>
      <c r="BI8" s="244"/>
    </row>
    <row r="9" spans="1:64" ht="15" customHeight="1" thickTop="1" x14ac:dyDescent="0.2">
      <c r="A9" s="654" t="str">
        <f>IF('Sprachen &amp; Rückgabewerte(2)'!L62=1,'Sprachen &amp; Rückgabewerte(2)'!$H$132,"")</f>
        <v/>
      </c>
      <c r="B9" s="227"/>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2"/>
      <c r="AN9" s="60"/>
      <c r="AO9" s="60"/>
      <c r="AP9" s="60"/>
      <c r="AQ9" s="60"/>
      <c r="AR9" s="60"/>
      <c r="AS9" s="60"/>
      <c r="AT9" s="114"/>
      <c r="AU9" s="114"/>
      <c r="AW9" s="242"/>
      <c r="AX9" s="431" t="str">
        <f>'Sprachen &amp; Rückgabewerte(2)'!H194</f>
        <v>Sichtbare Rahmenprofile (aussen):</v>
      </c>
      <c r="AY9" s="60"/>
      <c r="AZ9" s="544"/>
      <c r="BA9" s="545"/>
      <c r="BB9" s="244"/>
      <c r="BD9" s="242"/>
      <c r="BE9" s="553">
        <f>ROUND(SUM(BJ5,BK5,BL5),1)</f>
        <v>0</v>
      </c>
      <c r="BF9" s="554"/>
      <c r="BG9" s="555"/>
      <c r="BH9" s="156" t="s">
        <v>179</v>
      </c>
      <c r="BI9" s="244"/>
    </row>
    <row r="10" spans="1:64" ht="15" customHeight="1" thickBot="1" x14ac:dyDescent="0.25">
      <c r="A10" s="655"/>
      <c r="B10" s="227"/>
      <c r="C10" s="59"/>
      <c r="D10" s="60"/>
      <c r="E10" s="60"/>
      <c r="F10" s="650"/>
      <c r="G10" s="651"/>
      <c r="H10" s="60"/>
      <c r="I10" s="60"/>
      <c r="J10" s="650"/>
      <c r="K10" s="651"/>
      <c r="L10" s="60"/>
      <c r="M10" s="60"/>
      <c r="N10" s="650"/>
      <c r="O10" s="651"/>
      <c r="P10" s="60"/>
      <c r="Q10" s="60"/>
      <c r="R10" s="650"/>
      <c r="S10" s="651"/>
      <c r="T10" s="60"/>
      <c r="U10" s="60"/>
      <c r="V10" s="650"/>
      <c r="W10" s="651"/>
      <c r="X10" s="60"/>
      <c r="Y10" s="60"/>
      <c r="Z10" s="650"/>
      <c r="AA10" s="651"/>
      <c r="AB10" s="60"/>
      <c r="AC10" s="60"/>
      <c r="AD10" s="650"/>
      <c r="AE10" s="651"/>
      <c r="AF10" s="60"/>
      <c r="AG10" s="60"/>
      <c r="AH10" s="650"/>
      <c r="AI10" s="651"/>
      <c r="AJ10" s="60"/>
      <c r="AK10" s="60"/>
      <c r="AL10" s="650"/>
      <c r="AM10" s="651"/>
      <c r="AN10" s="60"/>
      <c r="AO10" s="60"/>
      <c r="AP10" s="650"/>
      <c r="AQ10" s="651"/>
      <c r="AR10" s="60"/>
      <c r="AS10" s="60"/>
      <c r="AT10" s="114"/>
      <c r="AU10" s="114"/>
      <c r="AW10" s="242"/>
      <c r="AX10" s="431" t="str">
        <f>'Sprachen &amp; Rückgabewerte(2)'!H195</f>
        <v>Lieferung Glas und Rahmen:</v>
      </c>
      <c r="AY10" s="60"/>
      <c r="AZ10" s="544"/>
      <c r="BA10" s="545"/>
      <c r="BB10" s="244"/>
      <c r="BD10" s="258"/>
      <c r="BE10" s="248"/>
      <c r="BF10" s="248"/>
      <c r="BG10" s="248"/>
      <c r="BH10" s="248"/>
      <c r="BI10" s="250"/>
    </row>
    <row r="11" spans="1:64" ht="15" customHeight="1" thickTop="1" thickBot="1" x14ac:dyDescent="0.25">
      <c r="A11" s="656"/>
      <c r="B11" s="227"/>
      <c r="C11" s="238">
        <f>COUNTBLANK(E11:AO11)</f>
        <v>37</v>
      </c>
      <c r="D11" s="60"/>
      <c r="E11" s="66"/>
      <c r="F11" s="66"/>
      <c r="G11" s="66"/>
      <c r="H11" s="162"/>
      <c r="I11" s="162"/>
      <c r="J11" s="66"/>
      <c r="K11" s="66"/>
      <c r="L11" s="162"/>
      <c r="M11" s="162"/>
      <c r="N11" s="66"/>
      <c r="O11" s="66"/>
      <c r="P11" s="162"/>
      <c r="Q11" s="162"/>
      <c r="R11" s="66"/>
      <c r="S11" s="66"/>
      <c r="T11" s="162"/>
      <c r="U11" s="162"/>
      <c r="V11" s="66"/>
      <c r="W11" s="66"/>
      <c r="X11" s="162"/>
      <c r="Y11" s="162"/>
      <c r="Z11" s="66"/>
      <c r="AA11" s="66"/>
      <c r="AB11" s="162"/>
      <c r="AC11" s="162"/>
      <c r="AD11" s="66"/>
      <c r="AE11" s="66"/>
      <c r="AF11" s="162"/>
      <c r="AG11" s="162"/>
      <c r="AH11" s="66"/>
      <c r="AI11" s="66"/>
      <c r="AJ11" s="162"/>
      <c r="AK11" s="162"/>
      <c r="AL11" s="66"/>
      <c r="AM11" s="66"/>
      <c r="AN11" s="162"/>
      <c r="AO11" s="162"/>
      <c r="AP11" s="66"/>
      <c r="AQ11" s="66"/>
      <c r="AR11" s="66"/>
      <c r="AS11" s="60"/>
      <c r="AT11" s="114"/>
      <c r="AU11" s="114"/>
      <c r="AW11" s="242"/>
      <c r="AX11" s="60"/>
      <c r="AY11" s="60"/>
      <c r="AZ11" s="60"/>
      <c r="BA11" s="60"/>
      <c r="BB11" s="244"/>
    </row>
    <row r="12" spans="1:64" ht="13.5" customHeight="1" thickTop="1" x14ac:dyDescent="0.2">
      <c r="B12" s="59"/>
      <c r="C12" s="59"/>
      <c r="D12" s="60"/>
      <c r="E12" s="94"/>
      <c r="F12" s="81"/>
      <c r="G12" s="81"/>
      <c r="H12" s="82" t="str">
        <f>IF(F10&lt;&gt;"",IF(AND(F10&gt;0,F10&lt;&gt;"F"),CONCATENATE('Sprachen &amp; Rückgabewerte(2)'!$C$28," ",'Sprachen &amp; Rückgabewerte(2)'!$C$29," ",'Sprachen &amp; Rückgabewerte(2)'!$C$30),'Sprachen &amp; Rückgabewerte(2)'!$C$30),"")</f>
        <v/>
      </c>
      <c r="I12" s="94"/>
      <c r="J12" s="81"/>
      <c r="K12" s="81"/>
      <c r="L12" s="82" t="str">
        <f>IF(J10&lt;&gt;"",IF(AND(J10&gt;0,J10&lt;&gt;"F"),CONCATENATE('Sprachen &amp; Rückgabewerte(2)'!$C$28," ",'Sprachen &amp; Rückgabewerte(2)'!$C$29," ",'Sprachen &amp; Rückgabewerte(2)'!$C$30),'Sprachen &amp; Rückgabewerte(2)'!$C$30),"")</f>
        <v/>
      </c>
      <c r="M12" s="94"/>
      <c r="N12" s="81"/>
      <c r="O12" s="81"/>
      <c r="P12" s="82" t="str">
        <f>IF(N10&lt;&gt;"",IF(AND(N10&gt;0,N10&lt;&gt;"F"),CONCATENATE('Sprachen &amp; Rückgabewerte(2)'!$C$28," ",'Sprachen &amp; Rückgabewerte(2)'!$C$29," ",'Sprachen &amp; Rückgabewerte(2)'!$C$30),'Sprachen &amp; Rückgabewerte(2)'!$C$30),"")</f>
        <v/>
      </c>
      <c r="Q12" s="94"/>
      <c r="R12" s="81"/>
      <c r="S12" s="81"/>
      <c r="T12" s="82" t="str">
        <f>IF(R10&lt;&gt;"",IF(AND(R10&gt;0,R10&lt;&gt;"F"),CONCATENATE('Sprachen &amp; Rückgabewerte(2)'!$C$28," ",'Sprachen &amp; Rückgabewerte(2)'!$C$29," ",'Sprachen &amp; Rückgabewerte(2)'!$C$30),'Sprachen &amp; Rückgabewerte(2)'!$C$30),"")</f>
        <v/>
      </c>
      <c r="U12" s="94"/>
      <c r="V12" s="81"/>
      <c r="W12" s="81"/>
      <c r="X12" s="82" t="str">
        <f>IF(V10&lt;&gt;"",IF(AND(V10&gt;0,V10&lt;&gt;"F"),CONCATENATE('Sprachen &amp; Rückgabewerte(2)'!$C$28," ",'Sprachen &amp; Rückgabewerte(2)'!$C$29," ",'Sprachen &amp; Rückgabewerte(2)'!$C$30),'Sprachen &amp; Rückgabewerte(2)'!$C$30),"")</f>
        <v/>
      </c>
      <c r="Y12" s="94"/>
      <c r="Z12" s="81"/>
      <c r="AA12" s="81"/>
      <c r="AB12" s="82" t="str">
        <f>IF(Z10&lt;&gt;"",IF(AND(Z10&gt;0,Z10&lt;&gt;"F"),CONCATENATE('Sprachen &amp; Rückgabewerte(2)'!$C$28," ",'Sprachen &amp; Rückgabewerte(2)'!$C$29," ",'Sprachen &amp; Rückgabewerte(2)'!$C$30),'Sprachen &amp; Rückgabewerte(2)'!$C$30),"")</f>
        <v/>
      </c>
      <c r="AC12" s="94"/>
      <c r="AD12" s="81"/>
      <c r="AE12" s="81"/>
      <c r="AF12" s="82" t="str">
        <f>IF(AD10&lt;&gt;"",IF(AND(AD10&gt;0,AD10&lt;&gt;"F"),CONCATENATE('Sprachen &amp; Rückgabewerte(2)'!$C$28," ",'Sprachen &amp; Rückgabewerte(2)'!$C$29," ",'Sprachen &amp; Rückgabewerte(2)'!$C$30),'Sprachen &amp; Rückgabewerte(2)'!$C$30),"")</f>
        <v/>
      </c>
      <c r="AG12" s="94"/>
      <c r="AH12" s="81"/>
      <c r="AI12" s="81"/>
      <c r="AJ12" s="82" t="str">
        <f>IF(AH10&lt;&gt;"",IF(AND(AH10&gt;0,AH10&lt;&gt;"F"),CONCATENATE('Sprachen &amp; Rückgabewerte(2)'!$C$28," ",'Sprachen &amp; Rückgabewerte(2)'!$C$29," ",'Sprachen &amp; Rückgabewerte(2)'!$C$30),'Sprachen &amp; Rückgabewerte(2)'!$C$30),"")</f>
        <v/>
      </c>
      <c r="AK12" s="94"/>
      <c r="AL12" s="81"/>
      <c r="AM12" s="81"/>
      <c r="AN12" s="82" t="str">
        <f>IF(AL10&lt;&gt;"",IF(AND(AL10&gt;0,AL10&lt;&gt;"F"),CONCATENATE('Sprachen &amp; Rückgabewerte(2)'!$C$28," ",'Sprachen &amp; Rückgabewerte(2)'!$C$29," ",'Sprachen &amp; Rückgabewerte(2)'!$C$30),'Sprachen &amp; Rückgabewerte(2)'!$C$30),"")</f>
        <v/>
      </c>
      <c r="AO12" s="94"/>
      <c r="AP12" s="81"/>
      <c r="AQ12" s="81"/>
      <c r="AR12" s="82" t="str">
        <f>IF(AP10&lt;&gt;"",IF(AND(AP10&gt;0,AP10&lt;&gt;"F"),CONCATENATE('Sprachen &amp; Rückgabewerte(2)'!$C$28," ",'Sprachen &amp; Rückgabewerte(2)'!$C$29," ",'Sprachen &amp; Rückgabewerte(2)'!$C$30),'Sprachen &amp; Rückgabewerte(2)'!$C$30),"")</f>
        <v/>
      </c>
      <c r="AS12" s="149"/>
      <c r="AT12" s="114"/>
      <c r="AU12" s="114"/>
      <c r="AW12" s="242"/>
      <c r="AX12" s="245"/>
      <c r="AY12" s="60"/>
      <c r="AZ12" s="60"/>
      <c r="BA12" s="60"/>
      <c r="BB12" s="244"/>
    </row>
    <row r="13" spans="1:64" ht="13.5" customHeight="1" x14ac:dyDescent="0.2">
      <c r="B13" s="59"/>
      <c r="C13" s="59"/>
      <c r="D13" s="60"/>
      <c r="E13" s="657" t="str">
        <f>IF(AND('Sprachen &amp; Rückgabewerte(2)'!$I$30=TRUE,$F$10="R"),'Sprachen &amp; Rückgabewerte(2)'!H60,"")</f>
        <v/>
      </c>
      <c r="F13" s="60"/>
      <c r="G13" s="60"/>
      <c r="H13" s="659" t="str">
        <f>IF(AND('Sprachen &amp; Rückgabewerte(2)'!$I$31=TRUE,$F$10="L",$J$10=""),'Sprachen &amp; Rückgabewerte(2)'!$H$60,"")</f>
        <v/>
      </c>
      <c r="I13" s="59"/>
      <c r="J13" s="60"/>
      <c r="K13" s="60"/>
      <c r="L13" s="659" t="str">
        <f>IF(AND('Sprachen &amp; Rückgabewerte(2)'!$I$31=TRUE,$J$10="L",$N$10=""),'Sprachen &amp; Rückgabewerte(2)'!$H$60,"")</f>
        <v/>
      </c>
      <c r="M13" s="59"/>
      <c r="N13" s="60"/>
      <c r="O13" s="60"/>
      <c r="P13" s="659" t="str">
        <f>IF(AND('Sprachen &amp; Rückgabewerte(2)'!$I$31=TRUE,$N$10="L",$R$10=""),'Sprachen &amp; Rückgabewerte(2)'!$H$60,"")</f>
        <v/>
      </c>
      <c r="Q13" s="59"/>
      <c r="R13" s="60"/>
      <c r="S13" s="60"/>
      <c r="T13" s="659" t="str">
        <f>IF(AND('Sprachen &amp; Rückgabewerte(2)'!$I$31=TRUE,$R$10="L",$V$10=""),'Sprachen &amp; Rückgabewerte(2)'!$H$60,"")</f>
        <v/>
      </c>
      <c r="U13" s="59"/>
      <c r="V13" s="60"/>
      <c r="W13" s="60"/>
      <c r="X13" s="659" t="str">
        <f>IF(AND('Sprachen &amp; Rückgabewerte(2)'!$I$31=TRUE,$V$10="L",$Z$10=""),'Sprachen &amp; Rückgabewerte(2)'!$H$60,"")</f>
        <v/>
      </c>
      <c r="Y13" s="59"/>
      <c r="Z13" s="60"/>
      <c r="AA13" s="60"/>
      <c r="AB13" s="659" t="str">
        <f>IF(AND('Sprachen &amp; Rückgabewerte(2)'!$I$31=TRUE,$Z$10="L",$AD$10=""),'Sprachen &amp; Rückgabewerte(2)'!$H$60,"")</f>
        <v/>
      </c>
      <c r="AC13" s="59"/>
      <c r="AD13" s="60"/>
      <c r="AE13" s="60"/>
      <c r="AF13" s="659" t="str">
        <f>IF(AND('Sprachen &amp; Rückgabewerte(2)'!$I$31=TRUE,$AD$10="L",$AH$10=""),'Sprachen &amp; Rückgabewerte(2)'!$H$60,"")</f>
        <v/>
      </c>
      <c r="AG13" s="59"/>
      <c r="AH13" s="60"/>
      <c r="AI13" s="60"/>
      <c r="AJ13" s="659" t="str">
        <f>IF(AND('Sprachen &amp; Rückgabewerte(2)'!$I$31=TRUE,$AH$10="L",$AL$10=""),'Sprachen &amp; Rückgabewerte(2)'!$H$60,"")</f>
        <v/>
      </c>
      <c r="AK13" s="59"/>
      <c r="AL13" s="60"/>
      <c r="AM13" s="60"/>
      <c r="AN13" s="659" t="str">
        <f>IF(AND('Sprachen &amp; Rückgabewerte(2)'!$I$31=TRUE,$AL$10="L",$AP$10=""),'Sprachen &amp; Rückgabewerte(2)'!$H$60,"")</f>
        <v/>
      </c>
      <c r="AO13" s="59"/>
      <c r="AP13" s="60"/>
      <c r="AQ13" s="60"/>
      <c r="AR13" s="659" t="str">
        <f>IF(AND('Sprachen &amp; Rückgabewerte(2)'!$I$31=TRUE,$AP$10="L"),'Sprachen &amp; Rückgabewerte(2)'!$H$60,"")</f>
        <v/>
      </c>
      <c r="AS13" s="150"/>
      <c r="AT13" s="114"/>
      <c r="AU13" s="114"/>
      <c r="AW13" s="242"/>
      <c r="AX13" s="60"/>
      <c r="AY13" s="60"/>
      <c r="AZ13" s="60"/>
      <c r="BA13" s="60"/>
      <c r="BB13" s="244"/>
    </row>
    <row r="14" spans="1:64" ht="13.5" customHeight="1" x14ac:dyDescent="0.2">
      <c r="B14" s="59"/>
      <c r="C14" s="59"/>
      <c r="D14" s="60"/>
      <c r="E14" s="657"/>
      <c r="F14" s="653" t="str">
        <f>IF(F10='Sprachen &amp; Rückgabewerte(2)'!$B$9,'Sprachen &amp; Rückgabewerte(2)'!$C$9,IF(F10='Sprachen &amp; Rückgabewerte(2)'!$B$10,'Sprachen &amp; Rückgabewerte(2)'!$C$10,IF(F10='Sprachen &amp; Rückgabewerte(2)'!$B$11,'Sprachen &amp; Rückgabewerte(2)'!$C$11,IF(F10='Sprachen &amp; Rückgabewerte(2)'!$B$12,'Sprachen &amp; Rückgabewerte(2)'!$C$12,IF(F10='Sprachen &amp; Rückgabewerte(2)'!$B$13,'Sprachen &amp; Rückgabewerte(2)'!$C$13,IF(F10='Sprachen &amp; Rückgabewerte(2)'!$B$14,'Sprachen &amp; Rückgabewerte(2)'!$C$14,""))))))</f>
        <v/>
      </c>
      <c r="G14" s="653"/>
      <c r="H14" s="659"/>
      <c r="I14" s="59"/>
      <c r="J14" s="653" t="str">
        <f>IF(J10='Sprachen &amp; Rückgabewerte(2)'!$B$9,'Sprachen &amp; Rückgabewerte(2)'!$C$9,IF(J10='Sprachen &amp; Rückgabewerte(2)'!$B$10,'Sprachen &amp; Rückgabewerte(2)'!$C$10,IF(J10='Sprachen &amp; Rückgabewerte(2)'!$B$11,'Sprachen &amp; Rückgabewerte(2)'!$C$11,IF(J10='Sprachen &amp; Rückgabewerte(2)'!$B$12,'Sprachen &amp; Rückgabewerte(2)'!$C$12,IF(J10='Sprachen &amp; Rückgabewerte(2)'!$B$13,'Sprachen &amp; Rückgabewerte(2)'!$C$13,IF(J10='Sprachen &amp; Rückgabewerte(2)'!$B$14,'Sprachen &amp; Rückgabewerte(2)'!$C$14,""))))))</f>
        <v/>
      </c>
      <c r="K14" s="653"/>
      <c r="L14" s="659"/>
      <c r="M14" s="59"/>
      <c r="N14" s="653" t="str">
        <f>IF(N10='Sprachen &amp; Rückgabewerte(2)'!$B$9,'Sprachen &amp; Rückgabewerte(2)'!$C$9,IF(N10='Sprachen &amp; Rückgabewerte(2)'!$B$10,'Sprachen &amp; Rückgabewerte(2)'!$C$10,IF(N10='Sprachen &amp; Rückgabewerte(2)'!$B$11,'Sprachen &amp; Rückgabewerte(2)'!$C$11,IF(N10='Sprachen &amp; Rückgabewerte(2)'!$B$12,'Sprachen &amp; Rückgabewerte(2)'!$C$12,IF(N10='Sprachen &amp; Rückgabewerte(2)'!$B$13,'Sprachen &amp; Rückgabewerte(2)'!$C$13,IF(N10='Sprachen &amp; Rückgabewerte(2)'!$B$14,'Sprachen &amp; Rückgabewerte(2)'!$C$14,""))))))</f>
        <v/>
      </c>
      <c r="O14" s="653"/>
      <c r="P14" s="659"/>
      <c r="Q14" s="59"/>
      <c r="R14" s="653" t="str">
        <f>IF(R10='Sprachen &amp; Rückgabewerte(2)'!$B$9,'Sprachen &amp; Rückgabewerte(2)'!$C$9,IF(R10='Sprachen &amp; Rückgabewerte(2)'!$B$10,'Sprachen &amp; Rückgabewerte(2)'!$C$10,IF(R10='Sprachen &amp; Rückgabewerte(2)'!$B$11,'Sprachen &amp; Rückgabewerte(2)'!$C$11,IF(R10='Sprachen &amp; Rückgabewerte(2)'!$B$12,'Sprachen &amp; Rückgabewerte(2)'!$C$12,IF(R10='Sprachen &amp; Rückgabewerte(2)'!$B$13,'Sprachen &amp; Rückgabewerte(2)'!$C$13,IF(R10='Sprachen &amp; Rückgabewerte(2)'!$B$14,'Sprachen &amp; Rückgabewerte(2)'!$C$14,""))))))</f>
        <v/>
      </c>
      <c r="S14" s="653"/>
      <c r="T14" s="659"/>
      <c r="U14" s="59"/>
      <c r="V14" s="653" t="str">
        <f>IF(V10='Sprachen &amp; Rückgabewerte(2)'!$B$9,'Sprachen &amp; Rückgabewerte(2)'!$C$9,IF(V10='Sprachen &amp; Rückgabewerte(2)'!$B$10,'Sprachen &amp; Rückgabewerte(2)'!$C$10,IF(V10='Sprachen &amp; Rückgabewerte(2)'!$B$11,'Sprachen &amp; Rückgabewerte(2)'!$C$11,IF(V10='Sprachen &amp; Rückgabewerte(2)'!$B$12,'Sprachen &amp; Rückgabewerte(2)'!$C$12,IF(V10='Sprachen &amp; Rückgabewerte(2)'!$B$13,'Sprachen &amp; Rückgabewerte(2)'!$C$13,IF(V10='Sprachen &amp; Rückgabewerte(2)'!$B$14,'Sprachen &amp; Rückgabewerte(2)'!$C$14,""))))))</f>
        <v/>
      </c>
      <c r="W14" s="653"/>
      <c r="X14" s="659"/>
      <c r="Y14" s="59"/>
      <c r="Z14" s="653" t="str">
        <f>IF(Z10='Sprachen &amp; Rückgabewerte(2)'!$B$9,'Sprachen &amp; Rückgabewerte(2)'!$C$9,IF(Z10='Sprachen &amp; Rückgabewerte(2)'!$B$10,'Sprachen &amp; Rückgabewerte(2)'!$C$10,IF(Z10='Sprachen &amp; Rückgabewerte(2)'!$B$11,'Sprachen &amp; Rückgabewerte(2)'!$C$11,IF(Z10='Sprachen &amp; Rückgabewerte(2)'!$B$12,'Sprachen &amp; Rückgabewerte(2)'!$C$12,IF(Z10='Sprachen &amp; Rückgabewerte(2)'!$B$13,'Sprachen &amp; Rückgabewerte(2)'!$C$13,IF(Z10='Sprachen &amp; Rückgabewerte(2)'!$B$14,'Sprachen &amp; Rückgabewerte(2)'!$C$14,""))))))</f>
        <v/>
      </c>
      <c r="AA14" s="653"/>
      <c r="AB14" s="659"/>
      <c r="AC14" s="59"/>
      <c r="AD14" s="653" t="str">
        <f>IF(AD10='Sprachen &amp; Rückgabewerte(2)'!$B$9,'Sprachen &amp; Rückgabewerte(2)'!$C$9,IF(AD10='Sprachen &amp; Rückgabewerte(2)'!$B$10,'Sprachen &amp; Rückgabewerte(2)'!$C$10,IF(AD10='Sprachen &amp; Rückgabewerte(2)'!$B$11,'Sprachen &amp; Rückgabewerte(2)'!$C$11,IF(AD10='Sprachen &amp; Rückgabewerte(2)'!$B$12,'Sprachen &amp; Rückgabewerte(2)'!$C$12,IF(AD10='Sprachen &amp; Rückgabewerte(2)'!$B$13,'Sprachen &amp; Rückgabewerte(2)'!$C$13,IF(AD10='Sprachen &amp; Rückgabewerte(2)'!$B$14,'Sprachen &amp; Rückgabewerte(2)'!$C$14,""))))))</f>
        <v/>
      </c>
      <c r="AE14" s="653"/>
      <c r="AF14" s="659"/>
      <c r="AG14" s="59"/>
      <c r="AH14" s="653" t="str">
        <f>IF(AH10='Sprachen &amp; Rückgabewerte(2)'!$B$9,'Sprachen &amp; Rückgabewerte(2)'!$C$9,IF(AH10='Sprachen &amp; Rückgabewerte(2)'!$B$10,'Sprachen &amp; Rückgabewerte(2)'!$C$10,IF(AH10='Sprachen &amp; Rückgabewerte(2)'!$B$11,'Sprachen &amp; Rückgabewerte(2)'!$C$11,IF(AH10='Sprachen &amp; Rückgabewerte(2)'!$B$12,'Sprachen &amp; Rückgabewerte(2)'!$C$12,IF(AH10='Sprachen &amp; Rückgabewerte(2)'!$B$13,'Sprachen &amp; Rückgabewerte(2)'!$C$13,IF(AH10='Sprachen &amp; Rückgabewerte(2)'!$B$14,'Sprachen &amp; Rückgabewerte(2)'!$C$14,""))))))</f>
        <v/>
      </c>
      <c r="AI14" s="653"/>
      <c r="AJ14" s="659"/>
      <c r="AK14" s="59"/>
      <c r="AL14" s="653" t="str">
        <f>IF(AL10='Sprachen &amp; Rückgabewerte(2)'!$B$9,'Sprachen &amp; Rückgabewerte(2)'!$C$9,IF(AL10='Sprachen &amp; Rückgabewerte(2)'!$B$10,'Sprachen &amp; Rückgabewerte(2)'!$C$10,IF(AL10='Sprachen &amp; Rückgabewerte(2)'!$B$11,'Sprachen &amp; Rückgabewerte(2)'!$C$11,IF(AL10='Sprachen &amp; Rückgabewerte(2)'!$B$12,'Sprachen &amp; Rückgabewerte(2)'!$C$12,IF(AL10='Sprachen &amp; Rückgabewerte(2)'!$B$13,'Sprachen &amp; Rückgabewerte(2)'!$C$13,IF(AL10='Sprachen &amp; Rückgabewerte(2)'!$B$14,'Sprachen &amp; Rückgabewerte(2)'!$C$14,""))))))</f>
        <v/>
      </c>
      <c r="AM14" s="653"/>
      <c r="AN14" s="659"/>
      <c r="AO14" s="59"/>
      <c r="AP14" s="653" t="str">
        <f>IF(AP10='Sprachen &amp; Rückgabewerte(2)'!$B$9,'Sprachen &amp; Rückgabewerte(2)'!$C$9,IF(AP10='Sprachen &amp; Rückgabewerte(2)'!$B$10,'Sprachen &amp; Rückgabewerte(2)'!$C$10,IF(AP10='Sprachen &amp; Rückgabewerte(2)'!$B$11,'Sprachen &amp; Rückgabewerte(2)'!$C$11,IF(AP10='Sprachen &amp; Rückgabewerte(2)'!$B$12,'Sprachen &amp; Rückgabewerte(2)'!$C$12,IF(AP10='Sprachen &amp; Rückgabewerte(2)'!$B$13,'Sprachen &amp; Rückgabewerte(2)'!$C$13,IF(AP10='Sprachen &amp; Rückgabewerte(2)'!$B$14,'Sprachen &amp; Rückgabewerte(2)'!$C$14,""))))))</f>
        <v/>
      </c>
      <c r="AQ14" s="653"/>
      <c r="AR14" s="659"/>
      <c r="AS14" s="149"/>
      <c r="AT14" s="114"/>
      <c r="AU14" s="114"/>
      <c r="AW14" s="242"/>
      <c r="AX14" s="155" t="str">
        <f>'Sprachen &amp; Rückgabewerte(2)'!H131</f>
        <v>Bemerkungen:</v>
      </c>
      <c r="AY14" s="60"/>
      <c r="AZ14" s="60"/>
      <c r="BA14" s="60"/>
      <c r="BB14" s="244"/>
    </row>
    <row r="15" spans="1:64" ht="13.5" customHeight="1" x14ac:dyDescent="0.2">
      <c r="B15" s="59"/>
      <c r="C15" s="59"/>
      <c r="D15" s="60"/>
      <c r="E15" s="657"/>
      <c r="F15" s="653"/>
      <c r="G15" s="653"/>
      <c r="H15" s="659"/>
      <c r="I15" s="59"/>
      <c r="J15" s="653"/>
      <c r="K15" s="653"/>
      <c r="L15" s="659"/>
      <c r="M15" s="59"/>
      <c r="N15" s="653"/>
      <c r="O15" s="653"/>
      <c r="P15" s="659"/>
      <c r="Q15" s="59"/>
      <c r="R15" s="653"/>
      <c r="S15" s="653"/>
      <c r="T15" s="659"/>
      <c r="U15" s="59"/>
      <c r="V15" s="653"/>
      <c r="W15" s="653"/>
      <c r="X15" s="659"/>
      <c r="Y15" s="59"/>
      <c r="Z15" s="653"/>
      <c r="AA15" s="653"/>
      <c r="AB15" s="659"/>
      <c r="AC15" s="59"/>
      <c r="AD15" s="653"/>
      <c r="AE15" s="653"/>
      <c r="AF15" s="659"/>
      <c r="AG15" s="59"/>
      <c r="AH15" s="653"/>
      <c r="AI15" s="653"/>
      <c r="AJ15" s="659"/>
      <c r="AK15" s="59"/>
      <c r="AL15" s="653"/>
      <c r="AM15" s="653"/>
      <c r="AN15" s="659"/>
      <c r="AO15" s="59"/>
      <c r="AP15" s="653"/>
      <c r="AQ15" s="653"/>
      <c r="AR15" s="659"/>
      <c r="AS15" s="60"/>
      <c r="AT15" s="114"/>
      <c r="AU15" s="114"/>
      <c r="AW15" s="242"/>
      <c r="AX15" s="639" t="s">
        <v>506</v>
      </c>
      <c r="AY15" s="640"/>
      <c r="AZ15" s="640"/>
      <c r="BA15" s="641"/>
      <c r="BB15" s="244"/>
    </row>
    <row r="16" spans="1:64" ht="13.5" customHeight="1" x14ac:dyDescent="0.2">
      <c r="B16" s="59"/>
      <c r="C16" s="59"/>
      <c r="D16" s="60"/>
      <c r="E16" s="657"/>
      <c r="F16" s="652"/>
      <c r="G16" s="652"/>
      <c r="H16" s="659"/>
      <c r="I16" s="59"/>
      <c r="J16" s="652"/>
      <c r="K16" s="652"/>
      <c r="L16" s="659"/>
      <c r="M16" s="59"/>
      <c r="N16" s="652"/>
      <c r="O16" s="652"/>
      <c r="P16" s="659"/>
      <c r="Q16" s="59"/>
      <c r="R16" s="652"/>
      <c r="S16" s="652"/>
      <c r="T16" s="659"/>
      <c r="U16" s="59"/>
      <c r="V16" s="652"/>
      <c r="W16" s="652"/>
      <c r="X16" s="659"/>
      <c r="Y16" s="59"/>
      <c r="Z16" s="652"/>
      <c r="AA16" s="652"/>
      <c r="AB16" s="659"/>
      <c r="AC16" s="59"/>
      <c r="AD16" s="652"/>
      <c r="AE16" s="652"/>
      <c r="AF16" s="659"/>
      <c r="AG16" s="59"/>
      <c r="AH16" s="652"/>
      <c r="AI16" s="652"/>
      <c r="AJ16" s="659"/>
      <c r="AK16" s="59"/>
      <c r="AL16" s="652"/>
      <c r="AM16" s="652"/>
      <c r="AN16" s="659"/>
      <c r="AO16" s="59"/>
      <c r="AP16" s="652"/>
      <c r="AQ16" s="652"/>
      <c r="AR16" s="659"/>
      <c r="AS16" s="60"/>
      <c r="AT16" s="114"/>
      <c r="AU16" s="114"/>
      <c r="AW16" s="246"/>
      <c r="AX16" s="642"/>
      <c r="AY16" s="643"/>
      <c r="AZ16" s="643"/>
      <c r="BA16" s="644"/>
      <c r="BB16" s="244"/>
    </row>
    <row r="17" spans="1:54" ht="13.5" customHeight="1" x14ac:dyDescent="0.2">
      <c r="B17" s="59"/>
      <c r="C17" s="59"/>
      <c r="D17" s="60"/>
      <c r="E17" s="657"/>
      <c r="F17" s="652"/>
      <c r="G17" s="652"/>
      <c r="H17" s="659"/>
      <c r="I17" s="59"/>
      <c r="J17" s="652"/>
      <c r="K17" s="652"/>
      <c r="L17" s="659"/>
      <c r="M17" s="59"/>
      <c r="N17" s="652"/>
      <c r="O17" s="652"/>
      <c r="P17" s="659"/>
      <c r="Q17" s="59"/>
      <c r="R17" s="652"/>
      <c r="S17" s="652"/>
      <c r="T17" s="659"/>
      <c r="U17" s="59"/>
      <c r="V17" s="652"/>
      <c r="W17" s="652"/>
      <c r="X17" s="659"/>
      <c r="Y17" s="59"/>
      <c r="Z17" s="652"/>
      <c r="AA17" s="652"/>
      <c r="AB17" s="659"/>
      <c r="AC17" s="59"/>
      <c r="AD17" s="652"/>
      <c r="AE17" s="652"/>
      <c r="AF17" s="659"/>
      <c r="AG17" s="59"/>
      <c r="AH17" s="652"/>
      <c r="AI17" s="652"/>
      <c r="AJ17" s="659"/>
      <c r="AK17" s="59"/>
      <c r="AL17" s="652"/>
      <c r="AM17" s="652"/>
      <c r="AN17" s="659"/>
      <c r="AO17" s="59"/>
      <c r="AP17" s="652"/>
      <c r="AQ17" s="652"/>
      <c r="AR17" s="659"/>
      <c r="AS17" s="60"/>
      <c r="AT17" s="114"/>
      <c r="AU17" s="114"/>
      <c r="AW17" s="246"/>
      <c r="AX17" s="642"/>
      <c r="AY17" s="643"/>
      <c r="AZ17" s="643"/>
      <c r="BA17" s="644"/>
      <c r="BB17" s="244"/>
    </row>
    <row r="18" spans="1:54" ht="13.5" customHeight="1" x14ac:dyDescent="0.2">
      <c r="B18" s="59"/>
      <c r="C18" s="59"/>
      <c r="D18" s="60"/>
      <c r="E18" s="657"/>
      <c r="F18" s="430"/>
      <c r="G18" s="430"/>
      <c r="H18" s="659"/>
      <c r="I18" s="59"/>
      <c r="J18" s="430"/>
      <c r="K18" s="430"/>
      <c r="L18" s="659"/>
      <c r="M18" s="59"/>
      <c r="N18" s="430"/>
      <c r="O18" s="430"/>
      <c r="P18" s="659"/>
      <c r="Q18" s="59"/>
      <c r="R18" s="430"/>
      <c r="S18" s="430"/>
      <c r="T18" s="659"/>
      <c r="U18" s="59"/>
      <c r="V18" s="430"/>
      <c r="W18" s="430"/>
      <c r="X18" s="659"/>
      <c r="Y18" s="59"/>
      <c r="Z18" s="430"/>
      <c r="AA18" s="430"/>
      <c r="AB18" s="659"/>
      <c r="AC18" s="59"/>
      <c r="AD18" s="430"/>
      <c r="AE18" s="430"/>
      <c r="AF18" s="659"/>
      <c r="AG18" s="59"/>
      <c r="AH18" s="430"/>
      <c r="AI18" s="430"/>
      <c r="AJ18" s="659"/>
      <c r="AK18" s="59"/>
      <c r="AL18" s="430"/>
      <c r="AM18" s="430"/>
      <c r="AN18" s="659"/>
      <c r="AO18" s="59"/>
      <c r="AP18" s="430"/>
      <c r="AQ18" s="430"/>
      <c r="AR18" s="659"/>
      <c r="AS18" s="60"/>
      <c r="AT18" s="114"/>
      <c r="AU18" s="114"/>
      <c r="AW18" s="246"/>
      <c r="AX18" s="645"/>
      <c r="AY18" s="646"/>
      <c r="AZ18" s="646"/>
      <c r="BA18" s="647"/>
      <c r="BB18" s="244"/>
    </row>
    <row r="19" spans="1:54" ht="13.5" customHeight="1" x14ac:dyDescent="0.2">
      <c r="B19" s="59"/>
      <c r="C19" s="59"/>
      <c r="D19" s="60"/>
      <c r="E19" s="658"/>
      <c r="F19" s="83"/>
      <c r="G19" s="83"/>
      <c r="H19" s="660"/>
      <c r="I19" s="67"/>
      <c r="J19" s="83"/>
      <c r="K19" s="83"/>
      <c r="L19" s="660"/>
      <c r="M19" s="67"/>
      <c r="N19" s="83"/>
      <c r="O19" s="83"/>
      <c r="P19" s="660"/>
      <c r="Q19" s="67"/>
      <c r="R19" s="83"/>
      <c r="S19" s="83"/>
      <c r="T19" s="660"/>
      <c r="U19" s="67"/>
      <c r="V19" s="83"/>
      <c r="W19" s="83"/>
      <c r="X19" s="660"/>
      <c r="Y19" s="67"/>
      <c r="Z19" s="83"/>
      <c r="AA19" s="83"/>
      <c r="AB19" s="660"/>
      <c r="AC19" s="67"/>
      <c r="AD19" s="83"/>
      <c r="AE19" s="83"/>
      <c r="AF19" s="660"/>
      <c r="AG19" s="67"/>
      <c r="AH19" s="83"/>
      <c r="AI19" s="83"/>
      <c r="AJ19" s="660"/>
      <c r="AK19" s="67"/>
      <c r="AL19" s="83"/>
      <c r="AM19" s="83"/>
      <c r="AN19" s="660"/>
      <c r="AO19" s="67"/>
      <c r="AP19" s="83"/>
      <c r="AQ19" s="83"/>
      <c r="AR19" s="660"/>
      <c r="AS19" s="60"/>
      <c r="AT19" s="114"/>
      <c r="AU19" s="114"/>
      <c r="AW19" s="246"/>
      <c r="AX19" s="629" t="str">
        <f>IF('Sprachen &amp; Rückgabewerte(2)'!U83=FALSE,'Sprachen &amp; Rückgabewerte(2)'!H155,'Sprachen &amp; Rückgabewerte(2)'!H156)</f>
        <v>Bestellformular unvollständig!</v>
      </c>
      <c r="AY19" s="629"/>
      <c r="AZ19" s="629"/>
      <c r="BA19" s="629"/>
      <c r="BB19" s="244"/>
    </row>
    <row r="20" spans="1:54" ht="13.5" customHeight="1" thickBot="1" x14ac:dyDescent="0.25">
      <c r="B20" s="59"/>
      <c r="C20" s="59"/>
      <c r="D20" s="60"/>
      <c r="E20" s="60"/>
      <c r="F20" s="90" t="str">
        <f>'Sprachen &amp; Rückgabewerte(2)'!$H$124</f>
        <v>Ecke:</v>
      </c>
      <c r="G20" s="648"/>
      <c r="H20" s="648"/>
      <c r="I20" s="649"/>
      <c r="J20" s="649"/>
      <c r="K20" s="649"/>
      <c r="L20" s="649"/>
      <c r="M20" s="649"/>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8"/>
      <c r="AP20" s="648"/>
      <c r="AQ20" s="60"/>
      <c r="AR20" s="61"/>
      <c r="AS20" s="60"/>
      <c r="AT20" s="114"/>
      <c r="AU20" s="114"/>
      <c r="AW20" s="247"/>
      <c r="AX20" s="630"/>
      <c r="AY20" s="630"/>
      <c r="AZ20" s="630"/>
      <c r="BA20" s="630"/>
      <c r="BB20" s="250"/>
    </row>
    <row r="21" spans="1:54" ht="13.5" customHeight="1" thickTop="1" thickBot="1" x14ac:dyDescent="0.25">
      <c r="B21" s="59"/>
      <c r="C21" s="59"/>
      <c r="D21" s="60"/>
      <c r="E21" s="63"/>
      <c r="F21" s="90" t="str">
        <f>IF(OR(G20='Sprachen &amp; Rückgabewerte(2)'!$H$106,G20='Sprachen &amp; Rückgabewerte(2)'!$H$107,K20='Sprachen &amp; Rückgabewerte(2)'!$H$106,K20='Sprachen &amp; Rückgabewerte(2)'!$H$107,O20='Sprachen &amp; Rückgabewerte(2)'!$H$106,O20='Sprachen &amp; Rückgabewerte(2)'!$H$107,S20='Sprachen &amp; Rückgabewerte(2)'!$H$106,S20='Sprachen &amp; Rückgabewerte(2)'!$H$107,W20='Sprachen &amp; Rückgabewerte(2)'!$H$106,W20='Sprachen &amp; Rückgabewerte(2)'!$H$107,AA20='Sprachen &amp; Rückgabewerte(2)'!$H$106,AA20='Sprachen &amp; Rückgabewerte(2)'!$H$107,AE20='Sprachen &amp; Rückgabewerte(2)'!$H$106,AE20='Sprachen &amp; Rückgabewerte(2)'!$H$107,AI20='Sprachen &amp; Rückgabewerte(2)'!$H$106,AI20='Sprachen &amp; Rückgabewerte(2)'!$H$107,AM20='Sprachen &amp; Rückgabewerte(2)'!$H$106,AM20='Sprachen &amp; Rückgabewerte(2)'!$H$107),'Sprachen &amp; Rückgabewerte(2)'!$H$108,"")</f>
        <v/>
      </c>
      <c r="G21" s="64"/>
      <c r="H21" s="625"/>
      <c r="I21" s="625"/>
      <c r="J21" s="65"/>
      <c r="K21" s="65"/>
      <c r="L21" s="625"/>
      <c r="M21" s="625"/>
      <c r="N21" s="627"/>
      <c r="O21" s="627"/>
      <c r="P21" s="625"/>
      <c r="Q21" s="625"/>
      <c r="R21" s="628"/>
      <c r="S21" s="628"/>
      <c r="T21" s="625"/>
      <c r="U21" s="625"/>
      <c r="V21" s="627"/>
      <c r="W21" s="627"/>
      <c r="X21" s="625"/>
      <c r="Y21" s="625"/>
      <c r="Z21" s="627"/>
      <c r="AA21" s="627"/>
      <c r="AB21" s="625"/>
      <c r="AC21" s="625"/>
      <c r="AD21" s="627"/>
      <c r="AE21" s="627"/>
      <c r="AF21" s="625"/>
      <c r="AG21" s="625"/>
      <c r="AH21" s="627"/>
      <c r="AI21" s="627"/>
      <c r="AJ21" s="625"/>
      <c r="AK21" s="625"/>
      <c r="AL21" s="627"/>
      <c r="AM21" s="627"/>
      <c r="AN21" s="625"/>
      <c r="AO21" s="625"/>
      <c r="AP21" s="60"/>
      <c r="AQ21" s="60"/>
      <c r="AR21" s="61"/>
      <c r="AS21" s="60"/>
      <c r="AT21" s="114"/>
      <c r="AU21" s="114"/>
      <c r="AW21" s="151"/>
      <c r="AY21" s="189"/>
      <c r="AZ21" s="189"/>
      <c r="BA21" s="189"/>
    </row>
    <row r="22" spans="1:54" ht="9.75" customHeight="1" thickTop="1" x14ac:dyDescent="0.2">
      <c r="B22" s="59"/>
      <c r="C22" s="59"/>
      <c r="D22" s="60"/>
      <c r="E22" s="626"/>
      <c r="F22" s="626"/>
      <c r="G22" s="626"/>
      <c r="H22" s="626"/>
      <c r="I22" s="626"/>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0"/>
      <c r="AT22" s="114"/>
      <c r="AU22" s="114"/>
      <c r="AW22" s="239"/>
      <c r="AX22" s="637" t="str">
        <f>'Sprachen &amp; Rückgabewerte(2)'!H157</f>
        <v>B2B-Login Projektnr:</v>
      </c>
      <c r="AY22" s="637"/>
      <c r="AZ22" s="637"/>
      <c r="BA22" s="637"/>
      <c r="BB22" s="241"/>
    </row>
    <row r="23" spans="1:54" ht="9.9499999999999993" customHeight="1" x14ac:dyDescent="0.2">
      <c r="B23" s="59"/>
      <c r="C23" s="59"/>
      <c r="D23" s="60"/>
      <c r="E23" s="593"/>
      <c r="F23" s="593"/>
      <c r="G23" s="593"/>
      <c r="H23" s="593"/>
      <c r="I23" s="593"/>
      <c r="J23" s="593"/>
      <c r="K23" s="593"/>
      <c r="L23" s="593"/>
      <c r="M23" s="593"/>
      <c r="N23" s="593"/>
      <c r="O23" s="593"/>
      <c r="P23" s="593"/>
      <c r="Q23" s="593"/>
      <c r="R23" s="593"/>
      <c r="S23" s="593"/>
      <c r="T23" s="593"/>
      <c r="U23" s="593"/>
      <c r="V23" s="593"/>
      <c r="W23" s="593"/>
      <c r="X23" s="593"/>
      <c r="Y23" s="593"/>
      <c r="Z23" s="593"/>
      <c r="AA23" s="593"/>
      <c r="AB23" s="593"/>
      <c r="AC23" s="593"/>
      <c r="AD23" s="593"/>
      <c r="AE23" s="593"/>
      <c r="AF23" s="593"/>
      <c r="AG23" s="593"/>
      <c r="AH23" s="593"/>
      <c r="AI23" s="593"/>
      <c r="AJ23" s="593"/>
      <c r="AK23" s="593"/>
      <c r="AL23" s="593"/>
      <c r="AM23" s="593"/>
      <c r="AN23" s="593"/>
      <c r="AO23" s="593"/>
      <c r="AP23" s="593"/>
      <c r="AQ23" s="593"/>
      <c r="AR23" s="593"/>
      <c r="AS23" s="66"/>
      <c r="AT23" s="114"/>
      <c r="AU23" s="114"/>
      <c r="AW23" s="242"/>
      <c r="AX23" s="638"/>
      <c r="AY23" s="638"/>
      <c r="AZ23" s="638"/>
      <c r="BA23" s="638"/>
      <c r="BB23" s="244"/>
    </row>
    <row r="24" spans="1:54" ht="9.9499999999999993" customHeight="1" x14ac:dyDescent="0.2">
      <c r="B24" s="59"/>
      <c r="C24" s="59"/>
      <c r="D24" s="60"/>
      <c r="E24" s="593"/>
      <c r="F24" s="593"/>
      <c r="G24" s="593"/>
      <c r="H24" s="593"/>
      <c r="I24" s="593"/>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c r="AS24" s="66"/>
      <c r="AT24" s="114"/>
      <c r="AU24" s="114"/>
      <c r="AW24" s="242"/>
      <c r="AX24" s="638"/>
      <c r="AY24" s="638"/>
      <c r="AZ24" s="638"/>
      <c r="BA24" s="638"/>
      <c r="BB24" s="244"/>
    </row>
    <row r="25" spans="1:54" ht="9.9499999999999993" customHeight="1" x14ac:dyDescent="0.2">
      <c r="B25" s="59"/>
      <c r="C25" s="59"/>
      <c r="D25" s="60"/>
      <c r="E25" s="593"/>
      <c r="F25" s="593"/>
      <c r="G25" s="593"/>
      <c r="H25" s="593"/>
      <c r="I25" s="593"/>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3"/>
      <c r="AK25" s="593"/>
      <c r="AL25" s="593"/>
      <c r="AM25" s="593"/>
      <c r="AN25" s="593"/>
      <c r="AO25" s="593"/>
      <c r="AP25" s="593"/>
      <c r="AQ25" s="593"/>
      <c r="AR25" s="593"/>
      <c r="AS25" s="66"/>
      <c r="AT25" s="114"/>
      <c r="AU25" s="114"/>
      <c r="AW25" s="242"/>
      <c r="AX25" s="631"/>
      <c r="AY25" s="632"/>
      <c r="AZ25" s="633"/>
      <c r="BA25" s="189"/>
      <c r="BB25" s="244"/>
    </row>
    <row r="26" spans="1:54" ht="9.9499999999999993" customHeight="1" x14ac:dyDescent="0.2">
      <c r="B26" s="59"/>
      <c r="C26" s="59"/>
      <c r="D26" s="60"/>
      <c r="E26" s="593"/>
      <c r="F26" s="593"/>
      <c r="G26" s="593"/>
      <c r="H26" s="593"/>
      <c r="I26" s="593"/>
      <c r="J26" s="593"/>
      <c r="K26" s="593"/>
      <c r="L26" s="593"/>
      <c r="M26" s="593"/>
      <c r="N26" s="593"/>
      <c r="O26" s="593"/>
      <c r="P26" s="593"/>
      <c r="Q26" s="593"/>
      <c r="R26" s="593"/>
      <c r="S26" s="593"/>
      <c r="T26" s="593"/>
      <c r="U26" s="593"/>
      <c r="V26" s="593"/>
      <c r="W26" s="593"/>
      <c r="X26" s="593"/>
      <c r="Y26" s="593"/>
      <c r="Z26" s="593"/>
      <c r="AA26" s="593"/>
      <c r="AB26" s="593"/>
      <c r="AC26" s="593"/>
      <c r="AD26" s="593"/>
      <c r="AE26" s="593"/>
      <c r="AF26" s="593"/>
      <c r="AG26" s="593"/>
      <c r="AH26" s="593"/>
      <c r="AI26" s="593"/>
      <c r="AJ26" s="593"/>
      <c r="AK26" s="593"/>
      <c r="AL26" s="593"/>
      <c r="AM26" s="593"/>
      <c r="AN26" s="593"/>
      <c r="AO26" s="593"/>
      <c r="AP26" s="593"/>
      <c r="AQ26" s="593"/>
      <c r="AR26" s="593"/>
      <c r="AS26" s="66"/>
      <c r="AT26" s="114"/>
      <c r="AU26" s="114"/>
      <c r="AW26" s="242"/>
      <c r="AX26" s="634"/>
      <c r="AY26" s="635"/>
      <c r="AZ26" s="636"/>
      <c r="BA26" s="189"/>
      <c r="BB26" s="244"/>
    </row>
    <row r="27" spans="1:54" ht="15.75" customHeight="1" thickBot="1" x14ac:dyDescent="0.25">
      <c r="B27" s="59"/>
      <c r="C27" s="59"/>
      <c r="D27" s="60"/>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6"/>
      <c r="AT27" s="114"/>
      <c r="AU27" s="114"/>
      <c r="AW27" s="242"/>
      <c r="AX27" s="318"/>
      <c r="AY27" s="189"/>
      <c r="AZ27" s="189"/>
      <c r="BA27" s="189"/>
      <c r="BB27" s="244"/>
    </row>
    <row r="28" spans="1:54" ht="18" customHeight="1" thickBot="1" x14ac:dyDescent="0.25">
      <c r="A28" s="157" t="str">
        <f>IF('Sprachen &amp; Rückgabewerte(2)'!$I$13=TRUE,'Sprachen &amp; Rückgabewerte(2)'!$H$58,"")</f>
        <v/>
      </c>
      <c r="B28" s="227"/>
      <c r="C28" s="59"/>
      <c r="D28" s="83"/>
      <c r="E28" s="594"/>
      <c r="F28" s="595"/>
      <c r="G28" s="595"/>
      <c r="H28" s="596"/>
      <c r="I28" s="594"/>
      <c r="J28" s="595"/>
      <c r="K28" s="595"/>
      <c r="L28" s="596"/>
      <c r="M28" s="594"/>
      <c r="N28" s="595"/>
      <c r="O28" s="595"/>
      <c r="P28" s="596"/>
      <c r="Q28" s="594"/>
      <c r="R28" s="595"/>
      <c r="S28" s="595"/>
      <c r="T28" s="596"/>
      <c r="U28" s="594"/>
      <c r="V28" s="595"/>
      <c r="W28" s="595"/>
      <c r="X28" s="596"/>
      <c r="Y28" s="594"/>
      <c r="Z28" s="595"/>
      <c r="AA28" s="595"/>
      <c r="AB28" s="596"/>
      <c r="AC28" s="594"/>
      <c r="AD28" s="595"/>
      <c r="AE28" s="595"/>
      <c r="AF28" s="596"/>
      <c r="AG28" s="594"/>
      <c r="AH28" s="595"/>
      <c r="AI28" s="595"/>
      <c r="AJ28" s="596"/>
      <c r="AK28" s="594"/>
      <c r="AL28" s="595"/>
      <c r="AM28" s="595"/>
      <c r="AN28" s="596"/>
      <c r="AO28" s="594"/>
      <c r="AP28" s="595"/>
      <c r="AQ28" s="595"/>
      <c r="AR28" s="596"/>
      <c r="AS28" s="67"/>
      <c r="AT28" s="114"/>
      <c r="AU28" s="114"/>
      <c r="AW28" s="258"/>
      <c r="AX28" s="248"/>
      <c r="AY28" s="249"/>
      <c r="AZ28" s="249"/>
      <c r="BA28" s="249"/>
      <c r="BB28" s="250"/>
    </row>
    <row r="29" spans="1:54" ht="7.5" customHeight="1" x14ac:dyDescent="0.2">
      <c r="B29" s="59"/>
      <c r="C29" s="59"/>
      <c r="D29" s="60"/>
      <c r="E29" s="68"/>
      <c r="F29" s="69"/>
      <c r="G29" s="69"/>
      <c r="H29" s="70"/>
      <c r="I29" s="69"/>
      <c r="J29" s="69"/>
      <c r="K29" s="69"/>
      <c r="L29" s="70"/>
      <c r="M29" s="69"/>
      <c r="N29" s="69"/>
      <c r="O29" s="69"/>
      <c r="P29" s="70"/>
      <c r="Q29" s="69"/>
      <c r="R29" s="69"/>
      <c r="S29" s="69"/>
      <c r="T29" s="70"/>
      <c r="U29" s="69"/>
      <c r="V29" s="69"/>
      <c r="W29" s="69"/>
      <c r="X29" s="70"/>
      <c r="Y29" s="69"/>
      <c r="Z29" s="69"/>
      <c r="AA29" s="69"/>
      <c r="AB29" s="70"/>
      <c r="AC29" s="69"/>
      <c r="AD29" s="69"/>
      <c r="AE29" s="69"/>
      <c r="AF29" s="70"/>
      <c r="AG29" s="69"/>
      <c r="AH29" s="69"/>
      <c r="AI29" s="69"/>
      <c r="AJ29" s="70"/>
      <c r="AK29" s="68"/>
      <c r="AL29" s="69"/>
      <c r="AM29" s="69"/>
      <c r="AN29" s="70"/>
      <c r="AO29" s="68"/>
      <c r="AP29" s="69"/>
      <c r="AQ29" s="69"/>
      <c r="AR29" s="70"/>
      <c r="AS29" s="60"/>
      <c r="AT29" s="114"/>
      <c r="AU29" s="114"/>
      <c r="AY29" s="189"/>
      <c r="AZ29" s="189"/>
      <c r="BA29" s="189"/>
    </row>
    <row r="30" spans="1:54" ht="10.5" customHeight="1" x14ac:dyDescent="0.2">
      <c r="B30" s="59"/>
      <c r="C30" s="67"/>
      <c r="D30" s="83"/>
      <c r="E30" s="432"/>
      <c r="F30" s="432"/>
      <c r="G30" s="432"/>
      <c r="H30" s="432"/>
      <c r="I30" s="432"/>
      <c r="J30" s="432"/>
      <c r="K30" s="432"/>
      <c r="L30" s="432"/>
      <c r="M30" s="432"/>
      <c r="N30" s="432"/>
      <c r="O30" s="432"/>
      <c r="P30" s="432"/>
      <c r="Q30" s="432"/>
      <c r="R30" s="432"/>
      <c r="S30" s="432"/>
      <c r="T30" s="432"/>
      <c r="U30" s="432"/>
      <c r="V30" s="432"/>
      <c r="W30" s="432"/>
      <c r="X30" s="432"/>
      <c r="Y30" s="432"/>
      <c r="Z30" s="432"/>
      <c r="AA30" s="432"/>
      <c r="AB30" s="432"/>
      <c r="AC30" s="432"/>
      <c r="AD30" s="432"/>
      <c r="AE30" s="432"/>
      <c r="AF30" s="432"/>
      <c r="AG30" s="432"/>
      <c r="AH30" s="432"/>
      <c r="AI30" s="432"/>
      <c r="AJ30" s="432"/>
      <c r="AK30" s="432"/>
      <c r="AL30" s="432"/>
      <c r="AM30" s="432"/>
      <c r="AN30" s="432"/>
      <c r="AO30" s="432"/>
      <c r="AP30" s="432"/>
      <c r="AQ30" s="432"/>
      <c r="AR30" s="432"/>
      <c r="AS30" s="83"/>
      <c r="AT30" s="115"/>
      <c r="AU30" s="114"/>
      <c r="AW30" s="619" t="str">
        <f>IF('Sprachen &amp; Rückgabewerte(2)'!$I$19=TRUE,'Sprachen &amp; Rückgabewerte(2)'!$H$137,"")</f>
        <v/>
      </c>
      <c r="AX30" s="620"/>
      <c r="AY30" s="620"/>
      <c r="AZ30" s="620"/>
      <c r="BA30" s="621"/>
    </row>
    <row r="31" spans="1:54" ht="11.25" customHeight="1" x14ac:dyDescent="0.2">
      <c r="B31" s="59"/>
      <c r="C31" s="60"/>
      <c r="D31" s="60"/>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0"/>
      <c r="AL31" s="60"/>
      <c r="AM31" s="62"/>
      <c r="AN31" s="60"/>
      <c r="AO31" s="60"/>
      <c r="AP31" s="60"/>
      <c r="AQ31" s="60"/>
      <c r="AR31" s="60"/>
      <c r="AS31" s="60"/>
      <c r="AT31" s="60"/>
      <c r="AU31" s="114"/>
      <c r="AW31" s="622"/>
      <c r="AX31" s="623"/>
      <c r="AY31" s="623"/>
      <c r="AZ31" s="623"/>
      <c r="BA31" s="624"/>
    </row>
    <row r="32" spans="1:54" ht="12.75" customHeight="1" x14ac:dyDescent="0.2">
      <c r="B32" s="59"/>
      <c r="C32" s="111"/>
      <c r="D32" s="81"/>
      <c r="E32" s="81"/>
      <c r="F32" s="81"/>
      <c r="G32" s="81"/>
      <c r="H32" s="81"/>
      <c r="I32" s="81"/>
      <c r="J32" s="81"/>
      <c r="K32" s="81"/>
      <c r="L32" s="81"/>
      <c r="M32" s="81"/>
      <c r="N32" s="81"/>
      <c r="O32" s="81"/>
      <c r="P32" s="81"/>
      <c r="Q32" s="81"/>
      <c r="R32" s="81"/>
      <c r="S32" s="81"/>
      <c r="T32" s="81"/>
      <c r="U32" s="81"/>
      <c r="V32" s="81"/>
      <c r="W32" s="81"/>
      <c r="X32" s="81"/>
      <c r="Y32" s="81"/>
      <c r="Z32" s="81"/>
      <c r="AA32" s="81"/>
      <c r="AB32" s="113"/>
      <c r="AC32" s="60"/>
      <c r="AD32" s="111"/>
      <c r="AE32" s="120" t="str">
        <f>'Sprachen &amp; Rückgabewerte(2)'!$H$134</f>
        <v>Features</v>
      </c>
      <c r="AF32" s="120"/>
      <c r="AG32" s="81"/>
      <c r="AH32" s="81"/>
      <c r="AI32" s="81"/>
      <c r="AJ32" s="81"/>
      <c r="AK32" s="81"/>
      <c r="AL32" s="81"/>
      <c r="AM32" s="138"/>
      <c r="AN32" s="81"/>
      <c r="AO32" s="81"/>
      <c r="AP32" s="81"/>
      <c r="AQ32" s="81"/>
      <c r="AR32" s="81"/>
      <c r="AS32" s="81"/>
      <c r="AT32" s="113"/>
      <c r="AU32" s="204"/>
      <c r="AV32" s="113"/>
      <c r="AW32" s="622"/>
      <c r="AX32" s="623"/>
      <c r="AY32" s="623"/>
      <c r="AZ32" s="623"/>
      <c r="BA32" s="624"/>
    </row>
    <row r="33" spans="2:53" ht="12.75" customHeight="1" x14ac:dyDescent="0.2">
      <c r="B33" s="59"/>
      <c r="C33" s="59"/>
      <c r="D33" s="71"/>
      <c r="E33" s="433"/>
      <c r="F33" s="431" t="str">
        <f>'Sprachen &amp; Rückgabewerte(2)'!$H$13</f>
        <v>Teilung Achsmasse</v>
      </c>
      <c r="G33" s="71"/>
      <c r="H33" s="71"/>
      <c r="I33" s="71"/>
      <c r="J33" s="71"/>
      <c r="K33" s="71"/>
      <c r="L33" s="71"/>
      <c r="M33" s="71"/>
      <c r="N33" s="71"/>
      <c r="O33" s="71"/>
      <c r="P33" s="71"/>
      <c r="Q33" s="71"/>
      <c r="R33" s="71"/>
      <c r="S33" s="71"/>
      <c r="T33" s="71"/>
      <c r="U33" s="71"/>
      <c r="V33" s="71"/>
      <c r="W33" s="71"/>
      <c r="X33" s="71"/>
      <c r="Y33" s="71"/>
      <c r="Z33" s="71"/>
      <c r="AA33" s="71"/>
      <c r="AB33" s="122"/>
      <c r="AC33" s="71"/>
      <c r="AD33" s="121"/>
      <c r="AE33" s="71"/>
      <c r="AH33" s="71"/>
      <c r="AI33" s="71"/>
      <c r="AJ33" s="71"/>
      <c r="AK33" s="71"/>
      <c r="AL33" s="71"/>
      <c r="AM33" s="71"/>
      <c r="AN33" s="433"/>
      <c r="AO33" s="60"/>
      <c r="AQ33" s="71"/>
      <c r="AR33" s="71"/>
      <c r="AS33" s="431"/>
      <c r="AT33" s="114"/>
      <c r="AU33" s="114"/>
      <c r="AW33" s="190" t="str">
        <f>IF(AND(F$10&gt;0,'Sprachen &amp; Rückgabewerte(2)'!$I$19=TRUE),CONCATENATE("Pos. ",'Pos. 2'!$B$2,".1"),"")</f>
        <v/>
      </c>
      <c r="AX33" s="715"/>
      <c r="AY33" s="716"/>
      <c r="AZ33" s="189"/>
      <c r="BA33" s="191"/>
    </row>
    <row r="34" spans="2:53" ht="12.75" customHeight="1" x14ac:dyDescent="0.2">
      <c r="B34" s="59"/>
      <c r="C34" s="59"/>
      <c r="D34" s="71"/>
      <c r="E34" s="433"/>
      <c r="F34" s="72" t="str">
        <f>'Sprachen &amp; Rückgabewerte(2)'!$H$14</f>
        <v>alle Gläser gleiche Breite (Empfehlung)</v>
      </c>
      <c r="G34" s="71"/>
      <c r="H34" s="71"/>
      <c r="I34" s="71"/>
      <c r="J34" s="71"/>
      <c r="K34" s="71"/>
      <c r="L34" s="71"/>
      <c r="M34" s="71"/>
      <c r="N34" s="71"/>
      <c r="O34" s="71"/>
      <c r="P34" s="71"/>
      <c r="Q34" s="71"/>
      <c r="R34" s="71"/>
      <c r="S34" s="71"/>
      <c r="T34" s="71"/>
      <c r="U34" s="71"/>
      <c r="V34" s="71"/>
      <c r="W34" s="71"/>
      <c r="X34" s="71"/>
      <c r="Y34" s="71"/>
      <c r="Z34" s="71"/>
      <c r="AA34" s="71"/>
      <c r="AB34" s="122"/>
      <c r="AC34" s="71"/>
      <c r="AD34" s="121"/>
      <c r="AE34" s="71"/>
      <c r="AF34" s="71" t="str">
        <f>'Sprachen &amp; Rückgabewerte(2)'!$H$15</f>
        <v>Standard</v>
      </c>
      <c r="AH34" s="71"/>
      <c r="AI34" s="71"/>
      <c r="AJ34" s="71"/>
      <c r="AK34" s="71"/>
      <c r="AL34" s="71"/>
      <c r="AM34" s="71"/>
      <c r="AN34" s="433"/>
      <c r="AO34" s="71"/>
      <c r="AP34" s="71"/>
      <c r="AQ34" s="71"/>
      <c r="AR34" s="71"/>
      <c r="AS34" s="431"/>
      <c r="AT34" s="114"/>
      <c r="AU34" s="114"/>
      <c r="AW34" s="190" t="str">
        <f>IF(AND(J10&gt;0,'Sprachen &amp; Rückgabewerte(2)'!$I$19=TRUE),CONCATENATE("Pos. ",'Pos. 2'!$B$2,".2"),"")</f>
        <v/>
      </c>
      <c r="AX34" s="715"/>
      <c r="AY34" s="716"/>
      <c r="AZ34" s="189"/>
      <c r="BA34" s="191"/>
    </row>
    <row r="35" spans="2:53" ht="12.75" customHeight="1" x14ac:dyDescent="0.2">
      <c r="B35" s="59"/>
      <c r="C35" s="59"/>
      <c r="D35" s="71"/>
      <c r="E35" s="71"/>
      <c r="F35" s="71"/>
      <c r="G35" s="71"/>
      <c r="H35" s="71"/>
      <c r="I35" s="71"/>
      <c r="J35" s="71"/>
      <c r="K35" s="71"/>
      <c r="L35" s="71"/>
      <c r="M35" s="71"/>
      <c r="N35" s="71"/>
      <c r="O35" s="71"/>
      <c r="P35" s="71"/>
      <c r="Q35" s="71"/>
      <c r="R35" s="71"/>
      <c r="S35" s="71"/>
      <c r="T35" s="71"/>
      <c r="U35" s="71"/>
      <c r="V35" s="71"/>
      <c r="W35" s="71"/>
      <c r="X35" s="71"/>
      <c r="Y35" s="71"/>
      <c r="Z35" s="71"/>
      <c r="AA35" s="71"/>
      <c r="AB35" s="122"/>
      <c r="AC35" s="71"/>
      <c r="AD35" s="121"/>
      <c r="AE35" s="71"/>
      <c r="AF35" s="71" t="str">
        <f>'Sprachen &amp; Rückgabewerte(2)'!$H$17</f>
        <v>Positionsüberwachung (P)</v>
      </c>
      <c r="AH35" s="71"/>
      <c r="AI35" s="71"/>
      <c r="AJ35" s="71"/>
      <c r="AK35" s="71"/>
      <c r="AL35" s="71"/>
      <c r="AM35" s="71"/>
      <c r="AN35" s="433"/>
      <c r="AO35" s="71"/>
      <c r="AP35" s="71"/>
      <c r="AQ35" s="71"/>
      <c r="AR35" s="71"/>
      <c r="AS35" s="73"/>
      <c r="AT35" s="114"/>
      <c r="AU35" s="114"/>
      <c r="AW35" s="190" t="str">
        <f>IF(AND(N10&gt;0,'Sprachen &amp; Rückgabewerte(2)'!$I$19=TRUE),CONCATENATE("Pos. ",'Pos. 2'!$B$2,".3"),"")</f>
        <v/>
      </c>
      <c r="AX35" s="715"/>
      <c r="AY35" s="716"/>
      <c r="AZ35" s="189"/>
      <c r="BA35" s="191"/>
    </row>
    <row r="36" spans="2:53" ht="12.75" customHeight="1" x14ac:dyDescent="0.2">
      <c r="B36" s="59"/>
      <c r="C36" s="59"/>
      <c r="D36" s="71"/>
      <c r="E36" s="71"/>
      <c r="F36" s="71"/>
      <c r="G36" s="71"/>
      <c r="H36" s="71"/>
      <c r="I36" s="71"/>
      <c r="J36" s="71"/>
      <c r="K36" s="71"/>
      <c r="L36" s="71"/>
      <c r="M36" s="71"/>
      <c r="N36" s="71"/>
      <c r="O36" s="71"/>
      <c r="P36" s="71"/>
      <c r="Q36" s="71"/>
      <c r="R36" s="71"/>
      <c r="S36" s="71"/>
      <c r="T36" s="71"/>
      <c r="U36" s="71"/>
      <c r="V36" s="71"/>
      <c r="W36" s="71"/>
      <c r="X36" s="71"/>
      <c r="Y36" s="71"/>
      <c r="Z36" s="71"/>
      <c r="AA36" s="71"/>
      <c r="AB36" s="122"/>
      <c r="AC36" s="71"/>
      <c r="AD36" s="121"/>
      <c r="AE36" s="71"/>
      <c r="AF36" s="71" t="str">
        <f>'Sprachen &amp; Rückgabewerte(2)'!$H$18</f>
        <v xml:space="preserve">Riegelüberwachung (R) </v>
      </c>
      <c r="AH36" s="71"/>
      <c r="AI36" s="71"/>
      <c r="AJ36" s="71"/>
      <c r="AK36" s="71"/>
      <c r="AL36" s="71"/>
      <c r="AM36" s="71"/>
      <c r="AN36" s="433"/>
      <c r="AO36" s="71"/>
      <c r="AP36" s="71"/>
      <c r="AQ36" s="71"/>
      <c r="AR36" s="71"/>
      <c r="AS36" s="73"/>
      <c r="AT36" s="114"/>
      <c r="AU36" s="114"/>
      <c r="AW36" s="190" t="str">
        <f>IF(AND(R10&gt;0,'Sprachen &amp; Rückgabewerte(2)'!$I$19=TRUE),CONCATENATE("Pos. ",'Pos. 2'!$B$2,".4"),"")</f>
        <v/>
      </c>
      <c r="AX36" s="715"/>
      <c r="AY36" s="716"/>
      <c r="AZ36" s="189"/>
      <c r="BA36" s="191"/>
    </row>
    <row r="37" spans="2:53" ht="12.75" customHeight="1" x14ac:dyDescent="0.2">
      <c r="B37" s="59"/>
      <c r="C37" s="59"/>
      <c r="D37" s="71"/>
      <c r="E37" s="71"/>
      <c r="F37" s="71"/>
      <c r="G37" s="71"/>
      <c r="H37" s="71"/>
      <c r="I37" s="71"/>
      <c r="J37" s="71"/>
      <c r="K37" s="71"/>
      <c r="L37" s="71"/>
      <c r="M37" s="71"/>
      <c r="N37" s="71"/>
      <c r="O37" s="71"/>
      <c r="P37" s="71"/>
      <c r="Q37" s="71"/>
      <c r="R37" s="71"/>
      <c r="S37" s="71"/>
      <c r="T37" s="71"/>
      <c r="U37" s="71"/>
      <c r="V37" s="71"/>
      <c r="W37" s="71"/>
      <c r="X37" s="71"/>
      <c r="Y37" s="71"/>
      <c r="Z37" s="71"/>
      <c r="AA37" s="71"/>
      <c r="AB37" s="122"/>
      <c r="AC37" s="71"/>
      <c r="AD37" s="121"/>
      <c r="AE37" s="71"/>
      <c r="AF37" s="71" t="str">
        <f>'Sprachen &amp; Rückgabewerte(2)'!$H$25</f>
        <v>Pool</v>
      </c>
      <c r="AH37" s="71"/>
      <c r="AI37" s="71"/>
      <c r="AJ37" s="71"/>
      <c r="AK37" s="71"/>
      <c r="AL37" s="71"/>
      <c r="AM37" s="71"/>
      <c r="AN37" s="433"/>
      <c r="AO37" s="71"/>
      <c r="AP37" s="71"/>
      <c r="AQ37" s="71"/>
      <c r="AR37" s="71"/>
      <c r="AS37" s="73"/>
      <c r="AT37" s="114"/>
      <c r="AU37" s="114"/>
      <c r="AW37" s="190" t="str">
        <f>IF(AND(V10&gt;0,'Sprachen &amp; Rückgabewerte(2)'!$I$19=TRUE),CONCATENATE("Pos. ",'Pos. 2'!$B$2,".5"),"")</f>
        <v/>
      </c>
      <c r="AX37" s="715"/>
      <c r="AY37" s="716"/>
      <c r="AZ37" s="189"/>
      <c r="BA37" s="191"/>
    </row>
    <row r="38" spans="2:53" ht="12.75" customHeight="1" x14ac:dyDescent="0.2">
      <c r="B38" s="59"/>
      <c r="C38" s="59"/>
      <c r="D38" s="71"/>
      <c r="E38" s="71"/>
      <c r="F38" s="71"/>
      <c r="G38" s="71"/>
      <c r="H38" s="71"/>
      <c r="I38" s="71"/>
      <c r="J38" s="71"/>
      <c r="K38" s="71"/>
      <c r="L38" s="71"/>
      <c r="M38" s="71"/>
      <c r="N38" s="71"/>
      <c r="O38" s="71"/>
      <c r="P38" s="71"/>
      <c r="Q38" s="71"/>
      <c r="R38" s="71"/>
      <c r="S38" s="71"/>
      <c r="T38" s="71"/>
      <c r="U38" s="71"/>
      <c r="V38" s="71"/>
      <c r="W38" s="71"/>
      <c r="X38" s="71"/>
      <c r="Y38" s="71"/>
      <c r="Z38" s="71"/>
      <c r="AA38" s="71"/>
      <c r="AB38" s="122"/>
      <c r="AC38" s="71"/>
      <c r="AD38" s="121"/>
      <c r="AE38" s="71"/>
      <c r="AF38" s="618" t="str">
        <f>'Sprachen &amp; Rückgabewerte(2)'!$H$20</f>
        <v>Elektrischer Antrieb, Anzahl</v>
      </c>
      <c r="AG38" s="618"/>
      <c r="AH38" s="618"/>
      <c r="AI38" s="618"/>
      <c r="AJ38" s="618"/>
      <c r="AK38" s="618"/>
      <c r="AL38" s="618"/>
      <c r="AM38" s="617">
        <f>IF('Sprachen &amp; Rückgabewerte(2)'!I20=FALSE,0,COUNTIF(F13:AQ19,"E"))</f>
        <v>0</v>
      </c>
      <c r="AN38" s="617"/>
      <c r="AO38" s="71" t="str">
        <f>'Sprachen &amp; Rückgabewerte(2)'!$H$21</f>
        <v>Stk.</v>
      </c>
      <c r="AQ38" s="71"/>
      <c r="AR38" s="71"/>
      <c r="AS38" s="431"/>
      <c r="AT38" s="114"/>
      <c r="AU38" s="114"/>
      <c r="AW38" s="190" t="str">
        <f>IF(AND(Z10&gt;0,'Sprachen &amp; Rückgabewerte(2)'!$I$19=TRUE),CONCATENATE("Pos. ",'Pos. 2'!$B$2,".6"),"")</f>
        <v/>
      </c>
      <c r="AX38" s="715"/>
      <c r="AY38" s="716"/>
      <c r="AZ38" s="60"/>
      <c r="BA38" s="114"/>
    </row>
    <row r="39" spans="2:53" ht="12.75" customHeight="1" x14ac:dyDescent="0.2">
      <c r="B39" s="59"/>
      <c r="C39" s="59"/>
      <c r="D39" s="71"/>
      <c r="E39" s="71"/>
      <c r="F39" s="71"/>
      <c r="G39" s="71"/>
      <c r="H39" s="71"/>
      <c r="I39" s="71"/>
      <c r="J39" s="71"/>
      <c r="K39" s="71"/>
      <c r="L39" s="71"/>
      <c r="M39" s="71"/>
      <c r="N39" s="71"/>
      <c r="O39" s="71"/>
      <c r="P39" s="71"/>
      <c r="Q39" s="71"/>
      <c r="R39" s="71"/>
      <c r="S39" s="71"/>
      <c r="T39" s="71"/>
      <c r="U39" s="71"/>
      <c r="V39" s="71"/>
      <c r="W39" s="71"/>
      <c r="X39" s="71"/>
      <c r="Y39" s="71"/>
      <c r="Z39" s="71"/>
      <c r="AA39" s="71"/>
      <c r="AB39" s="122"/>
      <c r="AC39" s="71"/>
      <c r="AD39" s="121"/>
      <c r="AE39" s="71"/>
      <c r="AF39" s="71" t="str">
        <f>'Sprachen &amp; Rückgabewerte(2)'!$H$22</f>
        <v>geforderte Klassen:</v>
      </c>
      <c r="AH39" s="71"/>
      <c r="AI39" s="71"/>
      <c r="AJ39" s="71"/>
      <c r="AK39" s="71"/>
      <c r="AL39" s="601"/>
      <c r="AM39" s="602"/>
      <c r="AN39" s="602"/>
      <c r="AO39" s="602"/>
      <c r="AP39" s="602"/>
      <c r="AQ39" s="602"/>
      <c r="AR39" s="602"/>
      <c r="AS39" s="603"/>
      <c r="AT39" s="114"/>
      <c r="AU39" s="114"/>
      <c r="AW39" s="190" t="str">
        <f>IF(AND(AD10&gt;0,'Sprachen &amp; Rückgabewerte(2)'!$I$19=TRUE),CONCATENATE("Pos. ",'Pos. 2'!$B$2,".7"),"")</f>
        <v/>
      </c>
      <c r="AX39" s="715"/>
      <c r="AY39" s="716"/>
      <c r="AZ39" s="60"/>
      <c r="BA39" s="114"/>
    </row>
    <row r="40" spans="2:53" ht="12.75" customHeight="1" x14ac:dyDescent="0.2">
      <c r="B40" s="59"/>
      <c r="C40" s="59"/>
      <c r="D40" s="71"/>
      <c r="E40" s="430"/>
      <c r="F40" s="72" t="str">
        <f>'Sprachen &amp; Rückgabewerte(2)'!H30</f>
        <v>nach rechts</v>
      </c>
      <c r="G40" s="71"/>
      <c r="H40" s="71"/>
      <c r="I40" s="71"/>
      <c r="J40" s="71"/>
      <c r="K40" s="71"/>
      <c r="L40" s="71"/>
      <c r="M40" s="71"/>
      <c r="N40" s="74" t="str">
        <f>'Sprachen &amp; Rückgabewerte(2)'!H31</f>
        <v>nach links</v>
      </c>
      <c r="O40" s="430"/>
      <c r="P40" s="74"/>
      <c r="Q40" s="433"/>
      <c r="R40" s="71"/>
      <c r="S40" s="71"/>
      <c r="T40" s="71"/>
      <c r="U40" s="71"/>
      <c r="V40" s="71"/>
      <c r="W40" s="71"/>
      <c r="X40" s="71"/>
      <c r="Y40" s="71"/>
      <c r="Z40" s="597" t="s">
        <v>179</v>
      </c>
      <c r="AA40" s="71"/>
      <c r="AB40" s="122"/>
      <c r="AC40" s="71"/>
      <c r="AD40" s="123"/>
      <c r="AE40" s="124"/>
      <c r="AF40" s="124"/>
      <c r="AG40" s="604"/>
      <c r="AH40" s="604"/>
      <c r="AI40" s="604"/>
      <c r="AJ40" s="604"/>
      <c r="AK40" s="604"/>
      <c r="AL40" s="604"/>
      <c r="AM40" s="604"/>
      <c r="AN40" s="604"/>
      <c r="AO40" s="604"/>
      <c r="AP40" s="604"/>
      <c r="AQ40" s="604"/>
      <c r="AR40" s="604"/>
      <c r="AS40" s="124"/>
      <c r="AT40" s="115"/>
      <c r="AU40" s="114"/>
      <c r="AW40" s="190" t="str">
        <f>IF(AND(AH10&gt;0,'Sprachen &amp; Rückgabewerte(2)'!$I$19=TRUE),CONCATENATE("Pos. ",'Pos. 2'!$B$2,".8"),"")</f>
        <v/>
      </c>
      <c r="AX40" s="715"/>
      <c r="AY40" s="716"/>
      <c r="AZ40" s="60"/>
      <c r="BA40" s="114"/>
    </row>
    <row r="41" spans="2:53" ht="12.75" customHeight="1" x14ac:dyDescent="0.2">
      <c r="B41" s="59"/>
      <c r="C41" s="59"/>
      <c r="D41" s="71"/>
      <c r="E41" s="430"/>
      <c r="F41" s="72"/>
      <c r="G41" s="71"/>
      <c r="H41" s="71"/>
      <c r="I41" s="71"/>
      <c r="J41" s="71"/>
      <c r="K41" s="71"/>
      <c r="L41" s="71"/>
      <c r="M41" s="71"/>
      <c r="N41" s="74"/>
      <c r="O41" s="430"/>
      <c r="P41" s="74"/>
      <c r="Q41" s="433"/>
      <c r="R41" s="71"/>
      <c r="S41" s="71"/>
      <c r="T41" s="71"/>
      <c r="U41" s="71"/>
      <c r="V41" s="71"/>
      <c r="W41" s="71"/>
      <c r="X41" s="71"/>
      <c r="Y41" s="71"/>
      <c r="Z41" s="598"/>
      <c r="AA41" s="71"/>
      <c r="AB41" s="122"/>
      <c r="AC41" s="71"/>
      <c r="AD41" s="71"/>
      <c r="AE41" s="71"/>
      <c r="AF41" s="71"/>
      <c r="AG41" s="75"/>
      <c r="AH41" s="75"/>
      <c r="AI41" s="75"/>
      <c r="AJ41" s="75"/>
      <c r="AK41" s="75"/>
      <c r="AL41" s="75"/>
      <c r="AM41" s="75"/>
      <c r="AN41" s="75"/>
      <c r="AO41" s="75"/>
      <c r="AP41" s="75"/>
      <c r="AQ41" s="75"/>
      <c r="AR41" s="75"/>
      <c r="AS41" s="71"/>
      <c r="AT41" s="60"/>
      <c r="AU41" s="114"/>
      <c r="AW41" s="190" t="str">
        <f>IF(AND(AL10&gt;0,'Sprachen &amp; Rückgabewerte(2)'!$I$19=TRUE),CONCATENATE("Pos. ",'Pos. 2'!$B$2,".9"),"")</f>
        <v/>
      </c>
      <c r="AX41" s="715"/>
      <c r="AY41" s="716"/>
      <c r="AZ41" s="60"/>
      <c r="BA41" s="114"/>
    </row>
    <row r="42" spans="2:53" ht="12.75" customHeight="1" x14ac:dyDescent="0.2">
      <c r="B42" s="59"/>
      <c r="C42" s="59"/>
      <c r="D42" s="71"/>
      <c r="E42" s="71"/>
      <c r="F42" s="71"/>
      <c r="G42" s="71"/>
      <c r="H42" s="71"/>
      <c r="I42" s="71"/>
      <c r="J42" s="71"/>
      <c r="K42" s="71"/>
      <c r="L42" s="71"/>
      <c r="M42" s="71"/>
      <c r="N42" s="71"/>
      <c r="O42" s="71"/>
      <c r="P42" s="71"/>
      <c r="Q42" s="71"/>
      <c r="R42" s="71"/>
      <c r="S42" s="71"/>
      <c r="T42" s="71"/>
      <c r="U42" s="71"/>
      <c r="V42" s="71"/>
      <c r="W42" s="71"/>
      <c r="X42" s="71"/>
      <c r="Y42" s="71"/>
      <c r="Z42" s="590"/>
      <c r="AA42" s="71"/>
      <c r="AB42" s="122"/>
      <c r="AC42" s="76"/>
      <c r="AD42" s="118"/>
      <c r="AE42" s="120" t="str">
        <f>'Sprachen &amp; Rückgabewerte(2)'!$H$35</f>
        <v>Oberfläche:</v>
      </c>
      <c r="AF42" s="120"/>
      <c r="AG42" s="119"/>
      <c r="AH42" s="119"/>
      <c r="AI42" s="119"/>
      <c r="AJ42" s="119"/>
      <c r="AK42" s="119"/>
      <c r="AL42" s="119"/>
      <c r="AM42" s="139"/>
      <c r="AN42" s="119"/>
      <c r="AO42" s="119"/>
      <c r="AP42" s="119"/>
      <c r="AQ42" s="119"/>
      <c r="AR42" s="119"/>
      <c r="AS42" s="119"/>
      <c r="AT42" s="113"/>
      <c r="AU42" s="114"/>
      <c r="AW42" s="190" t="str">
        <f>IF(AND(AP10&gt;0,'Sprachen &amp; Rückgabewerte(2)'!$I$19=TRUE),CONCATENATE("Pos. ",'Pos. 2'!$B$2,".10"),"")</f>
        <v/>
      </c>
      <c r="AX42" s="715"/>
      <c r="AY42" s="716"/>
      <c r="AZ42" s="60"/>
      <c r="BA42" s="114"/>
    </row>
    <row r="43" spans="2:53" ht="12.75" customHeight="1" x14ac:dyDescent="0.2">
      <c r="B43" s="59"/>
      <c r="C43" s="59"/>
      <c r="D43" s="71"/>
      <c r="E43" s="71"/>
      <c r="F43" s="71"/>
      <c r="G43" s="71"/>
      <c r="H43" s="71"/>
      <c r="I43" s="71"/>
      <c r="J43" s="71"/>
      <c r="K43" s="71"/>
      <c r="L43" s="71"/>
      <c r="M43" s="71"/>
      <c r="N43" s="71"/>
      <c r="O43" s="71"/>
      <c r="P43" s="71"/>
      <c r="Q43" s="71"/>
      <c r="R43" s="71"/>
      <c r="S43" s="71"/>
      <c r="T43" s="71"/>
      <c r="U43" s="71"/>
      <c r="V43" s="71"/>
      <c r="W43" s="71"/>
      <c r="X43" s="71"/>
      <c r="Y43" s="71"/>
      <c r="Z43" s="591"/>
      <c r="AA43" s="71"/>
      <c r="AB43" s="122"/>
      <c r="AC43" s="76"/>
      <c r="AD43" s="121"/>
      <c r="AE43" s="71"/>
      <c r="AF43" s="180" t="str">
        <f>'Sprachen &amp; Rückgabewerte(2)'!H36</f>
        <v>eloxiert (Qualanod):</v>
      </c>
      <c r="AG43" s="71"/>
      <c r="AH43" s="71"/>
      <c r="AI43" s="71"/>
      <c r="AJ43" s="71"/>
      <c r="AK43" s="71"/>
      <c r="AL43" s="71"/>
      <c r="AM43" s="561"/>
      <c r="AN43" s="561"/>
      <c r="AO43" s="561"/>
      <c r="AP43" s="561"/>
      <c r="AQ43" s="561"/>
      <c r="AR43" s="561"/>
      <c r="AS43" s="561"/>
      <c r="AT43" s="114"/>
      <c r="AU43" s="114"/>
      <c r="AW43" s="205">
        <f>COUNTBLANK(AW33:AW42)</f>
        <v>10</v>
      </c>
      <c r="AX43" s="206">
        <f>COUNTBLANK(AX33:AX42)</f>
        <v>10</v>
      </c>
      <c r="AY43" s="206">
        <f>AW43-AX43</f>
        <v>0</v>
      </c>
      <c r="AZ43" s="83"/>
      <c r="BA43" s="115"/>
    </row>
    <row r="44" spans="2:53" ht="12.75" customHeight="1" x14ac:dyDescent="0.2">
      <c r="B44" s="59"/>
      <c r="C44" s="59"/>
      <c r="D44" s="71"/>
      <c r="E44" s="71"/>
      <c r="F44" s="71"/>
      <c r="G44" s="71"/>
      <c r="H44" s="71"/>
      <c r="I44" s="71"/>
      <c r="J44" s="71"/>
      <c r="K44" s="71"/>
      <c r="L44" s="71"/>
      <c r="M44" s="71"/>
      <c r="N44" s="71"/>
      <c r="O44" s="71"/>
      <c r="P44" s="686" t="str">
        <f>'Sprachen &amp; Rückgabewerte(2)'!$H$33</f>
        <v>Griffhöhe:</v>
      </c>
      <c r="Q44" s="686"/>
      <c r="R44" s="686"/>
      <c r="S44" s="686"/>
      <c r="T44" s="71"/>
      <c r="U44" s="71"/>
      <c r="V44" s="71"/>
      <c r="W44" s="71"/>
      <c r="X44" s="71"/>
      <c r="Y44" s="71"/>
      <c r="Z44" s="591"/>
      <c r="AA44" s="71"/>
      <c r="AB44" s="122"/>
      <c r="AC44" s="76"/>
      <c r="AD44" s="121"/>
      <c r="AE44" s="71"/>
      <c r="AF44" s="433"/>
      <c r="AG44" s="72"/>
      <c r="AH44" s="71"/>
      <c r="AI44" s="71"/>
      <c r="AJ44" s="71"/>
      <c r="AK44" s="71"/>
      <c r="AL44" s="71"/>
      <c r="AM44" s="431"/>
      <c r="AN44" s="433"/>
      <c r="AO44" s="570"/>
      <c r="AP44" s="570"/>
      <c r="AQ44" s="570"/>
      <c r="AR44" s="570"/>
      <c r="AS44" s="570"/>
      <c r="AT44" s="114"/>
      <c r="AU44" s="114"/>
    </row>
    <row r="45" spans="2:53" ht="12.75" customHeight="1" x14ac:dyDescent="0.2">
      <c r="B45" s="59"/>
      <c r="C45" s="59"/>
      <c r="D45" s="71"/>
      <c r="E45" s="71"/>
      <c r="F45" s="71"/>
      <c r="G45" s="71"/>
      <c r="H45" s="71"/>
      <c r="I45" s="71"/>
      <c r="J45" s="71"/>
      <c r="K45" s="71"/>
      <c r="L45" s="71"/>
      <c r="M45" s="71"/>
      <c r="N45" s="71"/>
      <c r="O45" s="71"/>
      <c r="P45" s="686"/>
      <c r="Q45" s="686"/>
      <c r="R45" s="686"/>
      <c r="S45" s="686"/>
      <c r="T45" s="692"/>
      <c r="U45" s="693"/>
      <c r="V45" s="72" t="s">
        <v>179</v>
      </c>
      <c r="W45" s="71"/>
      <c r="X45" s="71"/>
      <c r="Y45" s="71"/>
      <c r="Z45" s="592"/>
      <c r="AA45" s="71"/>
      <c r="AB45" s="122"/>
      <c r="AC45" s="76"/>
      <c r="AD45" s="121"/>
      <c r="AE45" s="71"/>
      <c r="AF45" s="431" t="str">
        <f>'Sprachen &amp; Rückgabewerte(2)'!$H$39</f>
        <v>pulverbeschichtet:</v>
      </c>
      <c r="AG45" s="152"/>
      <c r="AH45" s="152"/>
      <c r="AI45" s="152"/>
      <c r="AJ45" s="152"/>
      <c r="AK45" s="152"/>
      <c r="AL45" s="152"/>
      <c r="AM45" s="614"/>
      <c r="AN45" s="615"/>
      <c r="AO45" s="615"/>
      <c r="AP45" s="615"/>
      <c r="AQ45" s="615"/>
      <c r="AR45" s="615"/>
      <c r="AS45" s="616"/>
      <c r="AT45" s="114"/>
      <c r="AU45" s="204"/>
      <c r="AV45" s="113"/>
      <c r="AW45" s="111"/>
      <c r="AX45" s="113"/>
    </row>
    <row r="46" spans="2:53" ht="12.75" customHeight="1" x14ac:dyDescent="0.2">
      <c r="B46" s="59"/>
      <c r="C46" s="59"/>
      <c r="D46" s="71"/>
      <c r="E46" s="71"/>
      <c r="F46" s="71"/>
      <c r="G46" s="71"/>
      <c r="H46" s="71"/>
      <c r="I46" s="681"/>
      <c r="J46" s="681"/>
      <c r="K46" s="681"/>
      <c r="L46" s="163" t="s">
        <v>193</v>
      </c>
      <c r="M46" s="71"/>
      <c r="N46" s="71"/>
      <c r="O46" s="71"/>
      <c r="P46" s="71"/>
      <c r="Q46" s="71"/>
      <c r="R46" s="71"/>
      <c r="S46" s="71"/>
      <c r="T46" s="71"/>
      <c r="U46" s="71"/>
      <c r="V46" s="71"/>
      <c r="W46" s="71"/>
      <c r="X46" s="71"/>
      <c r="Y46" s="71"/>
      <c r="Z46" s="690" t="str">
        <f>'Sprachen &amp; Rückgabewerte(2)'!$H$34</f>
        <v xml:space="preserve">Höhe = </v>
      </c>
      <c r="AA46" s="71"/>
      <c r="AB46" s="122"/>
      <c r="AC46" s="76"/>
      <c r="AD46" s="121"/>
      <c r="AE46" s="71"/>
      <c r="AF46" s="431" t="str">
        <f>'Sprachen &amp; Rückgabewerte(2)'!$H$40</f>
        <v>Vorbehandlung:</v>
      </c>
      <c r="AG46" s="431"/>
      <c r="AH46" s="71"/>
      <c r="AI46" s="71"/>
      <c r="AJ46" s="71"/>
      <c r="AK46" s="71"/>
      <c r="AL46" s="71"/>
      <c r="AM46" s="611"/>
      <c r="AN46" s="612"/>
      <c r="AO46" s="612"/>
      <c r="AP46" s="612"/>
      <c r="AQ46" s="612"/>
      <c r="AR46" s="612"/>
      <c r="AS46" s="613"/>
      <c r="AT46" s="114"/>
      <c r="AU46" s="114"/>
      <c r="AW46" s="236" t="str">
        <f>'Sprachen &amp; Rückgabewerte(2)'!$H$150</f>
        <v>Farbe Panele:</v>
      </c>
      <c r="AX46" s="114"/>
    </row>
    <row r="47" spans="2:53" ht="12.75" customHeight="1" x14ac:dyDescent="0.2">
      <c r="B47" s="59"/>
      <c r="C47" s="59"/>
      <c r="D47" s="71"/>
      <c r="E47" s="71"/>
      <c r="F47" s="71"/>
      <c r="G47" s="71"/>
      <c r="H47" s="71"/>
      <c r="I47" s="681"/>
      <c r="J47" s="681"/>
      <c r="K47" s="681"/>
      <c r="L47" s="163" t="s">
        <v>193</v>
      </c>
      <c r="M47" s="71"/>
      <c r="N47" s="71"/>
      <c r="O47" s="430"/>
      <c r="P47" s="71"/>
      <c r="Q47" s="71"/>
      <c r="R47" s="71"/>
      <c r="S47" s="71"/>
      <c r="T47" s="71"/>
      <c r="U47" s="71"/>
      <c r="V47" s="71"/>
      <c r="W47" s="71"/>
      <c r="X47" s="71"/>
      <c r="Y47" s="71"/>
      <c r="Z47" s="691"/>
      <c r="AA47" s="430"/>
      <c r="AB47" s="122"/>
      <c r="AC47" s="77"/>
      <c r="AD47" s="121"/>
      <c r="AE47" s="71"/>
      <c r="AF47" s="431" t="str">
        <f>'Sprachen &amp; Rückgabewerte(2)'!$H$176</f>
        <v>Pulverlack Klasse:</v>
      </c>
      <c r="AG47" s="71"/>
      <c r="AH47" s="71"/>
      <c r="AI47" s="71"/>
      <c r="AJ47" s="71"/>
      <c r="AK47" s="71"/>
      <c r="AL47" s="71"/>
      <c r="AM47" s="607"/>
      <c r="AN47" s="608"/>
      <c r="AO47" s="608"/>
      <c r="AP47" s="608"/>
      <c r="AQ47" s="608"/>
      <c r="AR47" s="608"/>
      <c r="AS47" s="609"/>
      <c r="AT47" s="114"/>
      <c r="AU47" s="114"/>
      <c r="AW47" s="59"/>
      <c r="AX47" s="114"/>
    </row>
    <row r="48" spans="2:53" ht="12.75" customHeight="1" x14ac:dyDescent="0.2">
      <c r="B48" s="59"/>
      <c r="C48" s="59"/>
      <c r="D48" s="71"/>
      <c r="E48" s="71"/>
      <c r="F48" s="71"/>
      <c r="G48" s="71"/>
      <c r="H48" s="71"/>
      <c r="I48" s="685"/>
      <c r="J48" s="685"/>
      <c r="K48" s="685"/>
      <c r="L48" s="163" t="s">
        <v>193</v>
      </c>
      <c r="M48" s="71"/>
      <c r="N48" s="71"/>
      <c r="O48" s="430"/>
      <c r="P48" s="71"/>
      <c r="Q48" s="71"/>
      <c r="R48" s="71"/>
      <c r="S48" s="71"/>
      <c r="T48" s="71"/>
      <c r="U48" s="71"/>
      <c r="V48" s="71"/>
      <c r="W48" s="71"/>
      <c r="X48" s="71"/>
      <c r="Y48" s="71"/>
      <c r="Z48" s="691"/>
      <c r="AA48" s="430"/>
      <c r="AB48" s="122"/>
      <c r="AC48" s="77"/>
      <c r="AD48" s="121"/>
      <c r="AE48" s="71"/>
      <c r="AF48" s="605" t="str">
        <f>'Sprachen &amp; Rückgabewerte(2)'!$H$91</f>
        <v>Farbe Laufschiene + Schraubenarretierungen:</v>
      </c>
      <c r="AG48" s="605"/>
      <c r="AH48" s="605"/>
      <c r="AI48" s="605"/>
      <c r="AJ48" s="605"/>
      <c r="AK48" s="605"/>
      <c r="AL48" s="605"/>
      <c r="AM48" s="60"/>
      <c r="AN48" s="60"/>
      <c r="AO48" s="431"/>
      <c r="AP48" s="71"/>
      <c r="AQ48" s="71"/>
      <c r="AR48" s="71"/>
      <c r="AS48" s="71"/>
      <c r="AT48" s="114"/>
      <c r="AU48" s="114"/>
      <c r="AW48" s="559"/>
      <c r="AX48" s="560"/>
    </row>
    <row r="49" spans="2:50" ht="12.75" customHeight="1" x14ac:dyDescent="0.2">
      <c r="B49" s="59"/>
      <c r="C49" s="59"/>
      <c r="D49" s="71"/>
      <c r="E49" s="71"/>
      <c r="F49" s="71"/>
      <c r="G49" s="71"/>
      <c r="H49" s="74" t="str">
        <f>'Sprachen &amp; Rückgabewerte(2)'!$H$32</f>
        <v>Breite =</v>
      </c>
      <c r="I49" s="682"/>
      <c r="J49" s="683"/>
      <c r="K49" s="684"/>
      <c r="L49" s="72" t="s">
        <v>179</v>
      </c>
      <c r="M49" s="71"/>
      <c r="N49" s="71"/>
      <c r="O49" s="430"/>
      <c r="P49" s="71"/>
      <c r="Q49" s="71"/>
      <c r="R49" s="71"/>
      <c r="S49" s="71"/>
      <c r="T49" s="71"/>
      <c r="U49" s="71"/>
      <c r="V49" s="71"/>
      <c r="W49" s="71"/>
      <c r="X49" s="71"/>
      <c r="Y49" s="71"/>
      <c r="Z49" s="691"/>
      <c r="AA49" s="430"/>
      <c r="AB49" s="122"/>
      <c r="AC49" s="77"/>
      <c r="AD49" s="121"/>
      <c r="AE49" s="71"/>
      <c r="AF49" s="605"/>
      <c r="AG49" s="605"/>
      <c r="AH49" s="605"/>
      <c r="AI49" s="605"/>
      <c r="AJ49" s="605"/>
      <c r="AK49" s="605"/>
      <c r="AL49" s="605"/>
      <c r="AM49" s="687"/>
      <c r="AN49" s="688"/>
      <c r="AO49" s="688"/>
      <c r="AP49" s="689"/>
      <c r="AQ49" s="71"/>
      <c r="AR49" s="71"/>
      <c r="AS49" s="71"/>
      <c r="AT49" s="114"/>
      <c r="AU49" s="114"/>
      <c r="AW49" s="67"/>
      <c r="AX49" s="115"/>
    </row>
    <row r="50" spans="2:50" ht="12.75" customHeight="1" x14ac:dyDescent="0.2">
      <c r="B50" s="59"/>
      <c r="C50" s="59"/>
      <c r="D50" s="71"/>
      <c r="E50" s="71"/>
      <c r="F50" s="71"/>
      <c r="G50" s="71"/>
      <c r="H50" s="60"/>
      <c r="I50" s="60"/>
      <c r="J50" s="60"/>
      <c r="K50" s="60"/>
      <c r="L50" s="60"/>
      <c r="M50" s="71"/>
      <c r="N50" s="71"/>
      <c r="O50" s="71"/>
      <c r="P50" s="71"/>
      <c r="Q50" s="71"/>
      <c r="R50" s="71"/>
      <c r="S50" s="71"/>
      <c r="T50" s="71"/>
      <c r="U50" s="71"/>
      <c r="V50" s="71"/>
      <c r="W50" s="71"/>
      <c r="X50" s="71"/>
      <c r="Y50" s="71"/>
      <c r="Z50" s="691"/>
      <c r="AA50" s="71"/>
      <c r="AB50" s="122"/>
      <c r="AC50" s="77"/>
      <c r="AD50" s="123"/>
      <c r="AE50" s="124"/>
      <c r="AF50" s="606"/>
      <c r="AG50" s="606"/>
      <c r="AH50" s="606"/>
      <c r="AI50" s="606"/>
      <c r="AJ50" s="606"/>
      <c r="AK50" s="606"/>
      <c r="AL50" s="606"/>
      <c r="AM50" s="140"/>
      <c r="AN50" s="124"/>
      <c r="AO50" s="124"/>
      <c r="AP50" s="124"/>
      <c r="AQ50" s="124"/>
      <c r="AR50" s="124"/>
      <c r="AS50" s="124"/>
      <c r="AT50" s="115"/>
      <c r="AU50" s="114"/>
    </row>
    <row r="51" spans="2:50" ht="12.75" customHeight="1" x14ac:dyDescent="0.2">
      <c r="B51" s="59"/>
      <c r="C51" s="59"/>
      <c r="D51" s="71"/>
      <c r="E51" s="71"/>
      <c r="F51" s="71"/>
      <c r="G51" s="71"/>
      <c r="H51" s="60"/>
      <c r="I51" s="60"/>
      <c r="J51" s="60"/>
      <c r="K51" s="60"/>
      <c r="L51" s="60"/>
      <c r="M51" s="71"/>
      <c r="N51" s="71"/>
      <c r="O51" s="71"/>
      <c r="P51" s="71"/>
      <c r="Q51" s="71"/>
      <c r="R51" s="71"/>
      <c r="S51" s="71"/>
      <c r="T51" s="71"/>
      <c r="U51" s="71"/>
      <c r="V51" s="71"/>
      <c r="W51" s="71"/>
      <c r="X51" s="71"/>
      <c r="Y51" s="71"/>
      <c r="Z51" s="691"/>
      <c r="AA51" s="71"/>
      <c r="AB51" s="122"/>
      <c r="AC51" s="77"/>
      <c r="AD51" s="71"/>
      <c r="AE51" s="71"/>
      <c r="AF51" s="71"/>
      <c r="AG51" s="71"/>
      <c r="AH51" s="71"/>
      <c r="AI51" s="71"/>
      <c r="AJ51" s="71"/>
      <c r="AK51" s="71"/>
      <c r="AL51" s="71"/>
      <c r="AM51" s="431"/>
      <c r="AN51" s="71"/>
      <c r="AO51" s="71"/>
      <c r="AP51" s="71"/>
      <c r="AQ51" s="71"/>
      <c r="AR51" s="71"/>
      <c r="AS51" s="71"/>
      <c r="AT51" s="60"/>
      <c r="AU51" s="114"/>
    </row>
    <row r="52" spans="2:50" ht="12.75" customHeight="1" x14ac:dyDescent="0.2">
      <c r="B52" s="59"/>
      <c r="C52" s="59"/>
      <c r="D52" s="71"/>
      <c r="E52" s="71"/>
      <c r="F52" s="71"/>
      <c r="G52" s="71"/>
      <c r="H52" s="71"/>
      <c r="I52" s="74"/>
      <c r="J52" s="71"/>
      <c r="K52" s="71"/>
      <c r="L52" s="72"/>
      <c r="M52" s="71"/>
      <c r="N52" s="71"/>
      <c r="O52" s="71"/>
      <c r="P52" s="71"/>
      <c r="Q52" s="71"/>
      <c r="R52" s="71"/>
      <c r="S52" s="71"/>
      <c r="T52" s="71"/>
      <c r="U52" s="71"/>
      <c r="V52" s="71"/>
      <c r="W52" s="71"/>
      <c r="X52" s="71"/>
      <c r="Y52" s="71"/>
      <c r="Z52" s="691"/>
      <c r="AA52" s="71"/>
      <c r="AB52" s="122"/>
      <c r="AC52" s="77"/>
      <c r="AD52" s="118"/>
      <c r="AE52" s="120" t="str">
        <f>'Sprachen &amp; Rückgabewerte(2)'!$H$42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59"/>
      <c r="C53" s="59"/>
      <c r="D53" s="71"/>
      <c r="E53" s="71"/>
      <c r="F53" s="71"/>
      <c r="G53" s="71"/>
      <c r="H53" s="60"/>
      <c r="I53" s="60"/>
      <c r="J53" s="60"/>
      <c r="K53" s="60"/>
      <c r="L53" s="71"/>
      <c r="M53" s="72"/>
      <c r="N53" s="71"/>
      <c r="O53" s="71"/>
      <c r="P53" s="71"/>
      <c r="Q53" s="71"/>
      <c r="R53" s="71"/>
      <c r="S53" s="71"/>
      <c r="T53" s="71"/>
      <c r="U53" s="71"/>
      <c r="V53" s="71"/>
      <c r="W53" s="71"/>
      <c r="X53" s="71"/>
      <c r="Y53" s="71"/>
      <c r="Z53" s="691"/>
      <c r="AA53" s="71"/>
      <c r="AB53" s="122"/>
      <c r="AC53" s="77"/>
      <c r="AD53" s="121"/>
      <c r="AE53" s="567"/>
      <c r="AF53" s="568"/>
      <c r="AG53" s="569"/>
      <c r="AH53" s="71" t="str">
        <f>'Sprachen &amp; Rückgabewerte(2)'!$W$1</f>
        <v>Ug=</v>
      </c>
      <c r="AI53" s="610">
        <f>LOOKUP($AE$53,'Sprachen &amp; Rückgabewerte(2)'!$V$3:$V$35,'Sprachen &amp; Rückgabewerte(2)'!W3:W35)</f>
        <v>0</v>
      </c>
      <c r="AJ53" s="610"/>
      <c r="AK53" s="694" t="str">
        <f>'Sprachen &amp; Rückgabewerte(2)'!$X$1</f>
        <v>Lt=</v>
      </c>
      <c r="AL53" s="694"/>
      <c r="AM53" s="695">
        <f>LOOKUP(AE53,'Sprachen &amp; Rückgabewerte(2)'!V3:V35,'Sprachen &amp; Rückgabewerte(2)'!X3:X35)</f>
        <v>0</v>
      </c>
      <c r="AN53" s="695"/>
      <c r="AO53" s="210" t="str">
        <f>'Sprachen &amp; Rückgabewerte(2)'!$Y$1</f>
        <v>g=</v>
      </c>
      <c r="AP53" s="695">
        <f>LOOKUP(AE53,'Sprachen &amp; Rückgabewerte(2)'!V3:V35,'Sprachen &amp; Rückgabewerte(2)'!Y3:Y35)</f>
        <v>0</v>
      </c>
      <c r="AQ53" s="695"/>
      <c r="AR53" s="71"/>
      <c r="AS53" s="71"/>
      <c r="AT53" s="114"/>
      <c r="AU53" s="114"/>
    </row>
    <row r="54" spans="2:50" ht="12.75" customHeight="1" x14ac:dyDescent="0.2">
      <c r="B54" s="59"/>
      <c r="C54" s="59"/>
      <c r="D54" s="71"/>
      <c r="E54" s="71"/>
      <c r="F54" s="71"/>
      <c r="G54" s="71"/>
      <c r="H54" s="71"/>
      <c r="I54" s="71"/>
      <c r="J54" s="71"/>
      <c r="K54" s="71"/>
      <c r="L54" s="71"/>
      <c r="M54" s="71"/>
      <c r="N54" s="71"/>
      <c r="O54" s="71"/>
      <c r="P54" s="71"/>
      <c r="Q54" s="71"/>
      <c r="R54" s="71"/>
      <c r="S54" s="71"/>
      <c r="T54" s="71"/>
      <c r="U54" s="71"/>
      <c r="V54" s="71"/>
      <c r="W54" s="71"/>
      <c r="X54" s="71"/>
      <c r="Y54" s="71"/>
      <c r="Z54" s="691"/>
      <c r="AA54" s="71"/>
      <c r="AB54" s="122"/>
      <c r="AC54" s="71"/>
      <c r="AD54" s="121"/>
      <c r="AE54" s="71"/>
      <c r="AF54" s="71"/>
      <c r="AG54" s="71"/>
      <c r="AH54" s="72" t="str">
        <f>IF(AT52=1,'Sprachen &amp; Rückgabewerte(2)'!H158,LOOKUP(AE53,'Sprachen &amp; Rückgabewerte(2)'!V3:V35,'Sprachen &amp; Rückgabewerte(2)'!Z3:Z35))</f>
        <v>Glastyp wählen</v>
      </c>
      <c r="AI54" s="71"/>
      <c r="AJ54" s="71"/>
      <c r="AK54" s="71"/>
      <c r="AL54" s="71"/>
      <c r="AM54" s="431"/>
      <c r="AN54" s="78"/>
      <c r="AO54" s="78"/>
      <c r="AP54" s="71"/>
      <c r="AQ54" s="71"/>
      <c r="AR54" s="71"/>
      <c r="AS54" s="71"/>
      <c r="AT54" s="114"/>
      <c r="AU54" s="114"/>
    </row>
    <row r="55" spans="2:50" ht="12.75" customHeight="1" x14ac:dyDescent="0.2">
      <c r="B55" s="59"/>
      <c r="C55" s="59"/>
      <c r="D55" s="71"/>
      <c r="E55" s="71"/>
      <c r="F55" s="71"/>
      <c r="G55" s="71"/>
      <c r="H55" s="71"/>
      <c r="I55" s="71"/>
      <c r="J55" s="71"/>
      <c r="K55" s="71"/>
      <c r="L55" s="71"/>
      <c r="M55" s="71"/>
      <c r="N55" s="71"/>
      <c r="O55" s="71"/>
      <c r="P55" s="71"/>
      <c r="Q55" s="71"/>
      <c r="R55" s="71"/>
      <c r="S55" s="71"/>
      <c r="T55" s="71"/>
      <c r="U55" s="71"/>
      <c r="V55" s="71"/>
      <c r="W55" s="71"/>
      <c r="X55" s="71"/>
      <c r="Y55" s="71"/>
      <c r="Z55" s="71"/>
      <c r="AA55" s="71"/>
      <c r="AB55" s="122"/>
      <c r="AC55" s="71"/>
      <c r="AD55" s="121"/>
      <c r="AE55" s="210"/>
      <c r="AF55" s="210"/>
      <c r="AG55" s="210"/>
      <c r="AH55" s="210"/>
      <c r="AI55" s="210"/>
      <c r="AJ55" s="210"/>
      <c r="AK55" s="210"/>
      <c r="AL55" s="210"/>
      <c r="AM55" s="210"/>
      <c r="AN55" s="210"/>
      <c r="AO55" s="328"/>
      <c r="AP55" s="328"/>
      <c r="AQ55" s="71"/>
      <c r="AR55" s="79"/>
      <c r="AS55" s="71"/>
      <c r="AT55" s="114"/>
      <c r="AU55" s="114"/>
    </row>
    <row r="56" spans="2:50" ht="12.75" customHeight="1" x14ac:dyDescent="0.2">
      <c r="B56" s="59"/>
      <c r="C56" s="59"/>
      <c r="D56" s="71"/>
      <c r="E56" s="71"/>
      <c r="F56" s="71"/>
      <c r="G56" s="71"/>
      <c r="H56" s="71"/>
      <c r="I56" s="71"/>
      <c r="J56" s="71"/>
      <c r="K56" s="71"/>
      <c r="L56" s="71"/>
      <c r="M56" s="71"/>
      <c r="N56" s="71"/>
      <c r="O56" s="71"/>
      <c r="P56" s="71"/>
      <c r="Q56" s="71"/>
      <c r="R56" s="71"/>
      <c r="S56" s="71"/>
      <c r="T56" s="71"/>
      <c r="U56" s="71"/>
      <c r="V56" s="71"/>
      <c r="W56" s="71"/>
      <c r="X56" s="71"/>
      <c r="Y56" s="71"/>
      <c r="Z56" s="71"/>
      <c r="AA56" s="71"/>
      <c r="AB56" s="122"/>
      <c r="AC56" s="71"/>
      <c r="AD56" s="121"/>
      <c r="AE56" s="71"/>
      <c r="AF56" s="132"/>
      <c r="AG56" s="71"/>
      <c r="AH56" s="71"/>
      <c r="AI56" s="71"/>
      <c r="AJ56" s="71"/>
      <c r="AK56" s="71"/>
      <c r="AL56" s="71"/>
      <c r="AM56" s="71"/>
      <c r="AN56" s="132"/>
      <c r="AQ56" s="71"/>
      <c r="AS56" s="79"/>
      <c r="AT56" s="114"/>
      <c r="AU56" s="114"/>
    </row>
    <row r="57" spans="2:50" ht="12.75" customHeight="1" x14ac:dyDescent="0.2">
      <c r="B57" s="59"/>
      <c r="C57" s="59"/>
      <c r="D57" s="71"/>
      <c r="E57" s="71"/>
      <c r="F57" s="71"/>
      <c r="G57" s="71"/>
      <c r="H57" s="71"/>
      <c r="I57" s="71"/>
      <c r="J57" s="71"/>
      <c r="K57" s="71"/>
      <c r="L57" s="71"/>
      <c r="M57" s="71"/>
      <c r="N57" s="71"/>
      <c r="O57" s="71"/>
      <c r="P57" s="71"/>
      <c r="Q57" s="71"/>
      <c r="R57" s="71"/>
      <c r="S57" s="71"/>
      <c r="T57" s="71"/>
      <c r="U57" s="71"/>
      <c r="V57" s="71"/>
      <c r="W57" s="71"/>
      <c r="X57" s="71"/>
      <c r="Y57" s="71"/>
      <c r="Z57" s="71"/>
      <c r="AA57" s="71"/>
      <c r="AB57" s="122"/>
      <c r="AC57" s="71"/>
      <c r="AD57" s="121"/>
      <c r="AE57" s="71"/>
      <c r="AF57" s="132" t="str">
        <f>'Sprachen &amp; Rückgabewerte(2)'!$H$45</f>
        <v>Speziell:</v>
      </c>
      <c r="AG57" s="71"/>
      <c r="AH57" s="71"/>
      <c r="AI57" s="577"/>
      <c r="AJ57" s="578"/>
      <c r="AK57" s="578"/>
      <c r="AL57" s="578"/>
      <c r="AM57" s="578"/>
      <c r="AN57" s="578"/>
      <c r="AO57" s="578"/>
      <c r="AP57" s="578"/>
      <c r="AQ57" s="578"/>
      <c r="AR57" s="578"/>
      <c r="AS57" s="579"/>
      <c r="AT57" s="114"/>
      <c r="AU57" s="114"/>
    </row>
    <row r="58" spans="2:50" ht="12.75" customHeight="1" x14ac:dyDescent="0.2">
      <c r="B58" s="59"/>
      <c r="C58" s="59"/>
      <c r="D58" s="71"/>
      <c r="E58" s="71"/>
      <c r="F58" s="71"/>
      <c r="G58" s="71"/>
      <c r="H58" s="71"/>
      <c r="I58" s="74"/>
      <c r="J58" s="72"/>
      <c r="K58" s="72"/>
      <c r="L58" s="72"/>
      <c r="M58" s="72"/>
      <c r="N58" s="72"/>
      <c r="O58" s="71"/>
      <c r="P58" s="71"/>
      <c r="Q58" s="71"/>
      <c r="R58" s="71"/>
      <c r="S58" s="71"/>
      <c r="T58" s="71"/>
      <c r="U58" s="71"/>
      <c r="V58" s="71"/>
      <c r="W58" s="71"/>
      <c r="X58" s="71"/>
      <c r="Y58" s="71"/>
      <c r="Z58" s="71"/>
      <c r="AA58" s="71"/>
      <c r="AB58" s="122"/>
      <c r="AC58" s="71"/>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59"/>
      <c r="C59" s="59"/>
      <c r="D59" s="71"/>
      <c r="E59" s="71"/>
      <c r="F59" s="71"/>
      <c r="G59" s="71"/>
      <c r="H59" s="71"/>
      <c r="I59" s="74"/>
      <c r="J59" s="72"/>
      <c r="K59" s="72"/>
      <c r="L59" s="72"/>
      <c r="M59" s="72"/>
      <c r="N59" s="72"/>
      <c r="O59" s="71"/>
      <c r="P59" s="71"/>
      <c r="Q59" s="71"/>
      <c r="R59" s="71"/>
      <c r="S59" s="71"/>
      <c r="T59" s="71"/>
      <c r="U59" s="71"/>
      <c r="V59" s="71"/>
      <c r="W59" s="71"/>
      <c r="X59" s="71"/>
      <c r="Y59" s="71"/>
      <c r="Z59" s="71"/>
      <c r="AA59" s="71"/>
      <c r="AB59" s="122"/>
      <c r="AC59" s="71"/>
      <c r="AD59" s="71"/>
      <c r="AE59" s="71"/>
      <c r="AF59" s="71"/>
      <c r="AG59" s="71"/>
      <c r="AH59" s="71"/>
      <c r="AI59" s="78"/>
      <c r="AJ59" s="78"/>
      <c r="AK59" s="78"/>
      <c r="AL59" s="78"/>
      <c r="AM59" s="78"/>
      <c r="AN59" s="78"/>
      <c r="AO59" s="78"/>
      <c r="AP59" s="78"/>
      <c r="AQ59" s="78"/>
      <c r="AR59" s="78"/>
      <c r="AS59" s="78"/>
      <c r="AT59" s="60"/>
      <c r="AU59" s="114"/>
    </row>
    <row r="60" spans="2:50" ht="12.75" customHeight="1" x14ac:dyDescent="0.2">
      <c r="B60" s="59"/>
      <c r="C60" s="67"/>
      <c r="D60" s="124"/>
      <c r="E60" s="124"/>
      <c r="F60" s="183" t="str">
        <f>'Sprachen &amp; Rückgabewerte(2)'!$H$110</f>
        <v>KABA (22)</v>
      </c>
      <c r="G60" s="124"/>
      <c r="H60" s="124"/>
      <c r="I60" s="124"/>
      <c r="J60" s="124"/>
      <c r="K60" s="124"/>
      <c r="L60" s="183" t="str">
        <f>'Sprachen &amp; Rückgabewerte(2)'!$H$111</f>
        <v>PZ / Euro (17)</v>
      </c>
      <c r="M60" s="124"/>
      <c r="N60" s="124"/>
      <c r="O60" s="124"/>
      <c r="P60" s="124"/>
      <c r="Q60" s="124"/>
      <c r="R60" s="124"/>
      <c r="S60" s="124"/>
      <c r="T60" s="124"/>
      <c r="U60" s="124"/>
      <c r="V60" s="124"/>
      <c r="W60" s="124"/>
      <c r="X60" s="124"/>
      <c r="Y60" s="124"/>
      <c r="Z60" s="124"/>
      <c r="AA60" s="154"/>
      <c r="AB60" s="125"/>
      <c r="AC60" s="71"/>
      <c r="AD60" s="118"/>
      <c r="AE60" s="120" t="str">
        <f>'Sprachen &amp; Rückgabewerte(2)'!$H$64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59"/>
      <c r="C61" s="60"/>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121"/>
      <c r="AE61" s="71"/>
      <c r="AF61" s="80"/>
      <c r="AG61" s="71"/>
      <c r="AH61" s="71"/>
      <c r="AI61" s="71"/>
      <c r="AJ61" s="71"/>
      <c r="AK61" s="71"/>
      <c r="AL61" s="71"/>
      <c r="AM61" s="431"/>
      <c r="AN61" s="71"/>
      <c r="AO61" s="71"/>
      <c r="AP61" s="71"/>
      <c r="AQ61" s="71"/>
      <c r="AR61" s="71"/>
      <c r="AS61" s="71"/>
      <c r="AT61" s="114"/>
      <c r="AU61" s="114"/>
    </row>
    <row r="62" spans="2:50" ht="12.75" customHeight="1" x14ac:dyDescent="0.2">
      <c r="B62" s="59"/>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33"/>
      <c r="AC62" s="71"/>
      <c r="AD62" s="121"/>
      <c r="AE62" s="71"/>
      <c r="AF62" s="80"/>
      <c r="AG62" s="71"/>
      <c r="AH62" s="71"/>
      <c r="AI62" s="71"/>
      <c r="AJ62" s="71"/>
      <c r="AK62" s="71"/>
      <c r="AL62" s="71"/>
      <c r="AM62" s="431"/>
      <c r="AN62" s="71"/>
      <c r="AO62" s="71"/>
      <c r="AP62" s="71"/>
      <c r="AQ62" s="71"/>
      <c r="AR62" s="71"/>
      <c r="AS62" s="71"/>
      <c r="AT62" s="114"/>
      <c r="AU62" s="114"/>
    </row>
    <row r="63" spans="2:50" ht="12.75" customHeight="1" x14ac:dyDescent="0.2">
      <c r="B63" s="59"/>
      <c r="C63" s="59"/>
      <c r="D63" s="71"/>
      <c r="E63" s="71"/>
      <c r="F63" s="60"/>
      <c r="G63" s="71"/>
      <c r="H63" s="71"/>
      <c r="I63" s="71"/>
      <c r="J63" s="71"/>
      <c r="K63" s="71"/>
      <c r="L63" s="60"/>
      <c r="M63" s="71"/>
      <c r="N63" s="71"/>
      <c r="O63" s="71"/>
      <c r="P63" s="71"/>
      <c r="Q63" s="71"/>
      <c r="R63" s="71"/>
      <c r="S63" s="71"/>
      <c r="T63" s="71"/>
      <c r="U63" s="71"/>
      <c r="V63" s="71"/>
      <c r="W63" s="71"/>
      <c r="X63" s="71"/>
      <c r="Y63" s="71"/>
      <c r="Z63" s="71"/>
      <c r="AA63" s="71"/>
      <c r="AB63" s="122"/>
      <c r="AC63" s="71"/>
      <c r="AD63" s="121"/>
      <c r="AE63" s="71"/>
      <c r="AF63" s="71"/>
      <c r="AG63" s="71"/>
      <c r="AH63" s="71"/>
      <c r="AI63" s="71"/>
      <c r="AJ63" s="71"/>
      <c r="AK63" s="71"/>
      <c r="AL63" s="71"/>
      <c r="AM63" s="431"/>
      <c r="AN63" s="71"/>
      <c r="AO63" s="71"/>
      <c r="AP63" s="71"/>
      <c r="AQ63" s="71"/>
      <c r="AR63" s="71"/>
      <c r="AS63" s="71"/>
      <c r="AT63" s="114"/>
      <c r="AU63" s="114"/>
    </row>
    <row r="64" spans="2:50" ht="12.75" customHeight="1" x14ac:dyDescent="0.2">
      <c r="B64" s="59"/>
      <c r="C64" s="59"/>
      <c r="D64" s="71"/>
      <c r="E64" s="72"/>
      <c r="F64" s="72"/>
      <c r="G64" s="71"/>
      <c r="H64" s="71"/>
      <c r="I64" s="71"/>
      <c r="J64" s="71"/>
      <c r="K64" s="71"/>
      <c r="L64" s="72"/>
      <c r="M64" s="71"/>
      <c r="N64" s="71"/>
      <c r="O64" s="71"/>
      <c r="P64" s="71"/>
      <c r="Q64" s="71"/>
      <c r="R64" s="71"/>
      <c r="S64" s="71"/>
      <c r="T64" s="71"/>
      <c r="U64" s="71"/>
      <c r="V64" s="71"/>
      <c r="W64" s="71"/>
      <c r="X64" s="71"/>
      <c r="Y64" s="71"/>
      <c r="Z64" s="71"/>
      <c r="AA64" s="71"/>
      <c r="AB64" s="122"/>
      <c r="AC64" s="71"/>
      <c r="AD64" s="121"/>
      <c r="AE64" s="71"/>
      <c r="AF64" s="71"/>
      <c r="AG64" s="71"/>
      <c r="AH64" s="71"/>
      <c r="AI64" s="71"/>
      <c r="AJ64" s="71"/>
      <c r="AK64" s="71"/>
      <c r="AL64" s="71"/>
      <c r="AM64" s="431"/>
      <c r="AN64" s="71"/>
      <c r="AO64" s="71"/>
      <c r="AP64" s="71"/>
      <c r="AQ64" s="71"/>
      <c r="AR64" s="71"/>
      <c r="AS64" s="71"/>
      <c r="AT64" s="114"/>
      <c r="AU64" s="114"/>
    </row>
    <row r="65" spans="2:50" ht="12.75" customHeight="1" x14ac:dyDescent="0.2">
      <c r="B65" s="59"/>
      <c r="C65" s="59"/>
      <c r="D65" s="71"/>
      <c r="E65" s="71"/>
      <c r="F65" s="71"/>
      <c r="G65" s="71"/>
      <c r="H65" s="71"/>
      <c r="I65" s="71"/>
      <c r="J65" s="71"/>
      <c r="K65" s="71"/>
      <c r="L65" s="71"/>
      <c r="M65" s="71"/>
      <c r="N65" s="71"/>
      <c r="O65" s="71"/>
      <c r="P65" s="71"/>
      <c r="Q65" s="71"/>
      <c r="R65" s="71"/>
      <c r="S65" s="71"/>
      <c r="T65" s="71"/>
      <c r="U65" s="71"/>
      <c r="V65" s="71"/>
      <c r="W65" s="71"/>
      <c r="X65" s="71"/>
      <c r="Y65" s="71"/>
      <c r="Z65" s="71"/>
      <c r="AA65" s="71"/>
      <c r="AB65" s="122"/>
      <c r="AC65" s="71"/>
      <c r="AD65" s="121"/>
      <c r="AE65" s="71"/>
      <c r="AF65" s="71"/>
      <c r="AG65" s="71"/>
      <c r="AH65" s="71"/>
      <c r="AI65" s="71"/>
      <c r="AJ65" s="71"/>
      <c r="AK65" s="71"/>
      <c r="AL65" s="71"/>
      <c r="AM65" s="71"/>
      <c r="AN65" s="71"/>
      <c r="AO65" s="71"/>
      <c r="AP65" s="71"/>
      <c r="AQ65" s="71"/>
      <c r="AR65" s="71"/>
      <c r="AS65" s="71"/>
      <c r="AT65" s="114"/>
      <c r="AU65" s="114"/>
    </row>
    <row r="66" spans="2:50" ht="12.75" customHeight="1" x14ac:dyDescent="0.2">
      <c r="B66" s="59"/>
      <c r="C66" s="59"/>
      <c r="D66" s="71"/>
      <c r="E66" s="71"/>
      <c r="F66" s="71"/>
      <c r="G66" s="71"/>
      <c r="H66" s="71"/>
      <c r="I66" s="71"/>
      <c r="J66" s="71"/>
      <c r="K66" s="71"/>
      <c r="L66" s="71"/>
      <c r="M66" s="71"/>
      <c r="N66" s="71"/>
      <c r="O66" s="71"/>
      <c r="P66" s="71"/>
      <c r="Q66" s="71"/>
      <c r="R66" s="71"/>
      <c r="S66" s="71"/>
      <c r="T66" s="71"/>
      <c r="U66" s="71"/>
      <c r="V66" s="71"/>
      <c r="W66" s="71"/>
      <c r="X66" s="71"/>
      <c r="Y66" s="71"/>
      <c r="Z66" s="71"/>
      <c r="AA66" s="71"/>
      <c r="AB66" s="122"/>
      <c r="AC66" s="71"/>
      <c r="AD66" s="121"/>
      <c r="AE66" s="71"/>
      <c r="AF66" s="71"/>
      <c r="AG66" s="71"/>
      <c r="AH66" s="71"/>
      <c r="AI66" s="71"/>
      <c r="AJ66" s="71"/>
      <c r="AK66" s="71"/>
      <c r="AL66" s="71"/>
      <c r="AM66" s="71"/>
      <c r="AN66" s="71"/>
      <c r="AO66" s="71"/>
      <c r="AP66" s="71"/>
      <c r="AQ66" s="71"/>
      <c r="AR66" s="71"/>
      <c r="AS66" s="71"/>
      <c r="AT66" s="114"/>
      <c r="AU66" s="114"/>
    </row>
    <row r="67" spans="2:50" ht="12.75" customHeight="1" x14ac:dyDescent="0.2">
      <c r="B67" s="59"/>
      <c r="C67" s="59"/>
      <c r="D67" s="71"/>
      <c r="E67" s="71"/>
      <c r="F67" s="71"/>
      <c r="G67" s="71"/>
      <c r="H67" s="71"/>
      <c r="I67" s="71"/>
      <c r="J67" s="71"/>
      <c r="K67" s="71"/>
      <c r="L67" s="71"/>
      <c r="M67" s="71"/>
      <c r="N67" s="71"/>
      <c r="O67" s="71"/>
      <c r="P67" s="71"/>
      <c r="Q67" s="71"/>
      <c r="R67" s="71"/>
      <c r="S67" s="71"/>
      <c r="T67" s="71"/>
      <c r="U67" s="71"/>
      <c r="V67" s="71"/>
      <c r="W67" s="71"/>
      <c r="X67" s="71"/>
      <c r="Y67" s="71"/>
      <c r="Z67" s="71"/>
      <c r="AA67" s="71"/>
      <c r="AB67" s="122"/>
      <c r="AC67" s="71"/>
      <c r="AD67" s="121"/>
      <c r="AE67" s="71"/>
      <c r="AF67" s="71"/>
      <c r="AG67" s="71"/>
      <c r="AH67" s="71"/>
      <c r="AI67" s="71"/>
      <c r="AJ67" s="71"/>
      <c r="AK67" s="71"/>
      <c r="AL67" s="71"/>
      <c r="AM67" s="71"/>
      <c r="AN67" s="71"/>
      <c r="AO67" s="71"/>
      <c r="AP67" s="71"/>
      <c r="AQ67" s="71"/>
      <c r="AR67" s="71"/>
      <c r="AS67" s="71"/>
      <c r="AT67" s="114"/>
      <c r="AU67" s="114"/>
    </row>
    <row r="68" spans="2:50" ht="12.75" customHeight="1" x14ac:dyDescent="0.2">
      <c r="B68" s="59"/>
      <c r="C68" s="59"/>
      <c r="D68" s="71"/>
      <c r="E68" s="71"/>
      <c r="F68" s="71"/>
      <c r="G68" s="71"/>
      <c r="H68" s="71"/>
      <c r="I68" s="71"/>
      <c r="J68" s="71"/>
      <c r="K68" s="71"/>
      <c r="L68" s="71"/>
      <c r="M68" s="71"/>
      <c r="N68" s="71"/>
      <c r="O68" s="71"/>
      <c r="P68" s="71"/>
      <c r="Q68" s="71"/>
      <c r="R68" s="71"/>
      <c r="S68" s="71"/>
      <c r="T68" s="71"/>
      <c r="U68" s="71"/>
      <c r="V68" s="71"/>
      <c r="W68" s="71"/>
      <c r="X68" s="71"/>
      <c r="Y68" s="71"/>
      <c r="Z68" s="71"/>
      <c r="AA68" s="71"/>
      <c r="AB68" s="122"/>
      <c r="AC68" s="71"/>
      <c r="AD68" s="121"/>
      <c r="AE68" s="71"/>
      <c r="AF68" s="71"/>
      <c r="AG68" s="71"/>
      <c r="AH68" s="71"/>
      <c r="AI68" s="71"/>
      <c r="AJ68" s="71"/>
      <c r="AK68" s="71"/>
      <c r="AL68" s="71"/>
      <c r="AM68" s="71"/>
      <c r="AN68" s="71"/>
      <c r="AO68" s="71"/>
      <c r="AP68" s="71"/>
      <c r="AQ68" s="71"/>
      <c r="AR68" s="71"/>
      <c r="AS68" s="71"/>
      <c r="AT68" s="114"/>
      <c r="AU68" s="114"/>
    </row>
    <row r="69" spans="2:50" ht="12.75" customHeight="1" x14ac:dyDescent="0.2">
      <c r="B69" s="59"/>
      <c r="C69" s="59"/>
      <c r="D69" s="71"/>
      <c r="E69" s="71"/>
      <c r="F69" s="71"/>
      <c r="G69" s="71"/>
      <c r="H69" s="71"/>
      <c r="I69" s="71"/>
      <c r="J69" s="71"/>
      <c r="K69" s="71"/>
      <c r="L69" s="71"/>
      <c r="M69" s="71"/>
      <c r="N69" s="71"/>
      <c r="O69" s="71"/>
      <c r="P69" s="71"/>
      <c r="Q69" s="71"/>
      <c r="R69" s="71"/>
      <c r="S69" s="71"/>
      <c r="T69" s="71"/>
      <c r="U69" s="71"/>
      <c r="V69" s="71"/>
      <c r="W69" s="71"/>
      <c r="X69" s="71"/>
      <c r="Y69" s="71"/>
      <c r="Z69" s="71"/>
      <c r="AA69" s="71"/>
      <c r="AB69" s="122"/>
      <c r="AC69" s="71"/>
      <c r="AD69" s="121"/>
      <c r="AE69" s="71"/>
      <c r="AF69" s="71"/>
      <c r="AG69" s="71"/>
      <c r="AH69" s="71"/>
      <c r="AI69" s="71"/>
      <c r="AJ69" s="71"/>
      <c r="AK69" s="71"/>
      <c r="AL69" s="71"/>
      <c r="AM69" s="71"/>
      <c r="AN69" s="71"/>
      <c r="AO69" s="71"/>
      <c r="AP69" s="71"/>
      <c r="AQ69" s="71"/>
      <c r="AR69" s="71"/>
      <c r="AS69" s="71"/>
      <c r="AT69" s="114"/>
      <c r="AU69" s="114"/>
    </row>
    <row r="70" spans="2:50" ht="12.75" customHeight="1" x14ac:dyDescent="0.2">
      <c r="B70" s="59"/>
      <c r="C70" s="59"/>
      <c r="D70" s="71"/>
      <c r="E70" s="71"/>
      <c r="F70" s="71"/>
      <c r="G70" s="71"/>
      <c r="H70" s="71"/>
      <c r="I70" s="71"/>
      <c r="J70" s="71"/>
      <c r="K70" s="71"/>
      <c r="L70" s="71"/>
      <c r="M70" s="71"/>
      <c r="N70" s="71"/>
      <c r="O70" s="71"/>
      <c r="P70" s="71"/>
      <c r="Q70" s="71"/>
      <c r="R70" s="71"/>
      <c r="S70" s="71"/>
      <c r="T70" s="71"/>
      <c r="U70" s="71"/>
      <c r="V70" s="71"/>
      <c r="W70" s="71"/>
      <c r="X70" s="71"/>
      <c r="Y70" s="71"/>
      <c r="Z70" s="71"/>
      <c r="AA70" s="71"/>
      <c r="AB70" s="122"/>
      <c r="AC70" s="71"/>
      <c r="AD70" s="121"/>
      <c r="AE70" s="556"/>
      <c r="AF70" s="557"/>
      <c r="AG70" s="557"/>
      <c r="AH70" s="557"/>
      <c r="AI70" s="557"/>
      <c r="AJ70" s="557"/>
      <c r="AK70" s="557"/>
      <c r="AL70" s="558"/>
      <c r="AM70" s="71"/>
      <c r="AN70" s="580"/>
      <c r="AO70" s="581"/>
      <c r="AP70" s="581"/>
      <c r="AQ70" s="581"/>
      <c r="AR70" s="581"/>
      <c r="AS70" s="582"/>
      <c r="AT70" s="114"/>
      <c r="AU70" s="114"/>
    </row>
    <row r="71" spans="2:50" ht="12.75" customHeight="1" x14ac:dyDescent="0.2">
      <c r="B71" s="59"/>
      <c r="C71" s="59"/>
      <c r="D71" s="71"/>
      <c r="E71" s="71"/>
      <c r="F71" s="72" t="str">
        <f>'Sprachen &amp; Rückgabewerte(2)'!$B$41</f>
        <v>120101/120101</v>
      </c>
      <c r="G71" s="71"/>
      <c r="H71" s="71"/>
      <c r="I71" s="71"/>
      <c r="J71" s="71"/>
      <c r="K71" s="71"/>
      <c r="L71" s="72" t="str">
        <f>'Sprachen &amp; Rückgabewerte(2)'!$B$42</f>
        <v>120101/120401</v>
      </c>
      <c r="M71" s="60"/>
      <c r="N71" s="71"/>
      <c r="O71" s="71"/>
      <c r="P71" s="71"/>
      <c r="Q71" s="71"/>
      <c r="R71" s="72" t="str">
        <f>'Sprachen &amp; Rückgabewerte(2)'!$B$43</f>
        <v>120401/120401</v>
      </c>
      <c r="S71" s="71"/>
      <c r="T71" s="71"/>
      <c r="U71" s="71"/>
      <c r="V71" s="71"/>
      <c r="W71" s="71"/>
      <c r="X71" s="72" t="str">
        <f>'Sprachen &amp; Rückgabewerte(2)'!$B$44</f>
        <v>121101/121101</v>
      </c>
      <c r="Y71" s="60"/>
      <c r="Z71" s="71"/>
      <c r="AA71" s="71"/>
      <c r="AB71" s="122"/>
      <c r="AC71" s="71"/>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59"/>
      <c r="C72" s="59"/>
      <c r="D72" s="71"/>
      <c r="E72" s="71"/>
      <c r="F72" s="665"/>
      <c r="G72" s="666"/>
      <c r="H72" s="666"/>
      <c r="I72" s="667"/>
      <c r="J72" s="71"/>
      <c r="K72" s="71"/>
      <c r="L72" s="665"/>
      <c r="M72" s="666"/>
      <c r="N72" s="666"/>
      <c r="O72" s="667"/>
      <c r="P72" s="71"/>
      <c r="Q72" s="71"/>
      <c r="R72" s="665"/>
      <c r="S72" s="666"/>
      <c r="T72" s="666"/>
      <c r="U72" s="667"/>
      <c r="V72" s="71"/>
      <c r="W72" s="71"/>
      <c r="X72" s="665"/>
      <c r="Y72" s="666"/>
      <c r="Z72" s="666"/>
      <c r="AA72" s="667"/>
      <c r="AB72" s="122"/>
      <c r="AC72" s="71"/>
      <c r="AD72" s="71"/>
      <c r="AE72" s="71"/>
      <c r="AF72" s="71"/>
      <c r="AG72" s="71"/>
      <c r="AH72" s="71"/>
      <c r="AI72" s="71"/>
      <c r="AJ72" s="71"/>
      <c r="AK72" s="71"/>
      <c r="AL72" s="71"/>
      <c r="AM72" s="71"/>
      <c r="AN72" s="71"/>
      <c r="AO72" s="71"/>
      <c r="AP72" s="71"/>
      <c r="AQ72" s="71"/>
      <c r="AR72" s="71"/>
      <c r="AS72" s="71"/>
      <c r="AT72" s="60"/>
      <c r="AU72" s="114"/>
    </row>
    <row r="73" spans="2:50" ht="12.75" customHeight="1" x14ac:dyDescent="0.2">
      <c r="B73" s="59"/>
      <c r="C73" s="59"/>
      <c r="D73" s="71"/>
      <c r="E73" s="71"/>
      <c r="F73" s="71"/>
      <c r="G73" s="71"/>
      <c r="H73" s="71"/>
      <c r="I73" s="71"/>
      <c r="J73" s="71"/>
      <c r="K73" s="71"/>
      <c r="L73" s="71"/>
      <c r="M73" s="71"/>
      <c r="N73" s="71"/>
      <c r="O73" s="71"/>
      <c r="P73" s="71"/>
      <c r="Q73" s="71"/>
      <c r="R73" s="71"/>
      <c r="S73" s="71"/>
      <c r="T73" s="71"/>
      <c r="U73" s="71"/>
      <c r="V73" s="71"/>
      <c r="W73" s="71"/>
      <c r="X73" s="71"/>
      <c r="Y73" s="71"/>
      <c r="Z73" s="71"/>
      <c r="AA73" s="71"/>
      <c r="AB73" s="332"/>
      <c r="AC73" s="71"/>
      <c r="AD73" s="118"/>
      <c r="AE73" s="120" t="str">
        <f>'Sprachen &amp; Rückgabewerte(2)'!$H$70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59"/>
      <c r="C74" s="59"/>
      <c r="D74" s="71"/>
      <c r="E74" s="71"/>
      <c r="F74" s="71"/>
      <c r="G74" s="71"/>
      <c r="H74" s="71"/>
      <c r="I74" s="71"/>
      <c r="J74" s="71"/>
      <c r="K74" s="71"/>
      <c r="L74" s="71"/>
      <c r="M74" s="71"/>
      <c r="N74" s="71"/>
      <c r="O74" s="71"/>
      <c r="P74" s="71"/>
      <c r="Q74" s="71"/>
      <c r="R74" s="71"/>
      <c r="S74" s="71"/>
      <c r="T74" s="71"/>
      <c r="U74" s="71"/>
      <c r="V74" s="71"/>
      <c r="W74" s="71"/>
      <c r="X74" s="71"/>
      <c r="Y74" s="71"/>
      <c r="Z74" s="71"/>
      <c r="AA74" s="71"/>
      <c r="AB74" s="122"/>
      <c r="AC74" s="71"/>
      <c r="AD74" s="121"/>
      <c r="AE74" s="71"/>
      <c r="AF74" s="71" t="str">
        <f>'Sprachen &amp; Rückgabewerte(2)'!$H$71</f>
        <v>Universalschrauben (A2):</v>
      </c>
      <c r="AG74" s="71"/>
      <c r="AH74" s="71"/>
      <c r="AI74" s="71"/>
      <c r="AJ74" s="71"/>
      <c r="AK74" s="71"/>
      <c r="AL74" s="71"/>
      <c r="AM74" s="71" t="str">
        <f>'Sprachen &amp; Rückgabewerte(2)'!H72</f>
        <v>L=52mm</v>
      </c>
      <c r="AN74" s="380"/>
      <c r="AO74" s="382"/>
      <c r="AP74" s="383"/>
      <c r="AQ74" s="141" t="str">
        <f>'Sprachen &amp; Rückgabewerte(2)'!$H$180</f>
        <v>VE</v>
      </c>
      <c r="AR74" s="71"/>
      <c r="AS74" s="71"/>
      <c r="AT74" s="114"/>
      <c r="AU74" s="114"/>
    </row>
    <row r="75" spans="2:50" ht="12.75" customHeight="1" thickBot="1" x14ac:dyDescent="0.25">
      <c r="B75" s="59"/>
      <c r="C75" s="59"/>
      <c r="D75" s="71"/>
      <c r="E75" s="71"/>
      <c r="F75" s="71"/>
      <c r="G75" s="71"/>
      <c r="H75" s="71"/>
      <c r="I75" s="71"/>
      <c r="J75" s="71"/>
      <c r="K75" s="71"/>
      <c r="L75" s="71"/>
      <c r="M75" s="71"/>
      <c r="N75" s="71"/>
      <c r="O75" s="71"/>
      <c r="P75" s="71"/>
      <c r="Q75" s="71"/>
      <c r="R75" s="71"/>
      <c r="S75" s="71"/>
      <c r="T75" s="71"/>
      <c r="U75" s="71"/>
      <c r="V75" s="71"/>
      <c r="W75" s="71"/>
      <c r="X75" s="71"/>
      <c r="Y75" s="71"/>
      <c r="Z75" s="71"/>
      <c r="AA75" s="71"/>
      <c r="AB75" s="122"/>
      <c r="AC75" s="71"/>
      <c r="AD75" s="121"/>
      <c r="AE75" s="71"/>
      <c r="AF75" s="71"/>
      <c r="AG75" s="78" t="str">
        <f>'Sprachen &amp; Rückgabewerte(2)'!H75</f>
        <v>(VE à 100 Stk.)</v>
      </c>
      <c r="AH75" s="71"/>
      <c r="AI75" s="71"/>
      <c r="AJ75" s="71"/>
      <c r="AK75" s="71"/>
      <c r="AL75" s="71"/>
      <c r="AM75" s="71" t="str">
        <f>'Sprachen &amp; Rückgabewerte(2)'!H73</f>
        <v>L=82mm</v>
      </c>
      <c r="AN75" s="381"/>
      <c r="AO75" s="71"/>
      <c r="AP75" s="383"/>
      <c r="AQ75" s="141" t="str">
        <f>'Sprachen &amp; Rückgabewerte(2)'!$H$180</f>
        <v>VE</v>
      </c>
      <c r="AR75" s="71"/>
      <c r="AS75" s="71"/>
      <c r="AT75" s="114"/>
      <c r="AU75" s="114"/>
    </row>
    <row r="76" spans="2:50" ht="12.75" customHeight="1" x14ac:dyDescent="0.2">
      <c r="B76" s="59"/>
      <c r="C76" s="59"/>
      <c r="D76" s="71"/>
      <c r="E76" s="71"/>
      <c r="F76" s="71"/>
      <c r="G76" s="71"/>
      <c r="H76" s="71"/>
      <c r="I76" s="71"/>
      <c r="J76" s="71"/>
      <c r="K76" s="71"/>
      <c r="L76" s="71"/>
      <c r="M76" s="71"/>
      <c r="N76" s="71"/>
      <c r="O76" s="71"/>
      <c r="P76" s="71"/>
      <c r="Q76" s="71"/>
      <c r="R76" s="71"/>
      <c r="S76" s="71"/>
      <c r="T76" s="71"/>
      <c r="U76" s="71"/>
      <c r="V76" s="71"/>
      <c r="W76" s="71"/>
      <c r="X76" s="71"/>
      <c r="Y76" s="71"/>
      <c r="Z76" s="71"/>
      <c r="AA76" s="71"/>
      <c r="AB76" s="122"/>
      <c r="AC76" s="71"/>
      <c r="AD76" s="121"/>
      <c r="AE76" s="71"/>
      <c r="AF76" s="71"/>
      <c r="AG76" s="71"/>
      <c r="AH76" s="71"/>
      <c r="AI76" s="71"/>
      <c r="AJ76" s="71"/>
      <c r="AK76" s="71"/>
      <c r="AL76" s="71"/>
      <c r="AM76" s="71" t="str">
        <f>'Sprachen &amp; Rückgabewerte(2)'!H74</f>
        <v>L=112mm</v>
      </c>
      <c r="AN76" s="431"/>
      <c r="AO76" s="71"/>
      <c r="AP76" s="383"/>
      <c r="AQ76" s="141" t="str">
        <f>'Sprachen &amp; Rückgabewerte(2)'!$H$180</f>
        <v>VE</v>
      </c>
      <c r="AR76" s="71"/>
      <c r="AS76" s="71"/>
      <c r="AT76" s="114"/>
      <c r="AU76" s="114"/>
      <c r="AW76" s="587"/>
      <c r="AX76" s="587"/>
    </row>
    <row r="77" spans="2:50" ht="12.75" customHeight="1" x14ac:dyDescent="0.2">
      <c r="B77" s="59"/>
      <c r="C77" s="59"/>
      <c r="D77" s="71"/>
      <c r="E77" s="71"/>
      <c r="F77" s="71"/>
      <c r="G77" s="71"/>
      <c r="H77" s="71"/>
      <c r="I77" s="71"/>
      <c r="J77" s="71"/>
      <c r="K77" s="71"/>
      <c r="L77" s="71"/>
      <c r="M77" s="71"/>
      <c r="N77" s="71"/>
      <c r="O77" s="71"/>
      <c r="P77" s="71"/>
      <c r="Q77" s="71"/>
      <c r="R77" s="71"/>
      <c r="S77" s="71"/>
      <c r="T77" s="71"/>
      <c r="U77" s="71"/>
      <c r="V77" s="71"/>
      <c r="W77" s="71"/>
      <c r="X77" s="71"/>
      <c r="Y77" s="71"/>
      <c r="Z77" s="71"/>
      <c r="AA77" s="71"/>
      <c r="AB77" s="122"/>
      <c r="AC77" s="71"/>
      <c r="AD77" s="121"/>
      <c r="AE77" s="80" t="str">
        <f>'Sprachen &amp; Rückgabewerte(2)'!$H$76</f>
        <v>Sockelbefestigung:</v>
      </c>
      <c r="AF77" s="80"/>
      <c r="AG77" s="71"/>
      <c r="AH77" s="71"/>
      <c r="AI77" s="71"/>
      <c r="AJ77" s="71"/>
      <c r="AK77" s="71"/>
      <c r="AL77" s="71"/>
      <c r="AM77" s="71"/>
      <c r="AN77" s="71"/>
      <c r="AO77" s="71"/>
      <c r="AP77" s="71"/>
      <c r="AQ77" s="71"/>
      <c r="AR77" s="71"/>
      <c r="AS77" s="71"/>
      <c r="AT77" s="114"/>
      <c r="AU77" s="114"/>
      <c r="AW77" s="588"/>
      <c r="AX77" s="588"/>
    </row>
    <row r="78" spans="2:50" ht="12.75" customHeight="1" x14ac:dyDescent="0.2">
      <c r="B78" s="59"/>
      <c r="C78" s="59"/>
      <c r="D78" s="71"/>
      <c r="E78" s="71"/>
      <c r="F78" s="71"/>
      <c r="G78" s="71"/>
      <c r="H78" s="71"/>
      <c r="I78" s="71"/>
      <c r="J78" s="71"/>
      <c r="K78" s="71"/>
      <c r="L78" s="71"/>
      <c r="M78" s="71"/>
      <c r="N78" s="71"/>
      <c r="O78" s="71"/>
      <c r="P78" s="71"/>
      <c r="Q78" s="71"/>
      <c r="R78" s="71"/>
      <c r="S78" s="71"/>
      <c r="T78" s="71"/>
      <c r="U78" s="71"/>
      <c r="V78" s="71"/>
      <c r="W78" s="71"/>
      <c r="X78" s="71"/>
      <c r="Y78" s="71"/>
      <c r="Z78" s="71"/>
      <c r="AA78" s="71"/>
      <c r="AB78" s="122"/>
      <c r="AC78" s="71"/>
      <c r="AD78" s="121"/>
      <c r="AE78" s="71" t="str">
        <f>'Sprachen &amp; Rückgabewerte(2)'!$H$77</f>
        <v>Verstellschrauben M10 x</v>
      </c>
      <c r="AF78" s="71"/>
      <c r="AG78" s="71"/>
      <c r="AH78" s="71"/>
      <c r="AI78" s="71"/>
      <c r="AJ78" s="71"/>
      <c r="AK78" s="71"/>
      <c r="AL78" s="71"/>
      <c r="AM78" s="71"/>
      <c r="AN78" s="563"/>
      <c r="AO78" s="563"/>
      <c r="AP78" s="563"/>
      <c r="AQ78" s="71"/>
      <c r="AR78" s="71"/>
      <c r="AS78" s="71"/>
      <c r="AT78" s="114"/>
      <c r="AU78" s="114"/>
      <c r="AW78" s="588"/>
      <c r="AX78" s="588"/>
    </row>
    <row r="79" spans="2:50" ht="12.75" customHeight="1" x14ac:dyDescent="0.2">
      <c r="B79" s="59"/>
      <c r="C79" s="59"/>
      <c r="D79" s="71"/>
      <c r="E79" s="71"/>
      <c r="F79" s="71"/>
      <c r="G79" s="71"/>
      <c r="H79" s="71"/>
      <c r="I79" s="71"/>
      <c r="J79" s="71"/>
      <c r="K79" s="71"/>
      <c r="L79" s="71"/>
      <c r="M79" s="71"/>
      <c r="N79" s="71"/>
      <c r="O79" s="71"/>
      <c r="P79" s="71"/>
      <c r="Q79" s="71"/>
      <c r="R79" s="71"/>
      <c r="S79" s="71"/>
      <c r="T79" s="71"/>
      <c r="U79" s="71"/>
      <c r="V79" s="71"/>
      <c r="W79" s="71"/>
      <c r="X79" s="71"/>
      <c r="Y79" s="71"/>
      <c r="Z79" s="71"/>
      <c r="AA79" s="71"/>
      <c r="AB79" s="122"/>
      <c r="AC79" s="71"/>
      <c r="AD79" s="121"/>
      <c r="AE79" s="71" t="str">
        <f>'Sprachen &amp; Rückgabewerte(2)'!$H$52</f>
        <v>Standardgrundplatten:</v>
      </c>
      <c r="AF79" s="71"/>
      <c r="AG79" s="71"/>
      <c r="AH79" s="71"/>
      <c r="AI79" s="71"/>
      <c r="AJ79" s="71"/>
      <c r="AK79" s="71"/>
      <c r="AL79" s="71"/>
      <c r="AM79" s="71"/>
      <c r="AN79" s="563"/>
      <c r="AO79" s="563"/>
      <c r="AP79" s="563"/>
      <c r="AQ79" s="71"/>
      <c r="AR79" s="71"/>
      <c r="AS79" s="71"/>
      <c r="AT79" s="114"/>
      <c r="AU79" s="114"/>
      <c r="AW79" s="588"/>
      <c r="AX79" s="588"/>
    </row>
    <row r="80" spans="2:50" ht="12" customHeight="1" thickBot="1" x14ac:dyDescent="0.25">
      <c r="B80" s="59"/>
      <c r="C80" s="59"/>
      <c r="D80" s="71"/>
      <c r="E80" s="71"/>
      <c r="F80" s="71"/>
      <c r="G80" s="71"/>
      <c r="H80" s="71"/>
      <c r="I80" s="71"/>
      <c r="J80" s="71"/>
      <c r="K80" s="71"/>
      <c r="L80" s="71"/>
      <c r="M80" s="71"/>
      <c r="N80" s="71"/>
      <c r="O80" s="71"/>
      <c r="P80" s="71"/>
      <c r="Q80" s="71"/>
      <c r="R80" s="71"/>
      <c r="S80" s="71"/>
      <c r="T80" s="71"/>
      <c r="U80" s="71"/>
      <c r="V80" s="71"/>
      <c r="W80" s="71"/>
      <c r="X80" s="71"/>
      <c r="Y80" s="71"/>
      <c r="Z80" s="71"/>
      <c r="AA80" s="71"/>
      <c r="AB80" s="122"/>
      <c r="AC80" s="71"/>
      <c r="AD80" s="121"/>
      <c r="AE80" s="188" t="str">
        <f>'Sprachen &amp; Rückgabewerte(2)'!$H$84</f>
        <v>Rahmenzusammenbau:</v>
      </c>
      <c r="AF80" s="71"/>
      <c r="AG80" s="71"/>
      <c r="AH80" s="71"/>
      <c r="AI80" s="71"/>
      <c r="AJ80" s="71"/>
      <c r="AK80" s="71"/>
      <c r="AL80" s="71"/>
      <c r="AM80" s="71"/>
      <c r="AN80" s="564"/>
      <c r="AO80" s="565"/>
      <c r="AP80" s="565"/>
      <c r="AQ80" s="565"/>
      <c r="AR80" s="565"/>
      <c r="AS80" s="566"/>
      <c r="AT80" s="325"/>
      <c r="AU80" s="115"/>
      <c r="AV80" s="326"/>
      <c r="AW80" s="589"/>
      <c r="AX80" s="589"/>
    </row>
    <row r="81" spans="2:50" ht="12.75" customHeight="1" x14ac:dyDescent="0.2">
      <c r="B81" s="59"/>
      <c r="C81" s="59"/>
      <c r="D81" s="71"/>
      <c r="E81" s="71"/>
      <c r="F81" s="71"/>
      <c r="G81" s="71"/>
      <c r="H81" s="71"/>
      <c r="I81" s="71"/>
      <c r="J81" s="71"/>
      <c r="K81" s="71"/>
      <c r="L81" s="71"/>
      <c r="M81" s="71"/>
      <c r="N81" s="71"/>
      <c r="O81" s="71"/>
      <c r="P81" s="71"/>
      <c r="Q81" s="71"/>
      <c r="R81" s="71"/>
      <c r="S81" s="71"/>
      <c r="T81" s="71"/>
      <c r="U81" s="71"/>
      <c r="V81" s="71"/>
      <c r="W81" s="71"/>
      <c r="X81" s="71"/>
      <c r="Y81" s="71"/>
      <c r="Z81" s="71"/>
      <c r="AA81" s="71"/>
      <c r="AB81" s="122"/>
      <c r="AC81" s="71"/>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59"/>
      <c r="C82" s="59"/>
      <c r="D82" s="71"/>
      <c r="E82" s="71"/>
      <c r="F82" s="71"/>
      <c r="G82" s="71"/>
      <c r="H82" s="71"/>
      <c r="I82" s="71"/>
      <c r="J82" s="71"/>
      <c r="K82" s="71"/>
      <c r="L82" s="71"/>
      <c r="M82" s="71"/>
      <c r="N82" s="71"/>
      <c r="O82" s="71"/>
      <c r="P82" s="71"/>
      <c r="Q82" s="71"/>
      <c r="R82" s="71"/>
      <c r="S82" s="71"/>
      <c r="T82" s="71"/>
      <c r="U82" s="71"/>
      <c r="V82" s="71"/>
      <c r="W82" s="71"/>
      <c r="X82" s="71"/>
      <c r="Y82" s="71"/>
      <c r="Z82" s="71"/>
      <c r="AA82" s="71"/>
      <c r="AB82" s="122"/>
      <c r="AC82" s="71"/>
      <c r="AD82" s="71"/>
      <c r="AE82" s="71"/>
      <c r="AF82" s="71"/>
      <c r="AG82" s="71"/>
      <c r="AH82" s="71"/>
      <c r="AI82" s="71"/>
      <c r="AJ82" s="71"/>
      <c r="AK82" s="71"/>
      <c r="AL82" s="71"/>
      <c r="AM82" s="71"/>
      <c r="AN82" s="71"/>
      <c r="AO82" s="71"/>
      <c r="AP82" s="71"/>
      <c r="AQ82" s="71"/>
      <c r="AR82" s="71"/>
      <c r="AS82" s="71"/>
      <c r="AT82" s="60"/>
      <c r="AU82" s="114"/>
    </row>
    <row r="83" spans="2:50" ht="12.75" customHeight="1" x14ac:dyDescent="0.2">
      <c r="B83" s="59"/>
      <c r="C83" s="59"/>
      <c r="D83" s="71"/>
      <c r="E83" s="71"/>
      <c r="F83" s="71"/>
      <c r="G83" s="71"/>
      <c r="H83" s="71"/>
      <c r="I83" s="71"/>
      <c r="J83" s="71"/>
      <c r="K83" s="71"/>
      <c r="L83" s="71"/>
      <c r="M83" s="71"/>
      <c r="N83" s="71"/>
      <c r="O83" s="71"/>
      <c r="P83" s="71"/>
      <c r="Q83" s="71"/>
      <c r="R83" s="71"/>
      <c r="S83" s="71"/>
      <c r="T83" s="71"/>
      <c r="U83" s="71"/>
      <c r="V83" s="71"/>
      <c r="W83" s="71"/>
      <c r="X83" s="71"/>
      <c r="Y83" s="71"/>
      <c r="Z83" s="71"/>
      <c r="AA83" s="71"/>
      <c r="AB83" s="122"/>
      <c r="AC83" s="71"/>
      <c r="AD83" s="118"/>
      <c r="AE83" s="120" t="str">
        <f>'Sprachen &amp; Rückgabewerte(2)'!$H$87</f>
        <v>Logistik:</v>
      </c>
      <c r="AF83" s="120"/>
      <c r="AG83" s="119"/>
      <c r="AH83" s="119"/>
      <c r="AI83" s="119"/>
      <c r="AJ83" s="119"/>
      <c r="AK83" s="119"/>
      <c r="AL83" s="119"/>
      <c r="AM83" s="119"/>
      <c r="AN83" s="120" t="str">
        <f>'Sprachen &amp; Rückgabewerte(2)'!$H$49</f>
        <v>Zubehör:</v>
      </c>
      <c r="AO83" s="119"/>
      <c r="AP83" s="119"/>
      <c r="AQ83" s="119"/>
      <c r="AR83" s="119"/>
      <c r="AS83" s="119"/>
      <c r="AT83" s="113"/>
      <c r="AU83" s="114"/>
    </row>
    <row r="84" spans="2:50" ht="12.75" customHeight="1" x14ac:dyDescent="0.2">
      <c r="B84" s="59"/>
      <c r="C84" s="59"/>
      <c r="D84" s="71"/>
      <c r="E84" s="71"/>
      <c r="F84" s="71"/>
      <c r="G84" s="71"/>
      <c r="H84" s="72" t="str">
        <f>'Sprachen &amp; Rückgabewerte(2)'!$B$45</f>
        <v>321901/321901</v>
      </c>
      <c r="I84" s="71"/>
      <c r="J84" s="71"/>
      <c r="K84" s="71"/>
      <c r="L84" s="71"/>
      <c r="M84" s="71"/>
      <c r="N84" s="60"/>
      <c r="O84" s="72" t="str">
        <f>'Sprachen &amp; Rückgabewerte(2)'!$B$46</f>
        <v>321901/322301</v>
      </c>
      <c r="P84" s="71"/>
      <c r="Q84" s="71"/>
      <c r="R84" s="71"/>
      <c r="S84" s="71"/>
      <c r="T84" s="71"/>
      <c r="U84" s="60"/>
      <c r="V84" s="72" t="str">
        <f>'Sprachen &amp; Rückgabewerte(2)'!$B$47</f>
        <v>322301/322301</v>
      </c>
      <c r="W84" s="71"/>
      <c r="X84" s="71"/>
      <c r="Y84" s="71"/>
      <c r="Z84" s="71"/>
      <c r="AA84" s="71"/>
      <c r="AB84" s="122"/>
      <c r="AC84" s="71"/>
      <c r="AD84" s="121"/>
      <c r="AE84" s="544"/>
      <c r="AF84" s="571"/>
      <c r="AG84" s="571"/>
      <c r="AH84" s="571"/>
      <c r="AI84" s="571"/>
      <c r="AJ84" s="571"/>
      <c r="AK84" s="571"/>
      <c r="AL84" s="545"/>
      <c r="AM84" s="71"/>
      <c r="AN84" s="71"/>
      <c r="AO84" s="71" t="str">
        <f>'Sprachen &amp; Rückgabewerte(2)'!$H$50</f>
        <v>Rinne (siehe unten)</v>
      </c>
      <c r="AP84" s="71"/>
      <c r="AQ84" s="71"/>
      <c r="AR84" s="71"/>
      <c r="AS84" s="71"/>
      <c r="AT84" s="114"/>
      <c r="AU84" s="204"/>
      <c r="AV84" s="204"/>
    </row>
    <row r="85" spans="2:50" ht="12.75" customHeight="1" x14ac:dyDescent="0.2">
      <c r="B85" s="59"/>
      <c r="C85" s="59"/>
      <c r="D85" s="71"/>
      <c r="E85" s="71"/>
      <c r="F85" s="71"/>
      <c r="G85" s="71"/>
      <c r="H85" s="665"/>
      <c r="I85" s="666"/>
      <c r="J85" s="666"/>
      <c r="K85" s="667"/>
      <c r="L85" s="71"/>
      <c r="M85" s="71"/>
      <c r="N85" s="71"/>
      <c r="O85" s="665"/>
      <c r="P85" s="666"/>
      <c r="Q85" s="666"/>
      <c r="R85" s="667"/>
      <c r="S85" s="71"/>
      <c r="T85" s="71"/>
      <c r="U85" s="71"/>
      <c r="V85" s="665"/>
      <c r="W85" s="666"/>
      <c r="X85" s="666"/>
      <c r="Y85" s="667"/>
      <c r="Z85" s="71"/>
      <c r="AA85" s="71"/>
      <c r="AB85" s="122"/>
      <c r="AC85" s="71"/>
      <c r="AD85" s="121"/>
      <c r="AE85" s="576"/>
      <c r="AF85" s="576"/>
      <c r="AG85" s="576"/>
      <c r="AH85" s="576"/>
      <c r="AI85" s="576"/>
      <c r="AJ85" s="576"/>
      <c r="AK85" s="576"/>
      <c r="AL85" s="576"/>
      <c r="AM85" s="71"/>
      <c r="AN85" s="71"/>
      <c r="AO85" s="71" t="str">
        <f>'Sprachen &amp; Rückgabewerte(2)'!$H$51</f>
        <v>Wetterschenkel</v>
      </c>
      <c r="AP85" s="71"/>
      <c r="AQ85" s="71"/>
      <c r="AR85" s="71"/>
      <c r="AS85" s="71"/>
      <c r="AT85" s="114"/>
      <c r="AU85" s="114"/>
      <c r="AV85" s="227"/>
    </row>
    <row r="86" spans="2:50" ht="12.75" customHeight="1" x14ac:dyDescent="0.2">
      <c r="B86" s="59"/>
      <c r="C86" s="59"/>
      <c r="D86" s="60"/>
      <c r="E86" s="60"/>
      <c r="F86" s="60"/>
      <c r="G86" s="60"/>
      <c r="H86" s="60"/>
      <c r="I86" s="60"/>
      <c r="J86" s="60"/>
      <c r="K86" s="60"/>
      <c r="L86" s="60"/>
      <c r="M86" s="60"/>
      <c r="N86" s="60"/>
      <c r="O86" s="60"/>
      <c r="P86" s="60"/>
      <c r="Q86" s="60"/>
      <c r="R86" s="60"/>
      <c r="S86" s="60"/>
      <c r="T86" s="60"/>
      <c r="U86" s="60"/>
      <c r="V86" s="60"/>
      <c r="W86" s="60"/>
      <c r="X86" s="60"/>
      <c r="Y86" s="60"/>
      <c r="Z86" s="60"/>
      <c r="AA86" s="60"/>
      <c r="AB86" s="114"/>
      <c r="AC86" s="60"/>
      <c r="AD86" s="59"/>
      <c r="AE86" s="60"/>
      <c r="AF86" s="60"/>
      <c r="AG86" s="60"/>
      <c r="AH86" s="60"/>
      <c r="AI86" s="60"/>
      <c r="AJ86" s="60"/>
      <c r="AK86" s="60"/>
      <c r="AL86" s="60"/>
      <c r="AM86" s="60"/>
      <c r="AN86" s="60"/>
      <c r="AO86" s="60" t="str">
        <f>IF('Sprachen &amp; Rückgabewerte(2)'!$I$51=TRUE,"L=","")</f>
        <v/>
      </c>
      <c r="AP86" s="562"/>
      <c r="AQ86" s="562"/>
      <c r="AR86" s="562"/>
      <c r="AS86" s="60" t="str">
        <f>IF('Sprachen &amp; Rückgabewerte(2)'!$I$51=TRUE,"mm","")</f>
        <v/>
      </c>
      <c r="AT86" s="114"/>
      <c r="AU86" s="114"/>
      <c r="AV86" s="227"/>
    </row>
    <row r="87" spans="2:50" ht="12.75" customHeight="1" x14ac:dyDescent="0.2">
      <c r="B87" s="59"/>
      <c r="C87" s="59"/>
      <c r="D87" s="60"/>
      <c r="E87" s="60"/>
      <c r="F87" s="60"/>
      <c r="G87" s="60"/>
      <c r="H87" s="60"/>
      <c r="I87" s="60"/>
      <c r="J87" s="60"/>
      <c r="K87" s="60"/>
      <c r="L87" s="60"/>
      <c r="M87" s="60"/>
      <c r="N87" s="60"/>
      <c r="O87" s="60"/>
      <c r="P87" s="60"/>
      <c r="Q87" s="60"/>
      <c r="R87" s="60"/>
      <c r="S87" s="60"/>
      <c r="T87" s="60"/>
      <c r="U87" s="60"/>
      <c r="V87" s="60"/>
      <c r="W87" s="60"/>
      <c r="X87" s="60"/>
      <c r="Y87" s="60"/>
      <c r="Z87" s="676"/>
      <c r="AA87" s="676"/>
      <c r="AB87" s="677"/>
      <c r="AC87" s="60"/>
      <c r="AD87" s="59"/>
      <c r="AE87" s="320" t="str">
        <f>'Sprachen &amp; Rückgabewerte(2)'!$H$47</f>
        <v>Windlast:</v>
      </c>
      <c r="AF87" s="80"/>
      <c r="AG87" s="155"/>
      <c r="AH87" s="60"/>
      <c r="AI87" s="60"/>
      <c r="AJ87" s="60"/>
      <c r="AK87" s="60"/>
      <c r="AL87" s="60"/>
      <c r="AM87" s="584"/>
      <c r="AN87" s="585"/>
      <c r="AO87" s="586"/>
      <c r="AP87" s="321" t="s">
        <v>764</v>
      </c>
      <c r="AS87" s="184"/>
      <c r="AT87" s="114"/>
      <c r="AU87" s="114"/>
      <c r="AV87" s="227"/>
    </row>
    <row r="88" spans="2:50" ht="12.75" customHeight="1" x14ac:dyDescent="0.2">
      <c r="B88" s="59"/>
      <c r="C88" s="59"/>
      <c r="D88" s="60"/>
      <c r="E88" s="60"/>
      <c r="F88" s="60"/>
      <c r="G88" s="60"/>
      <c r="H88" s="60"/>
      <c r="I88" s="60"/>
      <c r="J88" s="60"/>
      <c r="K88" s="60"/>
      <c r="L88" s="60"/>
      <c r="M88" s="60"/>
      <c r="N88" s="60"/>
      <c r="O88" s="60"/>
      <c r="P88" s="60"/>
      <c r="Q88" s="60"/>
      <c r="R88" s="60"/>
      <c r="S88" s="60"/>
      <c r="T88" s="60"/>
      <c r="U88" s="60"/>
      <c r="V88" s="60"/>
      <c r="W88" s="60"/>
      <c r="X88" s="60"/>
      <c r="Y88" s="60"/>
      <c r="Z88" s="676"/>
      <c r="AA88" s="676"/>
      <c r="AB88" s="677"/>
      <c r="AC88" s="60"/>
      <c r="AD88" s="59"/>
      <c r="AE88" s="188" t="str">
        <f>'Sprachen &amp; Rückgabewerte(2)'!$H$90</f>
        <v>Wunschtermin:</v>
      </c>
      <c r="AF88" s="319"/>
      <c r="AG88" s="319"/>
      <c r="AH88" s="319"/>
      <c r="AI88" s="319"/>
      <c r="AJ88" s="319"/>
      <c r="AK88" s="319"/>
      <c r="AL88" s="319"/>
      <c r="AM88" s="572"/>
      <c r="AN88" s="573"/>
      <c r="AO88" s="573"/>
      <c r="AP88" s="574"/>
      <c r="AQ88" s="574"/>
      <c r="AR88" s="575"/>
      <c r="AS88" s="319"/>
      <c r="AT88" s="114"/>
      <c r="AU88" s="114"/>
      <c r="AV88" s="227"/>
    </row>
    <row r="89" spans="2:50" ht="12.75" customHeight="1" x14ac:dyDescent="0.2">
      <c r="B89" s="59"/>
      <c r="C89" s="59"/>
      <c r="D89" s="60"/>
      <c r="E89" s="60"/>
      <c r="F89" s="60"/>
      <c r="G89" s="60"/>
      <c r="H89" s="60"/>
      <c r="I89" s="60"/>
      <c r="J89" s="60"/>
      <c r="K89" s="60"/>
      <c r="L89" s="60"/>
      <c r="M89" s="60"/>
      <c r="N89" s="60"/>
      <c r="O89" s="60"/>
      <c r="P89" s="60"/>
      <c r="Q89" s="60"/>
      <c r="R89" s="60"/>
      <c r="S89" s="60"/>
      <c r="T89" s="60"/>
      <c r="U89" s="60"/>
      <c r="V89" s="60"/>
      <c r="W89" s="60"/>
      <c r="X89" s="60"/>
      <c r="Y89" s="60"/>
      <c r="Z89" s="676"/>
      <c r="AA89" s="676"/>
      <c r="AB89" s="677"/>
      <c r="AC89" s="60"/>
      <c r="AD89" s="59"/>
      <c r="AF89" s="319"/>
      <c r="AG89" s="319"/>
      <c r="AH89" s="319"/>
      <c r="AI89" s="319"/>
      <c r="AJ89" s="319"/>
      <c r="AK89" s="319"/>
      <c r="AL89" s="319"/>
      <c r="AS89" s="319"/>
      <c r="AT89" s="114"/>
      <c r="AU89" s="114"/>
      <c r="AV89" s="227"/>
    </row>
    <row r="90" spans="2:50" ht="12.75" customHeight="1" x14ac:dyDescent="0.2">
      <c r="B90" s="59"/>
      <c r="C90" s="59"/>
      <c r="D90" s="60"/>
      <c r="E90" s="60"/>
      <c r="F90" s="60"/>
      <c r="G90" s="60"/>
      <c r="H90" s="60"/>
      <c r="I90" s="60"/>
      <c r="J90" s="60"/>
      <c r="K90" s="60"/>
      <c r="L90" s="60"/>
      <c r="M90" s="60"/>
      <c r="N90" s="60"/>
      <c r="O90" s="60"/>
      <c r="P90" s="60"/>
      <c r="Q90" s="60"/>
      <c r="R90" s="60"/>
      <c r="S90" s="60"/>
      <c r="T90" s="60"/>
      <c r="U90" s="60"/>
      <c r="W90" s="60"/>
      <c r="X90" s="60"/>
      <c r="Y90" s="60"/>
      <c r="Z90" s="60"/>
      <c r="AA90" s="60"/>
      <c r="AB90" s="114"/>
      <c r="AC90" s="60"/>
      <c r="AD90" s="59"/>
      <c r="AE90" s="583" t="str">
        <f>'Sprachen &amp; Rückgabewerte(2)'!$H$102</f>
        <v>Diese Bestellung ist verbindlich und muss komplett ausgefüllt werden. Änderungen werden als Mehraufwand verrechnet.</v>
      </c>
      <c r="AF90" s="583"/>
      <c r="AG90" s="583"/>
      <c r="AH90" s="583"/>
      <c r="AI90" s="583"/>
      <c r="AJ90" s="583"/>
      <c r="AK90" s="583"/>
      <c r="AL90" s="583"/>
      <c r="AM90" s="583"/>
      <c r="AN90" s="583"/>
      <c r="AO90" s="583"/>
      <c r="AP90" s="583"/>
      <c r="AQ90" s="583"/>
      <c r="AR90" s="583"/>
      <c r="AS90" s="583"/>
      <c r="AT90" s="114"/>
      <c r="AU90" s="114"/>
      <c r="AV90" s="227"/>
    </row>
    <row r="91" spans="2:50" ht="12.75" customHeight="1" x14ac:dyDescent="0.2">
      <c r="B91" s="59"/>
      <c r="C91" s="59"/>
      <c r="D91" s="60"/>
      <c r="E91" s="60"/>
      <c r="F91" s="60"/>
      <c r="G91" s="60"/>
      <c r="H91" s="60"/>
      <c r="I91" s="60"/>
      <c r="J91" s="60"/>
      <c r="K91" s="60"/>
      <c r="L91" s="60"/>
      <c r="M91" s="60"/>
      <c r="N91" s="60"/>
      <c r="O91" s="60"/>
      <c r="P91" s="60"/>
      <c r="Q91" s="60"/>
      <c r="R91" s="60"/>
      <c r="S91" s="60"/>
      <c r="T91" s="60"/>
      <c r="U91" s="60"/>
      <c r="V91" s="60"/>
      <c r="W91" s="60"/>
      <c r="X91" s="60"/>
      <c r="Y91" s="60"/>
      <c r="Z91" s="678"/>
      <c r="AA91" s="678"/>
      <c r="AB91" s="679"/>
      <c r="AC91" s="60"/>
      <c r="AD91" s="59"/>
      <c r="AE91" s="583"/>
      <c r="AF91" s="583"/>
      <c r="AG91" s="583"/>
      <c r="AH91" s="583"/>
      <c r="AI91" s="583"/>
      <c r="AJ91" s="583"/>
      <c r="AK91" s="583"/>
      <c r="AL91" s="583"/>
      <c r="AM91" s="583"/>
      <c r="AN91" s="583"/>
      <c r="AO91" s="583"/>
      <c r="AP91" s="583"/>
      <c r="AQ91" s="583"/>
      <c r="AR91" s="583"/>
      <c r="AS91" s="583"/>
      <c r="AT91" s="114"/>
      <c r="AU91" s="114"/>
      <c r="AV91" s="227"/>
    </row>
    <row r="92" spans="2:50" ht="12.75" customHeight="1" x14ac:dyDescent="0.2">
      <c r="B92" s="59"/>
      <c r="C92" s="59"/>
      <c r="D92" s="60"/>
      <c r="E92" s="60"/>
      <c r="F92" s="60"/>
      <c r="G92" s="60"/>
      <c r="H92" s="60"/>
      <c r="I92" s="60"/>
      <c r="J92" s="60"/>
      <c r="K92" s="60"/>
      <c r="L92" s="60"/>
      <c r="M92" s="60"/>
      <c r="N92" s="60"/>
      <c r="O92" s="60"/>
      <c r="P92" s="60"/>
      <c r="Q92" s="60"/>
      <c r="R92" s="60"/>
      <c r="S92" s="60"/>
      <c r="T92" s="60"/>
      <c r="U92" s="60"/>
      <c r="V92" s="60"/>
      <c r="W92" s="60"/>
      <c r="X92" s="60"/>
      <c r="Y92" s="60"/>
      <c r="Z92" s="678"/>
      <c r="AA92" s="678"/>
      <c r="AB92" s="679"/>
      <c r="AC92" s="60"/>
      <c r="AD92" s="59"/>
      <c r="AE92" s="583"/>
      <c r="AF92" s="583"/>
      <c r="AG92" s="583"/>
      <c r="AH92" s="583"/>
      <c r="AI92" s="583"/>
      <c r="AJ92" s="583"/>
      <c r="AK92" s="583"/>
      <c r="AL92" s="583"/>
      <c r="AM92" s="583"/>
      <c r="AN92" s="583"/>
      <c r="AO92" s="583"/>
      <c r="AP92" s="583"/>
      <c r="AQ92" s="583"/>
      <c r="AR92" s="583"/>
      <c r="AS92" s="583"/>
      <c r="AT92" s="114"/>
      <c r="AU92" s="114"/>
      <c r="AV92" s="227"/>
    </row>
    <row r="93" spans="2:50" ht="12.75" customHeight="1" x14ac:dyDescent="0.2">
      <c r="B93" s="59"/>
      <c r="C93" s="59"/>
      <c r="D93" s="60"/>
      <c r="E93" s="60"/>
      <c r="F93" s="60"/>
      <c r="G93" s="60"/>
      <c r="H93" s="60"/>
      <c r="I93" s="60"/>
      <c r="J93" s="60"/>
      <c r="K93" s="60"/>
      <c r="L93" s="60"/>
      <c r="M93" s="60"/>
      <c r="N93" s="60"/>
      <c r="O93" s="60"/>
      <c r="P93" s="60"/>
      <c r="Q93" s="60"/>
      <c r="R93" s="60"/>
      <c r="S93" s="60"/>
      <c r="T93" s="60"/>
      <c r="U93" s="60"/>
      <c r="V93" s="60"/>
      <c r="W93" s="60"/>
      <c r="X93" s="60"/>
      <c r="Y93" s="60"/>
      <c r="Z93" s="678"/>
      <c r="AA93" s="678"/>
      <c r="AB93" s="679"/>
      <c r="AC93" s="60"/>
      <c r="AD93" s="67"/>
      <c r="AE93" s="83"/>
      <c r="AF93" s="83"/>
      <c r="AG93" s="83"/>
      <c r="AH93" s="83"/>
      <c r="AI93" s="83"/>
      <c r="AJ93" s="83"/>
      <c r="AK93" s="83"/>
      <c r="AL93" s="83"/>
      <c r="AM93" s="83"/>
      <c r="AN93" s="83"/>
      <c r="AO93" s="83"/>
      <c r="AP93" s="83"/>
      <c r="AQ93" s="83"/>
      <c r="AR93" s="83"/>
      <c r="AS93" s="83"/>
      <c r="AT93" s="115"/>
      <c r="AU93" s="114"/>
      <c r="AV93" s="227"/>
    </row>
    <row r="94" spans="2:50" ht="12.75" customHeight="1" x14ac:dyDescent="0.2">
      <c r="B94" s="59"/>
      <c r="C94" s="59"/>
      <c r="D94" s="60"/>
      <c r="E94" s="60"/>
      <c r="F94" s="60"/>
      <c r="G94" s="60"/>
      <c r="H94" s="60"/>
      <c r="I94" s="60"/>
      <c r="J94" s="60"/>
      <c r="K94" s="60"/>
      <c r="L94" s="60"/>
      <c r="M94" s="60"/>
      <c r="N94" s="60"/>
      <c r="O94" s="60"/>
      <c r="P94" s="60"/>
      <c r="Q94" s="60"/>
      <c r="R94" s="60"/>
      <c r="S94" s="60"/>
      <c r="T94" s="60"/>
      <c r="U94" s="60"/>
      <c r="V94" s="60"/>
      <c r="W94" s="60"/>
      <c r="X94" s="60"/>
      <c r="Y94" s="60"/>
      <c r="Z94" s="60"/>
      <c r="AA94" s="60"/>
      <c r="AB94" s="114"/>
      <c r="AC94" s="60"/>
      <c r="AD94" s="60"/>
      <c r="AE94" s="60"/>
      <c r="AF94" s="60"/>
      <c r="AG94" s="60"/>
      <c r="AH94" s="60"/>
      <c r="AI94" s="60"/>
      <c r="AJ94" s="60"/>
      <c r="AK94" s="71"/>
      <c r="AL94" s="71"/>
      <c r="AM94" s="71"/>
      <c r="AN94" s="71"/>
      <c r="AO94" s="71"/>
      <c r="AP94" s="71"/>
      <c r="AQ94" s="71"/>
      <c r="AR94" s="60"/>
      <c r="AS94" s="60"/>
      <c r="AT94" s="60"/>
      <c r="AU94" s="114"/>
      <c r="AV94" s="227"/>
    </row>
    <row r="95" spans="2:50" ht="12.75" customHeight="1" x14ac:dyDescent="0.2">
      <c r="B95" s="59"/>
      <c r="C95" s="59"/>
      <c r="D95" s="60"/>
      <c r="E95" s="60"/>
      <c r="F95" s="60"/>
      <c r="G95" s="60"/>
      <c r="H95" s="156" t="str">
        <f>'Sprachen &amp; Rückgabewerte(2)'!$B$48</f>
        <v>110101/110301</v>
      </c>
      <c r="I95" s="60"/>
      <c r="J95" s="60"/>
      <c r="K95" s="60"/>
      <c r="L95" s="60"/>
      <c r="M95" s="60"/>
      <c r="N95" s="60"/>
      <c r="O95" s="156" t="str">
        <f>'Sprachen &amp; Rückgabewerte(2)'!$B$49</f>
        <v>110101/110501</v>
      </c>
      <c r="P95" s="60"/>
      <c r="Q95" s="60"/>
      <c r="R95" s="60"/>
      <c r="S95" s="60"/>
      <c r="T95" s="60"/>
      <c r="U95" s="60"/>
      <c r="V95" s="156" t="str">
        <f>'Sprachen &amp; Rückgabewerte(2)'!$H$116</f>
        <v>Ganzglas-Ecke</v>
      </c>
      <c r="W95" s="60"/>
      <c r="X95" s="60"/>
      <c r="Y95" s="60"/>
      <c r="Z95" s="60"/>
      <c r="AA95" s="60"/>
      <c r="AB95" s="114"/>
      <c r="AC95" s="60"/>
      <c r="AD95" s="111"/>
      <c r="AE95" s="119"/>
      <c r="AF95" s="119"/>
      <c r="AG95" s="119"/>
      <c r="AH95" s="119"/>
      <c r="AI95" s="119"/>
      <c r="AJ95" s="119"/>
      <c r="AK95" s="119"/>
      <c r="AL95" s="119"/>
      <c r="AM95" s="119"/>
      <c r="AN95" s="119"/>
      <c r="AO95" s="119"/>
      <c r="AP95" s="119"/>
      <c r="AQ95" s="119"/>
      <c r="AR95" s="119"/>
      <c r="AS95" s="119"/>
      <c r="AT95" s="406"/>
      <c r="AU95" s="114"/>
      <c r="AV95" s="227"/>
      <c r="AW95" s="407" t="str">
        <f>'Sprachen &amp; Rückgabewerte(2)'!H182</f>
        <v>Beratungsnummer: (z.B. P123456)</v>
      </c>
    </row>
    <row r="96" spans="2:50" ht="12.75" customHeight="1" x14ac:dyDescent="0.2">
      <c r="B96" s="59"/>
      <c r="C96" s="59"/>
      <c r="D96" s="60"/>
      <c r="E96" s="60"/>
      <c r="F96" s="60"/>
      <c r="G96" s="60"/>
      <c r="H96" s="665"/>
      <c r="I96" s="666"/>
      <c r="J96" s="666"/>
      <c r="K96" s="667"/>
      <c r="L96" s="60"/>
      <c r="M96" s="60"/>
      <c r="N96" s="60"/>
      <c r="O96" s="665"/>
      <c r="P96" s="666"/>
      <c r="Q96" s="666"/>
      <c r="R96" s="667"/>
      <c r="S96" s="60"/>
      <c r="T96" s="60"/>
      <c r="U96" s="60"/>
      <c r="V96" s="60"/>
      <c r="W96" s="60"/>
      <c r="X96" s="60"/>
      <c r="Y96" s="60"/>
      <c r="Z96" s="60"/>
      <c r="AA96" s="60"/>
      <c r="AB96" s="114"/>
      <c r="AC96" s="60"/>
      <c r="AD96" s="59"/>
      <c r="AE96" s="72" t="str">
        <f>'Sprachen &amp; Rückgabewerte(2)'!H181</f>
        <v>Sky-Frame Beratung vorhanden:</v>
      </c>
      <c r="AF96" s="71"/>
      <c r="AG96" s="71"/>
      <c r="AH96" s="71"/>
      <c r="AI96" s="71"/>
      <c r="AJ96" s="71"/>
      <c r="AK96" s="71"/>
      <c r="AL96" s="71"/>
      <c r="AM96" s="71"/>
      <c r="AN96" s="71"/>
      <c r="AO96" s="71"/>
      <c r="AP96" s="71"/>
      <c r="AQ96" s="544"/>
      <c r="AR96" s="545"/>
      <c r="AS96" s="408"/>
      <c r="AT96" s="125"/>
      <c r="AU96" s="115"/>
      <c r="AV96" s="409"/>
      <c r="AW96" s="546"/>
      <c r="AX96" s="547"/>
    </row>
    <row r="97" spans="2:48" ht="12.75" customHeight="1" x14ac:dyDescent="0.2">
      <c r="B97" s="59"/>
      <c r="C97" s="67"/>
      <c r="D97" s="83"/>
      <c r="E97" s="83"/>
      <c r="F97" s="83"/>
      <c r="G97" s="83"/>
      <c r="H97" s="83"/>
      <c r="I97" s="83"/>
      <c r="J97" s="83"/>
      <c r="K97" s="83"/>
      <c r="L97" s="83"/>
      <c r="M97" s="83"/>
      <c r="N97" s="83"/>
      <c r="O97" s="83"/>
      <c r="P97" s="83"/>
      <c r="Q97" s="83"/>
      <c r="R97" s="83"/>
      <c r="S97" s="83"/>
      <c r="T97" s="83"/>
      <c r="U97" s="83"/>
      <c r="V97" s="83"/>
      <c r="W97" s="83"/>
      <c r="X97" s="83"/>
      <c r="Y97" s="83"/>
      <c r="Z97" s="83"/>
      <c r="AA97" s="83"/>
      <c r="AB97" s="115"/>
      <c r="AC97" s="60"/>
      <c r="AD97" s="67"/>
      <c r="AE97" s="124"/>
      <c r="AF97" s="124"/>
      <c r="AG97" s="124"/>
      <c r="AH97" s="124"/>
      <c r="AI97" s="124"/>
      <c r="AJ97" s="124"/>
      <c r="AK97" s="124"/>
      <c r="AL97" s="124"/>
      <c r="AM97" s="124"/>
      <c r="AN97" s="124"/>
      <c r="AO97" s="124"/>
      <c r="AP97" s="124"/>
      <c r="AQ97" s="124"/>
      <c r="AR97" s="124"/>
      <c r="AS97" s="124"/>
      <c r="AT97" s="125"/>
      <c r="AU97" s="114"/>
      <c r="AV97" s="227"/>
    </row>
    <row r="98" spans="2:48" ht="19.5" customHeight="1" x14ac:dyDescent="0.2">
      <c r="B98" s="67"/>
      <c r="C98" s="680" t="s">
        <v>891</v>
      </c>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83"/>
      <c r="AQ98" s="83"/>
      <c r="AR98" s="83"/>
      <c r="AS98" s="83"/>
      <c r="AT98" s="158" t="s">
        <v>892</v>
      </c>
      <c r="AU98" s="115"/>
      <c r="AV98" s="227"/>
    </row>
    <row r="99" spans="2:48" ht="19.5" customHeight="1" x14ac:dyDescent="0.2">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254"/>
      <c r="AU99" s="60"/>
      <c r="AV99" s="114"/>
    </row>
    <row r="100" spans="2:48" x14ac:dyDescent="0.2">
      <c r="AV100" s="115"/>
    </row>
    <row r="101" spans="2:48" ht="13.5" thickBot="1" x14ac:dyDescent="0.25">
      <c r="B101" s="11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113"/>
    </row>
    <row r="102" spans="2:48" ht="16.5" thickTop="1" x14ac:dyDescent="0.25">
      <c r="B102" s="59"/>
      <c r="C102" s="111"/>
      <c r="D102" s="81"/>
      <c r="E102" s="272" t="str">
        <f>'Sprachen &amp; Rückgabewerte(2)'!$H$138</f>
        <v>Rinnenbestellung</v>
      </c>
      <c r="F102" s="81"/>
      <c r="G102" s="81"/>
      <c r="H102" s="81"/>
      <c r="I102" s="81"/>
      <c r="J102" s="81"/>
      <c r="K102" s="81"/>
      <c r="L102" s="81"/>
      <c r="M102" s="81"/>
      <c r="N102" s="81"/>
      <c r="O102" s="81"/>
      <c r="P102" s="81"/>
      <c r="Q102" s="81"/>
      <c r="R102" s="81"/>
      <c r="S102" s="81"/>
      <c r="T102" s="81"/>
      <c r="U102" s="81"/>
      <c r="V102" s="81"/>
      <c r="W102" s="81"/>
      <c r="X102" s="81"/>
      <c r="Y102" s="81"/>
      <c r="Z102" s="113"/>
      <c r="AA102" s="60"/>
      <c r="AB102" s="239"/>
      <c r="AC102" s="240"/>
      <c r="AD102" s="240"/>
      <c r="AE102" s="240"/>
      <c r="AF102" s="255"/>
      <c r="AG102" s="256"/>
      <c r="AH102" s="259"/>
      <c r="AI102" s="255"/>
      <c r="AJ102" s="255"/>
      <c r="AK102" s="255"/>
      <c r="AL102" s="255"/>
      <c r="AM102" s="256"/>
      <c r="AN102" s="259"/>
      <c r="AO102" s="255"/>
      <c r="AP102" s="255"/>
      <c r="AQ102" s="255"/>
      <c r="AR102" s="255"/>
      <c r="AS102" s="255"/>
      <c r="AT102" s="256"/>
      <c r="AU102" s="114"/>
    </row>
    <row r="103" spans="2:48" x14ac:dyDescent="0.2">
      <c r="B103" s="59"/>
      <c r="C103" s="59"/>
      <c r="D103" s="60"/>
      <c r="E103" s="60"/>
      <c r="F103" s="60"/>
      <c r="G103" s="60"/>
      <c r="H103" s="60"/>
      <c r="I103" s="60"/>
      <c r="J103" s="60"/>
      <c r="K103" s="60"/>
      <c r="L103" s="60"/>
      <c r="M103" s="60"/>
      <c r="N103" s="60"/>
      <c r="O103" s="60"/>
      <c r="P103" s="60"/>
      <c r="Q103" s="60"/>
      <c r="R103" s="60"/>
      <c r="S103" s="60"/>
      <c r="T103" s="60"/>
      <c r="U103" s="60"/>
      <c r="V103" s="60"/>
      <c r="W103" s="60"/>
      <c r="X103" s="60"/>
      <c r="Y103" s="60"/>
      <c r="Z103" s="114"/>
      <c r="AA103" s="60"/>
      <c r="AB103" s="242"/>
      <c r="AC103" s="60"/>
      <c r="AD103" s="60"/>
      <c r="AE103" s="60"/>
      <c r="AF103" s="132"/>
      <c r="AG103" s="257"/>
      <c r="AH103" s="260"/>
      <c r="AI103" s="132"/>
      <c r="AJ103" s="132"/>
      <c r="AK103" s="132"/>
      <c r="AL103" s="132"/>
      <c r="AM103" s="257"/>
      <c r="AN103" s="260"/>
      <c r="AO103" s="132"/>
      <c r="AP103" s="132"/>
      <c r="AQ103" s="132"/>
      <c r="AR103" s="132"/>
      <c r="AS103" s="132"/>
      <c r="AT103" s="257"/>
      <c r="AU103" s="133"/>
    </row>
    <row r="104" spans="2:48" ht="15" customHeight="1" x14ac:dyDescent="0.2">
      <c r="B104" s="59"/>
      <c r="C104" s="59"/>
      <c r="D104" s="60"/>
      <c r="E104" s="71" t="str">
        <f>'Sprachen &amp; Rückgabewerte(2)'!$H$139</f>
        <v>Wahl des Rinnensystems:</v>
      </c>
      <c r="F104" s="60"/>
      <c r="G104" s="60"/>
      <c r="H104" s="60"/>
      <c r="I104" s="60"/>
      <c r="J104" s="60"/>
      <c r="K104" s="60"/>
      <c r="L104" s="60"/>
      <c r="M104" s="60"/>
      <c r="N104" s="60"/>
      <c r="O104" s="60"/>
      <c r="P104" s="60"/>
      <c r="Q104" s="60"/>
      <c r="R104" s="60"/>
      <c r="S104" s="60"/>
      <c r="T104" s="717"/>
      <c r="U104" s="718"/>
      <c r="V104" s="237"/>
      <c r="W104" s="237"/>
      <c r="X104" s="60"/>
      <c r="Y104" s="60"/>
      <c r="Z104" s="114"/>
      <c r="AB104" s="242"/>
      <c r="AC104" s="60"/>
      <c r="AD104" s="60"/>
      <c r="AE104" s="60"/>
      <c r="AF104" s="132"/>
      <c r="AG104" s="257"/>
      <c r="AH104" s="260"/>
      <c r="AI104" s="132"/>
      <c r="AJ104" s="132"/>
      <c r="AK104" s="132"/>
      <c r="AL104" s="132"/>
      <c r="AM104" s="257"/>
      <c r="AN104" s="260"/>
      <c r="AO104" s="132"/>
      <c r="AP104" s="132"/>
      <c r="AQ104" s="132"/>
      <c r="AR104" s="132"/>
      <c r="AS104" s="132"/>
      <c r="AT104" s="257"/>
      <c r="AU104" s="133"/>
    </row>
    <row r="105" spans="2:48" x14ac:dyDescent="0.2">
      <c r="B105" s="59"/>
      <c r="C105" s="59"/>
      <c r="D105" s="60"/>
      <c r="E105" s="60"/>
      <c r="F105" s="60"/>
      <c r="G105" s="60"/>
      <c r="H105" s="60"/>
      <c r="I105" s="60"/>
      <c r="J105" s="60"/>
      <c r="K105" s="60"/>
      <c r="L105" s="60"/>
      <c r="M105" s="60"/>
      <c r="N105" s="60"/>
      <c r="O105" s="60"/>
      <c r="P105" s="60"/>
      <c r="Q105" s="60"/>
      <c r="R105" s="60"/>
      <c r="S105" s="60"/>
      <c r="T105" s="60"/>
      <c r="U105" s="60"/>
      <c r="V105" s="60"/>
      <c r="W105" s="60"/>
      <c r="X105" s="60"/>
      <c r="Y105" s="60"/>
      <c r="Z105" s="114"/>
      <c r="AB105" s="242"/>
      <c r="AC105" s="60"/>
      <c r="AD105" s="60"/>
      <c r="AE105" s="60"/>
      <c r="AF105" s="132"/>
      <c r="AG105" s="257"/>
      <c r="AH105" s="260"/>
      <c r="AI105" s="132"/>
      <c r="AJ105" s="132"/>
      <c r="AK105" s="132"/>
      <c r="AL105" s="132"/>
      <c r="AM105" s="257"/>
      <c r="AN105" s="260"/>
      <c r="AO105" s="132"/>
      <c r="AP105" s="132"/>
      <c r="AQ105" s="132"/>
      <c r="AR105" s="132"/>
      <c r="AS105" s="132"/>
      <c r="AT105" s="257"/>
      <c r="AU105" s="133"/>
    </row>
    <row r="106" spans="2:48" ht="15" customHeight="1" x14ac:dyDescent="0.2">
      <c r="B106" s="59"/>
      <c r="C106" s="59"/>
      <c r="D106" s="60"/>
      <c r="E106" s="71" t="str">
        <f>'Sprachen &amp; Rückgabewerte(2)'!$H$140</f>
        <v>Einzug an der linken Anlagenseite:</v>
      </c>
      <c r="F106" s="60"/>
      <c r="G106" s="60"/>
      <c r="H106" s="60"/>
      <c r="I106" s="60"/>
      <c r="J106" s="60"/>
      <c r="K106" s="60"/>
      <c r="L106" s="60"/>
      <c r="M106" s="60"/>
      <c r="N106" s="60"/>
      <c r="O106" s="60"/>
      <c r="P106" s="60"/>
      <c r="Q106" s="60"/>
      <c r="R106" s="60"/>
      <c r="S106" s="60"/>
      <c r="T106" s="670"/>
      <c r="U106" s="719"/>
      <c r="V106" s="60" t="s">
        <v>179</v>
      </c>
      <c r="W106" s="60"/>
      <c r="X106" s="60"/>
      <c r="Y106" s="60"/>
      <c r="Z106" s="114"/>
      <c r="AB106" s="242"/>
      <c r="AC106" s="60"/>
      <c r="AD106" s="60"/>
      <c r="AE106" s="60"/>
      <c r="AF106" s="132"/>
      <c r="AG106" s="257"/>
      <c r="AH106" s="260"/>
      <c r="AI106" s="132"/>
      <c r="AJ106" s="132"/>
      <c r="AK106" s="132"/>
      <c r="AL106" s="132"/>
      <c r="AM106" s="257"/>
      <c r="AN106" s="260"/>
      <c r="AO106" s="132"/>
      <c r="AP106" s="132"/>
      <c r="AQ106" s="132"/>
      <c r="AR106" s="132"/>
      <c r="AS106" s="132"/>
      <c r="AT106" s="257"/>
      <c r="AU106" s="133"/>
    </row>
    <row r="107" spans="2:48" x14ac:dyDescent="0.2">
      <c r="B107" s="59"/>
      <c r="C107" s="59"/>
      <c r="D107" s="60"/>
      <c r="E107" s="60"/>
      <c r="F107" s="60"/>
      <c r="G107" s="60"/>
      <c r="H107" s="60"/>
      <c r="I107" s="60"/>
      <c r="J107" s="60"/>
      <c r="K107" s="60"/>
      <c r="L107" s="60"/>
      <c r="M107" s="60"/>
      <c r="N107" s="60"/>
      <c r="O107" s="60"/>
      <c r="P107" s="60"/>
      <c r="Q107" s="60"/>
      <c r="R107" s="60"/>
      <c r="S107" s="60"/>
      <c r="T107" s="60"/>
      <c r="U107" s="60"/>
      <c r="V107" s="60"/>
      <c r="W107" s="60"/>
      <c r="X107" s="60"/>
      <c r="Y107" s="60"/>
      <c r="Z107" s="114"/>
      <c r="AB107" s="242"/>
      <c r="AC107" s="60"/>
      <c r="AD107" s="60"/>
      <c r="AE107" s="60"/>
      <c r="AF107" s="132"/>
      <c r="AG107" s="257"/>
      <c r="AH107" s="260"/>
      <c r="AI107" s="132"/>
      <c r="AJ107" s="132"/>
      <c r="AK107" s="132"/>
      <c r="AL107" s="132"/>
      <c r="AM107" s="257"/>
      <c r="AN107" s="260"/>
      <c r="AO107" s="132"/>
      <c r="AP107" s="132"/>
      <c r="AQ107" s="132"/>
      <c r="AR107" s="132"/>
      <c r="AS107" s="132"/>
      <c r="AT107" s="257"/>
      <c r="AU107" s="133"/>
    </row>
    <row r="108" spans="2:48" ht="15" customHeight="1" x14ac:dyDescent="0.2">
      <c r="B108" s="59"/>
      <c r="C108" s="59"/>
      <c r="D108" s="60"/>
      <c r="E108" s="71" t="str">
        <f>'Sprachen &amp; Rückgabewerte(2)'!$H$141</f>
        <v>Einzug an der rechten Anlagenseite:</v>
      </c>
      <c r="F108" s="60"/>
      <c r="G108" s="60"/>
      <c r="H108" s="60"/>
      <c r="I108" s="60"/>
      <c r="J108" s="60"/>
      <c r="K108" s="60"/>
      <c r="L108" s="60"/>
      <c r="M108" s="60"/>
      <c r="N108" s="60"/>
      <c r="O108" s="60"/>
      <c r="P108" s="60"/>
      <c r="Q108" s="60"/>
      <c r="R108" s="60"/>
      <c r="S108" s="60"/>
      <c r="T108" s="670"/>
      <c r="U108" s="719"/>
      <c r="V108" s="60" t="s">
        <v>179</v>
      </c>
      <c r="W108" s="60"/>
      <c r="X108" s="60"/>
      <c r="Y108" s="60"/>
      <c r="Z108" s="114"/>
      <c r="AB108" s="242"/>
      <c r="AC108" s="60"/>
      <c r="AD108" s="60"/>
      <c r="AE108" s="60"/>
      <c r="AF108" s="132"/>
      <c r="AG108" s="257"/>
      <c r="AH108" s="260"/>
      <c r="AI108" s="132"/>
      <c r="AJ108" s="132"/>
      <c r="AK108" s="132"/>
      <c r="AL108" s="132"/>
      <c r="AM108" s="257"/>
      <c r="AN108" s="260"/>
      <c r="AO108" s="132"/>
      <c r="AP108" s="132"/>
      <c r="AQ108" s="132"/>
      <c r="AR108" s="132"/>
      <c r="AS108" s="132"/>
      <c r="AT108" s="257"/>
      <c r="AU108" s="133"/>
    </row>
    <row r="109" spans="2:48" x14ac:dyDescent="0.2">
      <c r="B109" s="59"/>
      <c r="C109" s="59"/>
      <c r="D109" s="60"/>
      <c r="E109" s="60"/>
      <c r="F109" s="60"/>
      <c r="G109" s="60"/>
      <c r="H109" s="60"/>
      <c r="I109" s="60"/>
      <c r="J109" s="60"/>
      <c r="K109" s="60"/>
      <c r="L109" s="60"/>
      <c r="M109" s="60"/>
      <c r="N109" s="60"/>
      <c r="O109" s="60"/>
      <c r="P109" s="60"/>
      <c r="Q109" s="60"/>
      <c r="R109" s="60"/>
      <c r="S109" s="60"/>
      <c r="T109" s="60"/>
      <c r="U109" s="60"/>
      <c r="V109" s="60"/>
      <c r="W109" s="60"/>
      <c r="X109" s="60"/>
      <c r="Y109" s="60"/>
      <c r="Z109" s="114"/>
      <c r="AB109" s="242"/>
      <c r="AC109" s="60"/>
      <c r="AD109" s="60"/>
      <c r="AE109" s="60"/>
      <c r="AF109" s="132"/>
      <c r="AG109" s="257"/>
      <c r="AH109" s="260"/>
      <c r="AI109" s="132"/>
      <c r="AJ109" s="132"/>
      <c r="AK109" s="132"/>
      <c r="AL109" s="132"/>
      <c r="AM109" s="257"/>
      <c r="AN109" s="260"/>
      <c r="AO109" s="132"/>
      <c r="AP109" s="132"/>
      <c r="AQ109" s="132"/>
      <c r="AR109" s="132"/>
      <c r="AS109" s="132"/>
      <c r="AT109" s="257"/>
      <c r="AU109" s="133"/>
    </row>
    <row r="110" spans="2:48" ht="15" customHeight="1" x14ac:dyDescent="0.2">
      <c r="B110" s="59"/>
      <c r="C110" s="59"/>
      <c r="D110" s="60"/>
      <c r="E110" s="71" t="str">
        <f>'Sprachen &amp; Rückgabewerte(2)'!$H$142</f>
        <v>Anschlussstutzen:</v>
      </c>
      <c r="F110" s="60"/>
      <c r="G110" s="60"/>
      <c r="H110" s="60"/>
      <c r="I110" s="60"/>
      <c r="J110" s="60"/>
      <c r="K110" s="60"/>
      <c r="L110" s="60"/>
      <c r="M110" s="60"/>
      <c r="N110" s="60"/>
      <c r="O110" s="60"/>
      <c r="P110" s="60"/>
      <c r="Q110" s="60"/>
      <c r="R110" s="60"/>
      <c r="S110" s="60"/>
      <c r="T110" s="717"/>
      <c r="U110" s="720"/>
      <c r="V110" s="720"/>
      <c r="W110" s="720"/>
      <c r="X110" s="720"/>
      <c r="Y110" s="718"/>
      <c r="Z110" s="530"/>
      <c r="AB110" s="261"/>
      <c r="AC110" s="262"/>
      <c r="AD110" s="262"/>
      <c r="AE110" s="262"/>
      <c r="AF110" s="263"/>
      <c r="AG110" s="264"/>
      <c r="AH110" s="265"/>
      <c r="AI110" s="263"/>
      <c r="AJ110" s="263"/>
      <c r="AK110" s="263"/>
      <c r="AL110" s="263"/>
      <c r="AM110" s="264"/>
      <c r="AN110" s="265"/>
      <c r="AO110" s="263"/>
      <c r="AP110" s="263"/>
      <c r="AQ110" s="263"/>
      <c r="AR110" s="263"/>
      <c r="AS110" s="263"/>
      <c r="AT110" s="264"/>
      <c r="AU110" s="133"/>
    </row>
    <row r="111" spans="2:48" x14ac:dyDescent="0.2">
      <c r="B111" s="59"/>
      <c r="C111" s="59"/>
      <c r="D111" s="60"/>
      <c r="E111" s="60"/>
      <c r="F111" s="60"/>
      <c r="G111" s="60"/>
      <c r="H111" s="60"/>
      <c r="I111" s="60"/>
      <c r="J111" s="60"/>
      <c r="K111" s="60"/>
      <c r="L111" s="60"/>
      <c r="M111" s="60"/>
      <c r="N111" s="60"/>
      <c r="O111" s="60"/>
      <c r="P111" s="60"/>
      <c r="Q111" s="60"/>
      <c r="R111" s="60"/>
      <c r="S111" s="60"/>
      <c r="T111" s="60"/>
      <c r="U111" s="60"/>
      <c r="V111" s="60"/>
      <c r="W111" s="60"/>
      <c r="X111" s="60"/>
      <c r="Y111" s="60"/>
      <c r="Z111" s="114"/>
      <c r="AB111" s="266"/>
      <c r="AC111" s="267"/>
      <c r="AD111" s="267"/>
      <c r="AE111" s="267"/>
      <c r="AF111" s="268"/>
      <c r="AG111" s="269"/>
      <c r="AH111" s="268"/>
      <c r="AI111" s="268"/>
      <c r="AJ111" s="268"/>
      <c r="AK111" s="268"/>
      <c r="AL111" s="268"/>
      <c r="AM111" s="268"/>
      <c r="AN111" s="270"/>
      <c r="AO111" s="268"/>
      <c r="AP111" s="268"/>
      <c r="AQ111" s="268"/>
      <c r="AR111" s="268"/>
      <c r="AS111" s="268"/>
      <c r="AT111" s="269"/>
      <c r="AU111" s="133"/>
    </row>
    <row r="112" spans="2:48" ht="15" customHeight="1" x14ac:dyDescent="0.2">
      <c r="B112" s="59"/>
      <c r="C112" s="59"/>
      <c r="D112" s="60"/>
      <c r="E112" s="60"/>
      <c r="F112" s="60"/>
      <c r="G112" s="60"/>
      <c r="H112" s="60"/>
      <c r="I112" s="60"/>
      <c r="J112" s="60"/>
      <c r="K112" s="60"/>
      <c r="L112" s="60"/>
      <c r="M112" s="60"/>
      <c r="N112" s="60"/>
      <c r="O112" s="60"/>
      <c r="P112" s="60"/>
      <c r="Q112" s="60"/>
      <c r="R112" s="275" t="str">
        <f>IF($T$110='Sprachen &amp; Rückgabewerte(2)'!$J$143,'Sprachen &amp; Rückgabewerte(2)'!$H$145,'Sprachen &amp; Rückgabewerte(2)'!$H$148)</f>
        <v>Abstände Ablaufstutzen (E):</v>
      </c>
      <c r="S112" s="60"/>
      <c r="T112" s="721"/>
      <c r="U112" s="722"/>
      <c r="V112" s="722"/>
      <c r="W112" s="722"/>
      <c r="X112" s="722"/>
      <c r="Y112" s="723"/>
      <c r="Z112" s="531"/>
      <c r="AB112" s="242"/>
      <c r="AC112" s="60"/>
      <c r="AD112" s="60"/>
      <c r="AE112" s="60"/>
      <c r="AF112" s="132"/>
      <c r="AG112" s="257"/>
      <c r="AH112" s="132"/>
      <c r="AI112" s="132"/>
      <c r="AJ112" s="132"/>
      <c r="AK112" s="132"/>
      <c r="AL112" s="132"/>
      <c r="AM112" s="132"/>
      <c r="AN112" s="260"/>
      <c r="AO112" s="132"/>
      <c r="AP112" s="132"/>
      <c r="AQ112" s="132"/>
      <c r="AR112" s="132"/>
      <c r="AS112" s="132"/>
      <c r="AT112" s="257"/>
      <c r="AU112" s="133"/>
    </row>
    <row r="113" spans="2:47" x14ac:dyDescent="0.2">
      <c r="B113" s="59"/>
      <c r="C113" s="59"/>
      <c r="D113" s="60"/>
      <c r="E113" s="276"/>
      <c r="F113" s="276"/>
      <c r="G113" s="276"/>
      <c r="H113" s="276"/>
      <c r="I113" s="276"/>
      <c r="J113" s="276"/>
      <c r="K113" s="276"/>
      <c r="L113" s="276"/>
      <c r="M113" s="276"/>
      <c r="N113" s="276"/>
      <c r="O113" s="276"/>
      <c r="P113" s="276"/>
      <c r="Q113" s="276"/>
      <c r="R113" s="276"/>
      <c r="S113" s="276"/>
      <c r="T113" s="60"/>
      <c r="U113" s="60"/>
      <c r="V113" s="60"/>
      <c r="W113" s="60"/>
      <c r="X113" s="60"/>
      <c r="Y113" s="60"/>
      <c r="Z113" s="114"/>
      <c r="AB113" s="242"/>
      <c r="AC113" s="60"/>
      <c r="AD113" s="60"/>
      <c r="AE113" s="60"/>
      <c r="AF113" s="132"/>
      <c r="AG113" s="257"/>
      <c r="AH113" s="132"/>
      <c r="AI113" s="132"/>
      <c r="AJ113" s="132"/>
      <c r="AK113" s="132"/>
      <c r="AL113" s="132"/>
      <c r="AM113" s="132"/>
      <c r="AN113" s="260"/>
      <c r="AO113" s="132"/>
      <c r="AP113" s="132"/>
      <c r="AQ113" s="132"/>
      <c r="AR113" s="132"/>
      <c r="AS113" s="132"/>
      <c r="AT113" s="257"/>
      <c r="AU113" s="114"/>
    </row>
    <row r="114" spans="2:47" ht="15" customHeight="1" x14ac:dyDescent="0.2">
      <c r="B114" s="59"/>
      <c r="C114" s="59"/>
      <c r="D114" s="60"/>
      <c r="E114" s="276"/>
      <c r="F114" s="276"/>
      <c r="G114" s="276"/>
      <c r="H114" s="276"/>
      <c r="I114" s="276"/>
      <c r="J114" s="276"/>
      <c r="K114" s="276"/>
      <c r="L114" s="276"/>
      <c r="M114" s="276"/>
      <c r="N114" s="276"/>
      <c r="O114" s="276"/>
      <c r="P114" s="276"/>
      <c r="Q114" s="276"/>
      <c r="R114" s="275" t="str">
        <f>'Sprachen &amp; Rückgabewerte(2)'!H149</f>
        <v>Rinnenanschluss:</v>
      </c>
      <c r="S114" s="276"/>
      <c r="T114" s="717"/>
      <c r="U114" s="718"/>
      <c r="V114" s="60"/>
      <c r="W114" s="60"/>
      <c r="X114" s="60"/>
      <c r="Y114" s="60"/>
      <c r="Z114" s="114"/>
      <c r="AB114" s="242"/>
      <c r="AC114" s="60"/>
      <c r="AD114" s="60"/>
      <c r="AE114" s="60"/>
      <c r="AF114" s="132"/>
      <c r="AG114" s="257"/>
      <c r="AH114" s="132"/>
      <c r="AI114" s="132"/>
      <c r="AJ114" s="132"/>
      <c r="AK114" s="132"/>
      <c r="AL114" s="132"/>
      <c r="AM114" s="132"/>
      <c r="AN114" s="260"/>
      <c r="AO114" s="132"/>
      <c r="AP114" s="132"/>
      <c r="AQ114" s="132"/>
      <c r="AR114" s="132"/>
      <c r="AS114" s="132"/>
      <c r="AT114" s="257"/>
      <c r="AU114" s="114"/>
    </row>
    <row r="115" spans="2:47" x14ac:dyDescent="0.2">
      <c r="B115" s="59"/>
      <c r="C115" s="59"/>
      <c r="D115" s="60"/>
      <c r="E115" s="60"/>
      <c r="F115" s="60"/>
      <c r="G115" s="60"/>
      <c r="H115" s="60"/>
      <c r="I115" s="60"/>
      <c r="J115" s="60"/>
      <c r="K115" s="60"/>
      <c r="L115" s="60"/>
      <c r="M115" s="60"/>
      <c r="N115" s="60"/>
      <c r="O115" s="60"/>
      <c r="P115" s="60"/>
      <c r="Q115" s="60"/>
      <c r="R115" s="60"/>
      <c r="S115" s="60"/>
      <c r="T115" s="60"/>
      <c r="U115" s="60"/>
      <c r="V115" s="60"/>
      <c r="W115" s="60"/>
      <c r="X115" s="60"/>
      <c r="Y115" s="60"/>
      <c r="Z115" s="114"/>
      <c r="AA115" s="60"/>
      <c r="AB115" s="242"/>
      <c r="AC115" s="60"/>
      <c r="AD115" s="60"/>
      <c r="AE115" s="60"/>
      <c r="AF115" s="60"/>
      <c r="AG115" s="257"/>
      <c r="AH115" s="132"/>
      <c r="AI115" s="132"/>
      <c r="AJ115" s="132"/>
      <c r="AK115" s="132"/>
      <c r="AL115" s="132"/>
      <c r="AM115" s="132"/>
      <c r="AN115" s="260"/>
      <c r="AO115" s="60"/>
      <c r="AP115" s="60"/>
      <c r="AQ115" s="60"/>
      <c r="AR115" s="60"/>
      <c r="AS115" s="60"/>
      <c r="AT115" s="244"/>
      <c r="AU115" s="114"/>
    </row>
    <row r="116" spans="2:47" x14ac:dyDescent="0.2">
      <c r="B116" s="59"/>
      <c r="C116" s="59"/>
      <c r="D116" s="60"/>
      <c r="E116" s="664" t="str">
        <f>IF('Sprachen &amp; Rückgabewerte(2)'!$I$50=TRUE,'Sprachen &amp; Rückgabewerte(2)'!$H$102,"")</f>
        <v/>
      </c>
      <c r="F116" s="664"/>
      <c r="G116" s="664"/>
      <c r="H116" s="664"/>
      <c r="I116" s="664"/>
      <c r="J116" s="664"/>
      <c r="K116" s="664"/>
      <c r="L116" s="664"/>
      <c r="M116" s="664"/>
      <c r="N116" s="664"/>
      <c r="O116" s="664"/>
      <c r="P116" s="664"/>
      <c r="Q116" s="664"/>
      <c r="R116" s="664"/>
      <c r="S116" s="60"/>
      <c r="T116" s="60"/>
      <c r="U116" s="60"/>
      <c r="V116" s="60"/>
      <c r="W116" s="60"/>
      <c r="X116" s="60"/>
      <c r="Y116" s="60"/>
      <c r="Z116" s="114"/>
      <c r="AA116" s="60"/>
      <c r="AB116" s="242"/>
      <c r="AC116" s="60"/>
      <c r="AD116" s="60"/>
      <c r="AE116" s="60"/>
      <c r="AF116" s="60"/>
      <c r="AG116" s="257"/>
      <c r="AH116" s="132"/>
      <c r="AI116" s="132"/>
      <c r="AJ116" s="132"/>
      <c r="AK116" s="132"/>
      <c r="AL116" s="132"/>
      <c r="AM116" s="132"/>
      <c r="AN116" s="260"/>
      <c r="AO116" s="60"/>
      <c r="AP116" s="60"/>
      <c r="AQ116" s="60"/>
      <c r="AR116" s="60"/>
      <c r="AS116" s="60"/>
      <c r="AT116" s="244"/>
      <c r="AU116" s="114"/>
    </row>
    <row r="117" spans="2:47" ht="12.75" customHeight="1" x14ac:dyDescent="0.2">
      <c r="B117" s="59"/>
      <c r="C117" s="59"/>
      <c r="D117" s="60"/>
      <c r="E117" s="664"/>
      <c r="F117" s="664"/>
      <c r="G117" s="664"/>
      <c r="H117" s="664"/>
      <c r="I117" s="664"/>
      <c r="J117" s="664"/>
      <c r="K117" s="664"/>
      <c r="L117" s="664"/>
      <c r="M117" s="664"/>
      <c r="N117" s="664"/>
      <c r="O117" s="664"/>
      <c r="P117" s="664"/>
      <c r="Q117" s="664"/>
      <c r="R117" s="664"/>
      <c r="S117" s="132"/>
      <c r="T117" s="132"/>
      <c r="U117" s="132"/>
      <c r="V117" s="132"/>
      <c r="W117" s="132"/>
      <c r="X117" s="132"/>
      <c r="Y117" s="132"/>
      <c r="Z117" s="133"/>
      <c r="AA117" s="132"/>
      <c r="AB117" s="260"/>
      <c r="AC117" s="132"/>
      <c r="AD117" s="132"/>
      <c r="AE117" s="132"/>
      <c r="AF117" s="132"/>
      <c r="AG117" s="257"/>
      <c r="AH117" s="132"/>
      <c r="AI117" s="132"/>
      <c r="AJ117" s="132"/>
      <c r="AK117" s="132"/>
      <c r="AL117" s="132"/>
      <c r="AM117" s="132"/>
      <c r="AN117" s="260"/>
      <c r="AO117" s="60"/>
      <c r="AP117" s="60"/>
      <c r="AQ117" s="60"/>
      <c r="AR117" s="60"/>
      <c r="AS117" s="60"/>
      <c r="AT117" s="244"/>
      <c r="AU117" s="114"/>
    </row>
    <row r="118" spans="2:47" x14ac:dyDescent="0.2">
      <c r="B118" s="59"/>
      <c r="C118" s="59"/>
      <c r="D118" s="60"/>
      <c r="E118" s="664"/>
      <c r="F118" s="664"/>
      <c r="G118" s="664"/>
      <c r="H118" s="664"/>
      <c r="I118" s="664"/>
      <c r="J118" s="664"/>
      <c r="K118" s="664"/>
      <c r="L118" s="664"/>
      <c r="M118" s="664"/>
      <c r="N118" s="664"/>
      <c r="O118" s="664"/>
      <c r="P118" s="664"/>
      <c r="Q118" s="664"/>
      <c r="R118" s="664"/>
      <c r="S118" s="60"/>
      <c r="T118" s="60"/>
      <c r="U118" s="60"/>
      <c r="V118" s="60"/>
      <c r="W118" s="60"/>
      <c r="X118" s="60"/>
      <c r="Y118" s="60"/>
      <c r="Z118" s="114"/>
      <c r="AB118" s="242"/>
      <c r="AC118" s="60"/>
      <c r="AD118" s="60"/>
      <c r="AE118" s="60"/>
      <c r="AF118" s="60"/>
      <c r="AG118" s="244"/>
      <c r="AH118" s="60"/>
      <c r="AI118" s="60"/>
      <c r="AJ118" s="60"/>
      <c r="AK118" s="60"/>
      <c r="AL118" s="60"/>
      <c r="AM118" s="60"/>
      <c r="AN118" s="242"/>
      <c r="AO118" s="60"/>
      <c r="AP118" s="60"/>
      <c r="AQ118" s="60"/>
      <c r="AR118" s="60"/>
      <c r="AS118" s="60"/>
      <c r="AT118" s="244"/>
      <c r="AU118" s="114"/>
    </row>
    <row r="119" spans="2:47" x14ac:dyDescent="0.2">
      <c r="B119" s="59"/>
      <c r="C119" s="59"/>
      <c r="D119" s="60"/>
      <c r="E119" s="60"/>
      <c r="F119" s="60"/>
      <c r="G119" s="60"/>
      <c r="H119" s="60"/>
      <c r="I119" s="60"/>
      <c r="J119" s="60"/>
      <c r="K119" s="60"/>
      <c r="L119" s="60"/>
      <c r="M119" s="60"/>
      <c r="N119" s="60"/>
      <c r="O119" s="60"/>
      <c r="P119" s="60"/>
      <c r="Q119" s="60"/>
      <c r="R119" s="60"/>
      <c r="S119" s="60"/>
      <c r="T119" s="60"/>
      <c r="U119" s="60"/>
      <c r="V119" s="60"/>
      <c r="W119" s="60"/>
      <c r="X119" s="60"/>
      <c r="Y119" s="60"/>
      <c r="Z119" s="114"/>
      <c r="AB119" s="242"/>
      <c r="AC119" s="60"/>
      <c r="AD119" s="60"/>
      <c r="AE119" s="60"/>
      <c r="AF119" s="60"/>
      <c r="AG119" s="244"/>
      <c r="AH119" s="60"/>
      <c r="AI119" s="60"/>
      <c r="AJ119" s="60"/>
      <c r="AK119" s="60"/>
      <c r="AL119" s="60"/>
      <c r="AM119" s="60"/>
      <c r="AN119" s="242"/>
      <c r="AO119" s="60"/>
      <c r="AP119" s="60"/>
      <c r="AQ119" s="60"/>
      <c r="AR119" s="60"/>
      <c r="AS119" s="60"/>
      <c r="AT119" s="244"/>
      <c r="AU119" s="114"/>
    </row>
    <row r="120" spans="2:47" ht="13.5" thickBot="1" x14ac:dyDescent="0.25">
      <c r="B120" s="59"/>
      <c r="C120" s="67"/>
      <c r="D120" s="83"/>
      <c r="E120" s="83"/>
      <c r="F120" s="83"/>
      <c r="G120" s="83"/>
      <c r="H120" s="83"/>
      <c r="I120" s="83"/>
      <c r="J120" s="83"/>
      <c r="K120" s="83"/>
      <c r="L120" s="83"/>
      <c r="M120" s="83"/>
      <c r="N120" s="83"/>
      <c r="O120" s="83"/>
      <c r="P120" s="83"/>
      <c r="Q120" s="83"/>
      <c r="R120" s="83"/>
      <c r="S120" s="83"/>
      <c r="T120" s="83"/>
      <c r="U120" s="83"/>
      <c r="V120" s="83"/>
      <c r="W120" s="83"/>
      <c r="X120" s="83"/>
      <c r="Y120" s="83"/>
      <c r="Z120" s="115"/>
      <c r="AB120" s="258"/>
      <c r="AC120" s="248"/>
      <c r="AD120" s="248"/>
      <c r="AE120" s="248"/>
      <c r="AF120" s="248"/>
      <c r="AG120" s="250"/>
      <c r="AH120" s="248"/>
      <c r="AI120" s="248"/>
      <c r="AJ120" s="248"/>
      <c r="AK120" s="248"/>
      <c r="AL120" s="248"/>
      <c r="AM120" s="248"/>
      <c r="AN120" s="258"/>
      <c r="AO120" s="248"/>
      <c r="AP120" s="248"/>
      <c r="AQ120" s="248"/>
      <c r="AR120" s="248"/>
      <c r="AS120" s="248"/>
      <c r="AT120" s="250"/>
      <c r="AU120" s="114"/>
    </row>
    <row r="121" spans="2:47" ht="13.5" thickTop="1" x14ac:dyDescent="0.2">
      <c r="B121" s="59"/>
      <c r="AU121" s="114"/>
    </row>
    <row r="122" spans="2:47" ht="12.95" customHeight="1" x14ac:dyDescent="0.2">
      <c r="B122" s="59"/>
      <c r="L122" s="60"/>
      <c r="M122" s="60"/>
      <c r="N122" s="60"/>
      <c r="O122" s="60"/>
      <c r="P122" s="60"/>
      <c r="Q122" s="60"/>
      <c r="R122" s="60"/>
      <c r="S122" s="60"/>
      <c r="T122" s="60"/>
      <c r="U122" s="60"/>
      <c r="V122" s="60"/>
      <c r="W122" s="60"/>
      <c r="X122" s="60"/>
      <c r="Y122" s="60"/>
      <c r="Z122" s="60"/>
      <c r="AA122" s="60"/>
      <c r="AB122" s="111"/>
      <c r="AC122" s="81"/>
      <c r="AD122" s="81"/>
      <c r="AE122" s="81"/>
      <c r="AF122" s="81"/>
      <c r="AG122" s="81"/>
      <c r="AH122" s="81"/>
      <c r="AI122" s="81"/>
      <c r="AJ122" s="81"/>
      <c r="AK122" s="81"/>
      <c r="AL122" s="81"/>
      <c r="AM122" s="81"/>
      <c r="AN122" s="81"/>
      <c r="AO122" s="81"/>
      <c r="AP122" s="81"/>
      <c r="AQ122" s="81"/>
      <c r="AR122" s="81"/>
      <c r="AS122" s="81"/>
      <c r="AT122" s="113"/>
      <c r="AU122" s="114"/>
    </row>
    <row r="123" spans="2:47" ht="12.95" customHeight="1" x14ac:dyDescent="0.2">
      <c r="B123" s="59"/>
      <c r="L123" s="60"/>
      <c r="M123" s="60"/>
      <c r="N123" s="60"/>
      <c r="O123" s="60"/>
      <c r="P123" s="60"/>
      <c r="Q123" s="60"/>
      <c r="R123" s="60"/>
      <c r="S123" s="60"/>
      <c r="T123" s="60"/>
      <c r="U123" s="60"/>
      <c r="V123" s="60"/>
      <c r="W123" s="60"/>
      <c r="X123" s="60"/>
      <c r="Y123" s="60"/>
      <c r="Z123" s="60"/>
      <c r="AA123" s="60"/>
      <c r="AB123" s="59"/>
      <c r="AC123" s="60"/>
      <c r="AD123" s="60"/>
      <c r="AE123" s="60"/>
      <c r="AF123" s="60"/>
      <c r="AG123" s="60"/>
      <c r="AH123" s="60"/>
      <c r="AI123" s="60"/>
      <c r="AJ123" s="60"/>
      <c r="AK123" s="60"/>
      <c r="AL123" s="60"/>
      <c r="AM123" s="60"/>
      <c r="AN123" s="60"/>
      <c r="AO123" s="60"/>
      <c r="AP123" s="60"/>
      <c r="AQ123" s="60"/>
      <c r="AR123" s="60"/>
      <c r="AS123" s="60"/>
      <c r="AT123" s="114"/>
      <c r="AU123" s="114"/>
    </row>
    <row r="124" spans="2:47" ht="12.95" customHeight="1" x14ac:dyDescent="0.2">
      <c r="B124" s="59"/>
      <c r="L124" s="60"/>
      <c r="M124" s="60"/>
      <c r="N124" s="60"/>
      <c r="O124" s="60"/>
      <c r="P124" s="60"/>
      <c r="Q124" s="60"/>
      <c r="R124" s="60"/>
      <c r="S124" s="60"/>
      <c r="T124" s="60"/>
      <c r="U124" s="60"/>
      <c r="V124" s="60"/>
      <c r="W124" s="60"/>
      <c r="X124" s="60"/>
      <c r="Y124" s="60"/>
      <c r="Z124" s="60"/>
      <c r="AA124" s="60"/>
      <c r="AB124" s="59"/>
      <c r="AC124" s="60"/>
      <c r="AD124" s="60"/>
      <c r="AE124" s="60"/>
      <c r="AF124" s="60"/>
      <c r="AG124" s="60"/>
      <c r="AH124" s="60"/>
      <c r="AI124" s="60"/>
      <c r="AJ124" s="60"/>
      <c r="AK124" s="60"/>
      <c r="AL124" s="60"/>
      <c r="AM124" s="60"/>
      <c r="AN124" s="60"/>
      <c r="AO124" s="60"/>
      <c r="AP124" s="60"/>
      <c r="AQ124" s="60"/>
      <c r="AR124" s="60"/>
      <c r="AS124" s="60"/>
      <c r="AT124" s="114"/>
      <c r="AU124" s="114"/>
    </row>
    <row r="125" spans="2:47" ht="12.95" customHeight="1" x14ac:dyDescent="0.2">
      <c r="B125" s="59"/>
      <c r="L125" s="60"/>
      <c r="M125" s="60"/>
      <c r="N125" s="60"/>
      <c r="O125" s="60"/>
      <c r="P125" s="60"/>
      <c r="Q125" s="60"/>
      <c r="R125" s="60"/>
      <c r="S125" s="60"/>
      <c r="T125" s="60"/>
      <c r="U125" s="60"/>
      <c r="V125" s="60"/>
      <c r="W125" s="60"/>
      <c r="X125" s="60"/>
      <c r="Y125" s="60"/>
      <c r="Z125" s="60"/>
      <c r="AA125" s="60"/>
      <c r="AB125" s="59"/>
      <c r="AC125" s="60"/>
      <c r="AD125" s="60"/>
      <c r="AE125" s="60"/>
      <c r="AF125" s="60"/>
      <c r="AG125" s="60"/>
      <c r="AH125" s="60"/>
      <c r="AI125" s="60"/>
      <c r="AJ125" s="60"/>
      <c r="AK125" s="60"/>
      <c r="AL125" s="60"/>
      <c r="AM125" s="60"/>
      <c r="AN125" s="60"/>
      <c r="AO125" s="60"/>
      <c r="AP125" s="60"/>
      <c r="AQ125" s="60"/>
      <c r="AR125" s="60"/>
      <c r="AS125" s="60"/>
      <c r="AT125" s="114"/>
      <c r="AU125" s="114"/>
    </row>
    <row r="126" spans="2:47" ht="12.95" customHeight="1" x14ac:dyDescent="0.2">
      <c r="B126" s="59"/>
      <c r="L126" s="60"/>
      <c r="M126" s="60"/>
      <c r="N126" s="60"/>
      <c r="O126" s="60"/>
      <c r="P126" s="60"/>
      <c r="Q126" s="60"/>
      <c r="R126" s="60"/>
      <c r="S126" s="60"/>
      <c r="T126" s="60"/>
      <c r="U126" s="60"/>
      <c r="V126" s="60"/>
      <c r="W126" s="60"/>
      <c r="X126" s="60"/>
      <c r="Y126" s="60"/>
      <c r="Z126" s="60"/>
      <c r="AA126" s="60"/>
      <c r="AB126" s="59"/>
      <c r="AC126" s="60"/>
      <c r="AD126" s="60"/>
      <c r="AE126" s="60"/>
      <c r="AF126" s="60"/>
      <c r="AG126" s="60"/>
      <c r="AH126" s="60"/>
      <c r="AI126" s="60"/>
      <c r="AJ126" s="60"/>
      <c r="AK126" s="132"/>
      <c r="AL126" s="132"/>
      <c r="AM126" s="132"/>
      <c r="AN126" s="132"/>
      <c r="AO126" s="132"/>
      <c r="AP126" s="60"/>
      <c r="AQ126" s="60"/>
      <c r="AR126" s="60"/>
      <c r="AS126" s="60"/>
      <c r="AT126" s="114"/>
      <c r="AU126" s="114"/>
    </row>
    <row r="127" spans="2:47" ht="12.95" customHeight="1" x14ac:dyDescent="0.2">
      <c r="B127" s="59"/>
      <c r="L127" s="60"/>
      <c r="M127" s="60"/>
      <c r="N127" s="60"/>
      <c r="O127" s="60"/>
      <c r="P127" s="60"/>
      <c r="Q127" s="60"/>
      <c r="R127" s="60"/>
      <c r="S127" s="60"/>
      <c r="T127" s="60"/>
      <c r="U127" s="60"/>
      <c r="V127" s="60"/>
      <c r="W127" s="60"/>
      <c r="X127" s="60"/>
      <c r="Y127" s="60"/>
      <c r="Z127" s="60"/>
      <c r="AA127" s="60"/>
      <c r="AB127" s="59"/>
      <c r="AC127" s="60"/>
      <c r="AD127" s="60"/>
      <c r="AE127" s="60"/>
      <c r="AF127" s="60"/>
      <c r="AG127" s="60"/>
      <c r="AH127" s="60"/>
      <c r="AI127" s="60"/>
      <c r="AJ127" s="60"/>
      <c r="AK127" s="132"/>
      <c r="AL127" s="132"/>
      <c r="AM127" s="132"/>
      <c r="AN127" s="132"/>
      <c r="AO127" s="132"/>
      <c r="AP127" s="60"/>
      <c r="AQ127" s="60"/>
      <c r="AR127" s="60"/>
      <c r="AS127" s="60"/>
      <c r="AT127" s="114"/>
      <c r="AU127" s="114"/>
    </row>
    <row r="128" spans="2:47" ht="12.95" customHeight="1" x14ac:dyDescent="0.2">
      <c r="B128" s="59"/>
      <c r="L128" s="60"/>
      <c r="M128" s="60"/>
      <c r="N128" s="60"/>
      <c r="O128" s="60"/>
      <c r="P128" s="60"/>
      <c r="Q128" s="60"/>
      <c r="R128" s="60"/>
      <c r="S128" s="60"/>
      <c r="T128" s="60"/>
      <c r="U128" s="60"/>
      <c r="V128" s="60"/>
      <c r="W128" s="60"/>
      <c r="X128" s="60"/>
      <c r="Y128" s="60"/>
      <c r="Z128" s="60"/>
      <c r="AA128" s="60"/>
      <c r="AB128" s="59"/>
      <c r="AC128" s="60"/>
      <c r="AD128" s="60"/>
      <c r="AE128" s="60"/>
      <c r="AF128" s="60"/>
      <c r="AG128" s="60"/>
      <c r="AH128" s="60"/>
      <c r="AI128" s="60"/>
      <c r="AJ128" s="60"/>
      <c r="AK128" s="132"/>
      <c r="AL128" s="132"/>
      <c r="AM128" s="132"/>
      <c r="AN128" s="132"/>
      <c r="AO128" s="132"/>
      <c r="AP128" s="60"/>
      <c r="AQ128" s="60"/>
      <c r="AR128" s="60"/>
      <c r="AS128" s="60"/>
      <c r="AT128" s="114"/>
      <c r="AU128" s="114"/>
    </row>
    <row r="129" spans="2:47" ht="12.95" customHeight="1" x14ac:dyDescent="0.2">
      <c r="B129" s="59"/>
      <c r="L129" s="60"/>
      <c r="M129" s="60"/>
      <c r="N129" s="60"/>
      <c r="O129" s="60"/>
      <c r="P129" s="60"/>
      <c r="Q129" s="60"/>
      <c r="R129" s="60"/>
      <c r="S129" s="60"/>
      <c r="T129" s="60"/>
      <c r="U129" s="60"/>
      <c r="V129" s="60"/>
      <c r="W129" s="60"/>
      <c r="X129" s="60"/>
      <c r="Y129" s="60"/>
      <c r="Z129" s="60"/>
      <c r="AA129" s="60"/>
      <c r="AB129" s="59"/>
      <c r="AC129" s="60"/>
      <c r="AD129" s="60"/>
      <c r="AE129" s="60"/>
      <c r="AF129" s="155"/>
      <c r="AG129" s="60"/>
      <c r="AH129" s="60"/>
      <c r="AI129" s="60"/>
      <c r="AJ129" s="60"/>
      <c r="AK129" s="132"/>
      <c r="AL129" s="132"/>
      <c r="AM129" s="132"/>
      <c r="AN129" s="132"/>
      <c r="AO129" s="132"/>
      <c r="AP129" s="60"/>
      <c r="AQ129" s="60"/>
      <c r="AR129" s="60"/>
      <c r="AS129" s="60"/>
      <c r="AT129" s="114"/>
      <c r="AU129" s="114"/>
    </row>
    <row r="130" spans="2:47" ht="12.95" customHeight="1" x14ac:dyDescent="0.2">
      <c r="B130" s="59"/>
      <c r="L130" s="60"/>
      <c r="M130" s="60"/>
      <c r="N130" s="60"/>
      <c r="O130" s="60"/>
      <c r="P130" s="60"/>
      <c r="Q130" s="60"/>
      <c r="R130" s="60"/>
      <c r="S130" s="60"/>
      <c r="T130" s="60"/>
      <c r="U130" s="60"/>
      <c r="V130" s="60"/>
      <c r="W130" s="60"/>
      <c r="X130" s="60"/>
      <c r="Y130" s="60"/>
      <c r="Z130" s="60"/>
      <c r="AA130" s="60"/>
      <c r="AB130" s="59"/>
      <c r="AC130" s="60"/>
      <c r="AD130" s="60"/>
      <c r="AE130" s="60"/>
      <c r="AF130" s="60"/>
      <c r="AG130" s="60"/>
      <c r="AH130" s="60"/>
      <c r="AI130" s="60"/>
      <c r="AJ130" s="60"/>
      <c r="AK130" s="132"/>
      <c r="AL130" s="132"/>
      <c r="AM130" s="132"/>
      <c r="AN130" s="132"/>
      <c r="AO130" s="132"/>
      <c r="AP130" s="60"/>
      <c r="AQ130" s="60"/>
      <c r="AR130" s="60"/>
      <c r="AS130" s="60"/>
      <c r="AT130" s="114"/>
      <c r="AU130" s="114"/>
    </row>
    <row r="131" spans="2:47" ht="12.95" customHeight="1" x14ac:dyDescent="0.2">
      <c r="B131" s="59"/>
      <c r="L131" s="60"/>
      <c r="M131" s="60"/>
      <c r="N131" s="60"/>
      <c r="O131" s="60"/>
      <c r="P131" s="60"/>
      <c r="Q131" s="60"/>
      <c r="R131" s="60"/>
      <c r="S131" s="60"/>
      <c r="T131" s="60"/>
      <c r="U131" s="60"/>
      <c r="V131" s="60"/>
      <c r="W131" s="60"/>
      <c r="X131" s="60"/>
      <c r="Y131" s="60"/>
      <c r="Z131" s="60"/>
      <c r="AA131" s="60"/>
      <c r="AB131" s="59"/>
      <c r="AC131" s="60"/>
      <c r="AD131" s="60"/>
      <c r="AE131" s="215"/>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59"/>
      <c r="L132" s="60"/>
      <c r="M132" s="60"/>
      <c r="N132" s="60"/>
      <c r="O132" s="60"/>
      <c r="P132" s="60"/>
      <c r="Q132" s="60"/>
      <c r="R132" s="60"/>
      <c r="S132" s="60"/>
      <c r="T132" s="60"/>
      <c r="U132" s="60"/>
      <c r="V132" s="60"/>
      <c r="W132" s="60"/>
      <c r="X132" s="60"/>
      <c r="Y132" s="60"/>
      <c r="Z132" s="60"/>
      <c r="AA132" s="60"/>
      <c r="AB132" s="59"/>
      <c r="AC132" s="60"/>
      <c r="AD132" s="60"/>
      <c r="AE132" s="215"/>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59"/>
      <c r="L133" s="60"/>
      <c r="M133" s="60"/>
      <c r="N133" s="60"/>
      <c r="O133" s="60"/>
      <c r="P133" s="60"/>
      <c r="Q133" s="60"/>
      <c r="R133" s="60"/>
      <c r="S133" s="60"/>
      <c r="T133" s="60"/>
      <c r="U133" s="60"/>
      <c r="V133" s="60"/>
      <c r="W133" s="60"/>
      <c r="X133" s="60"/>
      <c r="Y133" s="60"/>
      <c r="Z133" s="60"/>
      <c r="AA133" s="60"/>
      <c r="AB133" s="59"/>
      <c r="AC133" s="60"/>
      <c r="AD133" s="60"/>
      <c r="AE133" s="215"/>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59"/>
      <c r="L134" s="60"/>
      <c r="M134" s="60"/>
      <c r="N134" s="60"/>
      <c r="O134" s="60"/>
      <c r="P134" s="60"/>
      <c r="Q134" s="60"/>
      <c r="R134" s="60"/>
      <c r="S134" s="60"/>
      <c r="T134" s="60"/>
      <c r="U134" s="60"/>
      <c r="V134" s="60"/>
      <c r="W134" s="60"/>
      <c r="X134" s="60"/>
      <c r="Y134" s="60"/>
      <c r="Z134" s="60"/>
      <c r="AA134" s="60"/>
      <c r="AB134" s="59"/>
      <c r="AC134" s="60"/>
      <c r="AD134" s="60"/>
      <c r="AE134" s="215"/>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59"/>
      <c r="L135" s="60"/>
      <c r="M135" s="60"/>
      <c r="N135" s="60"/>
      <c r="O135" s="60"/>
      <c r="P135" s="60"/>
      <c r="Q135" s="60"/>
      <c r="R135" s="60"/>
      <c r="S135" s="60"/>
      <c r="T135" s="60"/>
      <c r="U135" s="60"/>
      <c r="V135" s="60"/>
      <c r="W135" s="60"/>
      <c r="X135" s="60"/>
      <c r="Y135" s="60"/>
      <c r="Z135" s="60"/>
      <c r="AA135" s="60"/>
      <c r="AB135" s="67"/>
      <c r="AC135" s="83"/>
      <c r="AD135" s="83"/>
      <c r="AE135" s="271"/>
      <c r="AF135" s="136"/>
      <c r="AG135" s="136"/>
      <c r="AH135" s="136"/>
      <c r="AI135" s="136"/>
      <c r="AJ135" s="136"/>
      <c r="AK135" s="136"/>
      <c r="AL135" s="136"/>
      <c r="AM135" s="136"/>
      <c r="AN135" s="136"/>
      <c r="AO135" s="136"/>
      <c r="AP135" s="136"/>
      <c r="AQ135" s="136"/>
      <c r="AR135" s="136"/>
      <c r="AS135" s="136"/>
      <c r="AT135" s="137"/>
      <c r="AU135" s="114"/>
    </row>
    <row r="136" spans="2:47" x14ac:dyDescent="0.2">
      <c r="B136" s="67"/>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115"/>
    </row>
    <row r="137" spans="2:47" x14ac:dyDescent="0.2">
      <c r="AE137" s="211"/>
      <c r="AF137" s="132"/>
      <c r="AG137" s="132"/>
      <c r="AH137" s="132"/>
      <c r="AI137" s="132"/>
      <c r="AJ137" s="132"/>
      <c r="AK137" s="132"/>
      <c r="AL137" s="132"/>
      <c r="AM137" s="132"/>
      <c r="AN137" s="132"/>
      <c r="AO137" s="132"/>
      <c r="AP137" s="132"/>
      <c r="AQ137" s="132"/>
      <c r="AR137" s="132"/>
      <c r="AS137" s="132"/>
      <c r="AT137" s="132"/>
    </row>
    <row r="138" spans="2:47" x14ac:dyDescent="0.2">
      <c r="AE138" s="211"/>
      <c r="AF138" s="132"/>
      <c r="AG138" s="132"/>
      <c r="AH138" s="132"/>
      <c r="AI138" s="132"/>
      <c r="AJ138" s="132"/>
      <c r="AK138" s="132"/>
      <c r="AL138" s="132"/>
      <c r="AM138" s="132"/>
      <c r="AN138" s="132"/>
      <c r="AO138" s="132"/>
      <c r="AP138" s="132"/>
      <c r="AQ138" s="132"/>
      <c r="AR138" s="132"/>
      <c r="AS138" s="132"/>
      <c r="AT138" s="132"/>
    </row>
    <row r="139" spans="2:47" x14ac:dyDescent="0.2">
      <c r="AE139" s="211"/>
      <c r="AF139" s="132"/>
      <c r="AG139" s="132"/>
      <c r="AH139" s="132"/>
      <c r="AI139" s="132"/>
      <c r="AJ139" s="132"/>
      <c r="AK139" s="132"/>
      <c r="AL139" s="132"/>
      <c r="AM139" s="132"/>
      <c r="AN139" s="132"/>
      <c r="AO139" s="132"/>
      <c r="AP139" s="132"/>
      <c r="AQ139" s="132"/>
      <c r="AR139" s="132"/>
      <c r="AS139" s="132"/>
      <c r="AT139" s="132"/>
    </row>
    <row r="140" spans="2:47" x14ac:dyDescent="0.2">
      <c r="AE140" s="211"/>
      <c r="AF140" s="132"/>
      <c r="AG140" s="132"/>
      <c r="AH140" s="132"/>
      <c r="AI140" s="132"/>
      <c r="AJ140" s="132"/>
      <c r="AK140" s="132"/>
      <c r="AL140" s="132"/>
      <c r="AM140" s="132"/>
      <c r="AN140" s="132"/>
      <c r="AO140" s="132"/>
      <c r="AP140" s="132"/>
      <c r="AQ140" s="132"/>
      <c r="AR140" s="132"/>
      <c r="AS140" s="132"/>
      <c r="AT140" s="132"/>
    </row>
    <row r="141" spans="2:47" x14ac:dyDescent="0.2">
      <c r="AE141" s="211"/>
      <c r="AF141" s="132"/>
      <c r="AG141" s="132"/>
      <c r="AH141" s="132"/>
      <c r="AI141" s="132"/>
      <c r="AJ141" s="132"/>
      <c r="AK141" s="132"/>
      <c r="AL141" s="132"/>
      <c r="AM141" s="132"/>
      <c r="AN141" s="132"/>
      <c r="AO141" s="132"/>
      <c r="AP141" s="132"/>
      <c r="AQ141" s="132"/>
      <c r="AR141" s="132"/>
      <c r="AS141" s="132"/>
      <c r="AT141" s="132"/>
    </row>
    <row r="142" spans="2:47" x14ac:dyDescent="0.2">
      <c r="AE142" s="211"/>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1"/>
      <c r="AF143" s="132"/>
      <c r="AG143" s="132"/>
      <c r="AH143" s="132"/>
      <c r="AI143" s="132"/>
      <c r="AJ143" s="132"/>
      <c r="AK143" s="132"/>
      <c r="AL143" s="132"/>
      <c r="AM143" s="132"/>
      <c r="AN143" s="132"/>
      <c r="AO143" s="132"/>
      <c r="AP143" s="132"/>
      <c r="AQ143" s="132"/>
      <c r="AR143" s="132"/>
      <c r="AS143" s="132"/>
      <c r="AT143" s="132"/>
    </row>
    <row r="144" spans="2:47" x14ac:dyDescent="0.2">
      <c r="AE144" s="211"/>
      <c r="AG144" s="132"/>
      <c r="AH144" s="132"/>
      <c r="AI144" s="132"/>
      <c r="AJ144" s="132"/>
      <c r="AK144" s="132"/>
      <c r="AL144" s="132"/>
      <c r="AM144" s="132"/>
      <c r="AN144" s="132"/>
      <c r="AO144" s="132"/>
    </row>
    <row r="145" spans="24:47" x14ac:dyDescent="0.2">
      <c r="AE145" s="211"/>
      <c r="AF145" s="132"/>
      <c r="AG145" s="132"/>
      <c r="AH145" s="132"/>
      <c r="AI145" s="132"/>
      <c r="AJ145" s="132"/>
      <c r="AK145" s="132"/>
      <c r="AL145" s="132"/>
      <c r="AM145" s="132"/>
      <c r="AN145" s="132"/>
      <c r="AO145" s="132"/>
      <c r="AP145" s="132"/>
      <c r="AQ145" s="132"/>
      <c r="AR145" s="132"/>
      <c r="AS145" s="132"/>
      <c r="AT145" s="132"/>
    </row>
    <row r="146" spans="24:47" x14ac:dyDescent="0.2">
      <c r="AE146" s="211"/>
      <c r="AF146" s="132"/>
      <c r="AG146" s="132"/>
      <c r="AH146" s="132"/>
      <c r="AI146" s="132"/>
      <c r="AJ146" s="132"/>
      <c r="AK146" s="132"/>
      <c r="AL146" s="132"/>
      <c r="AM146" s="132"/>
      <c r="AN146" s="132"/>
      <c r="AO146" s="132"/>
      <c r="AP146" s="132"/>
      <c r="AQ146" s="132"/>
      <c r="AR146" s="132"/>
      <c r="AS146" s="132"/>
      <c r="AT146" s="132"/>
      <c r="AU146" s="212"/>
    </row>
    <row r="147" spans="24:47" x14ac:dyDescent="0.2">
      <c r="AE147" s="211"/>
      <c r="AF147" s="132"/>
      <c r="AG147" s="132"/>
      <c r="AH147" s="132"/>
      <c r="AI147" s="132"/>
      <c r="AJ147" s="132"/>
      <c r="AK147" s="132"/>
      <c r="AL147" s="132"/>
      <c r="AM147" s="132"/>
      <c r="AN147" s="132"/>
      <c r="AO147" s="132"/>
      <c r="AP147" s="132"/>
      <c r="AQ147" s="132"/>
      <c r="AR147" s="132"/>
      <c r="AS147" s="132"/>
      <c r="AT147" s="132"/>
      <c r="AU147" s="212"/>
    </row>
    <row r="148" spans="24:47" x14ac:dyDescent="0.2">
      <c r="AE148" s="211"/>
      <c r="AF148" s="132"/>
      <c r="AG148" s="132"/>
      <c r="AH148" s="132"/>
      <c r="AI148" s="132"/>
      <c r="AJ148" s="132"/>
      <c r="AK148" s="132"/>
      <c r="AL148" s="132"/>
      <c r="AM148" s="132"/>
      <c r="AN148" s="132"/>
      <c r="AO148" s="132"/>
      <c r="AP148" s="132"/>
      <c r="AQ148" s="132"/>
      <c r="AR148" s="132"/>
      <c r="AS148" s="132"/>
      <c r="AT148" s="132"/>
      <c r="AU148" s="212"/>
    </row>
    <row r="149" spans="24:47" x14ac:dyDescent="0.2">
      <c r="AE149" s="211"/>
      <c r="AF149" s="132"/>
      <c r="AG149" s="132"/>
      <c r="AH149" s="132"/>
      <c r="AI149" s="132"/>
      <c r="AJ149" s="132"/>
      <c r="AK149" s="132"/>
      <c r="AL149" s="132"/>
      <c r="AM149" s="132"/>
      <c r="AN149" s="132"/>
      <c r="AO149" s="132"/>
      <c r="AP149" s="132"/>
      <c r="AQ149" s="132"/>
      <c r="AR149" s="132"/>
      <c r="AS149" s="132"/>
      <c r="AT149" s="132"/>
      <c r="AU149" s="212"/>
    </row>
    <row r="150" spans="24:47" x14ac:dyDescent="0.2">
      <c r="AE150" s="211"/>
      <c r="AF150" s="132"/>
      <c r="AG150" s="132"/>
      <c r="AH150" s="132"/>
      <c r="AI150" s="132"/>
      <c r="AJ150" s="132"/>
      <c r="AK150" s="132"/>
      <c r="AL150" s="132"/>
      <c r="AM150" s="132"/>
      <c r="AN150" s="132"/>
      <c r="AO150" s="132"/>
      <c r="AP150" s="132"/>
      <c r="AQ150" s="132"/>
      <c r="AR150" s="132"/>
      <c r="AS150" s="132"/>
      <c r="AT150" s="132"/>
      <c r="AU150" s="212"/>
    </row>
    <row r="151" spans="24:47" x14ac:dyDescent="0.2">
      <c r="AE151" s="211"/>
      <c r="AF151" s="132"/>
      <c r="AG151" s="132"/>
      <c r="AH151" s="132"/>
      <c r="AI151" s="132"/>
      <c r="AJ151" s="132"/>
      <c r="AK151" s="132"/>
      <c r="AL151" s="132"/>
      <c r="AM151" s="132"/>
      <c r="AN151" s="132"/>
      <c r="AO151" s="132"/>
      <c r="AP151" s="132"/>
      <c r="AQ151" s="132"/>
      <c r="AR151" s="132"/>
      <c r="AS151" s="132"/>
      <c r="AT151" s="132"/>
      <c r="AU151" s="212"/>
    </row>
    <row r="152" spans="24:47" x14ac:dyDescent="0.2">
      <c r="AE152" s="211"/>
      <c r="AF152" s="132"/>
      <c r="AG152" s="132"/>
      <c r="AH152" s="132"/>
      <c r="AI152" s="132"/>
      <c r="AJ152" s="132"/>
      <c r="AK152" s="132"/>
      <c r="AL152" s="132"/>
      <c r="AM152" s="132"/>
      <c r="AN152" s="132"/>
      <c r="AO152" s="132"/>
      <c r="AP152" s="132"/>
      <c r="AQ152" s="132"/>
      <c r="AR152" s="132"/>
      <c r="AS152" s="132"/>
      <c r="AT152" s="132"/>
      <c r="AU152" s="212"/>
    </row>
    <row r="153" spans="24:47" x14ac:dyDescent="0.2">
      <c r="AE153" s="211"/>
      <c r="AF153" s="132"/>
      <c r="AG153" s="132"/>
      <c r="AH153" s="132"/>
      <c r="AI153" s="132"/>
      <c r="AJ153" s="132"/>
      <c r="AK153" s="132"/>
      <c r="AL153" s="132"/>
      <c r="AM153" s="132"/>
      <c r="AN153" s="132"/>
      <c r="AO153" s="132"/>
      <c r="AP153" s="132"/>
      <c r="AQ153" s="132"/>
      <c r="AR153" s="132"/>
      <c r="AS153" s="132"/>
      <c r="AT153" s="132"/>
      <c r="AU153" s="212"/>
    </row>
    <row r="154" spans="24:47" x14ac:dyDescent="0.2">
      <c r="AE154" s="211"/>
      <c r="AF154" s="132"/>
      <c r="AG154" s="132"/>
      <c r="AH154" s="132"/>
      <c r="AI154" s="132"/>
      <c r="AJ154" s="132"/>
      <c r="AK154" s="132"/>
      <c r="AL154" s="132"/>
      <c r="AM154" s="132"/>
      <c r="AN154" s="132"/>
      <c r="AO154" s="132"/>
      <c r="AP154" s="132"/>
      <c r="AQ154" s="132"/>
      <c r="AR154" s="132"/>
      <c r="AS154" s="132"/>
      <c r="AT154" s="132"/>
      <c r="AU154" s="212"/>
    </row>
    <row r="155" spans="24:47" x14ac:dyDescent="0.2">
      <c r="AE155" s="211"/>
      <c r="AF155" s="132"/>
      <c r="AG155" s="132"/>
      <c r="AH155" s="132"/>
      <c r="AI155" s="132"/>
      <c r="AJ155" s="132"/>
      <c r="AK155" s="132"/>
      <c r="AL155" s="132"/>
      <c r="AM155" s="132"/>
      <c r="AN155" s="132"/>
      <c r="AO155" s="132"/>
      <c r="AP155" s="132"/>
      <c r="AQ155" s="132"/>
      <c r="AR155" s="132"/>
      <c r="AS155" s="132"/>
      <c r="AT155" s="132"/>
      <c r="AU155" s="212"/>
    </row>
    <row r="156" spans="24:47" x14ac:dyDescent="0.2">
      <c r="AE156" s="211"/>
      <c r="AF156" s="132"/>
      <c r="AG156" s="132"/>
      <c r="AH156" s="132"/>
      <c r="AI156" s="132"/>
      <c r="AJ156" s="132"/>
      <c r="AK156" s="132"/>
      <c r="AL156" s="132"/>
      <c r="AM156" s="132"/>
      <c r="AN156" s="132"/>
      <c r="AO156" s="132"/>
      <c r="AP156" s="132"/>
      <c r="AQ156" s="132"/>
      <c r="AR156" s="132"/>
      <c r="AS156" s="132"/>
      <c r="AT156" s="132"/>
      <c r="AU156" s="212"/>
    </row>
    <row r="157" spans="24:47" x14ac:dyDescent="0.2">
      <c r="AE157" s="211"/>
      <c r="AF157" s="132"/>
      <c r="AG157" s="132"/>
      <c r="AH157" s="132"/>
      <c r="AI157" s="132"/>
      <c r="AJ157" s="132"/>
      <c r="AK157" s="132"/>
      <c r="AL157" s="132"/>
      <c r="AM157" s="132"/>
      <c r="AN157" s="132"/>
      <c r="AO157" s="132"/>
      <c r="AP157" s="132"/>
      <c r="AQ157" s="132"/>
      <c r="AR157" s="132"/>
      <c r="AS157" s="132"/>
      <c r="AT157" s="132"/>
      <c r="AU157" s="212"/>
    </row>
    <row r="158" spans="24:47" ht="15" customHeight="1" x14ac:dyDescent="0.2">
      <c r="X158" s="132"/>
      <c r="Y158" s="132"/>
      <c r="AE158" s="211"/>
      <c r="AF158" s="212"/>
      <c r="AG158" s="212"/>
      <c r="AH158" s="212"/>
      <c r="AI158" s="212"/>
      <c r="AJ158" s="212"/>
      <c r="AK158" s="212"/>
      <c r="AL158" s="212"/>
      <c r="AM158" s="212"/>
      <c r="AN158" s="212"/>
      <c r="AO158" s="212"/>
      <c r="AP158" s="212"/>
      <c r="AQ158" s="212"/>
      <c r="AR158" s="212"/>
      <c r="AS158" s="212"/>
      <c r="AT158" s="212"/>
      <c r="AU158" s="212"/>
    </row>
    <row r="159" spans="24:47" x14ac:dyDescent="0.2">
      <c r="AE159" s="211"/>
      <c r="AF159" s="132"/>
      <c r="AG159" s="132"/>
      <c r="AH159" s="132"/>
      <c r="AI159" s="132"/>
      <c r="AJ159" s="132"/>
      <c r="AK159" s="132"/>
      <c r="AL159" s="132"/>
      <c r="AM159" s="132"/>
      <c r="AN159" s="132"/>
      <c r="AO159" s="132"/>
      <c r="AP159" s="132"/>
      <c r="AQ159" s="132"/>
      <c r="AR159" s="132"/>
      <c r="AS159" s="132"/>
      <c r="AT159" s="132"/>
      <c r="AU159" s="212"/>
    </row>
    <row r="160" spans="24:47" x14ac:dyDescent="0.2">
      <c r="AE160" s="211"/>
      <c r="AF160" s="132"/>
      <c r="AG160" s="132"/>
      <c r="AH160" s="132"/>
      <c r="AI160" s="132"/>
      <c r="AJ160" s="132"/>
      <c r="AK160" s="132"/>
      <c r="AL160" s="132"/>
      <c r="AM160" s="132"/>
      <c r="AN160" s="132"/>
      <c r="AO160" s="132"/>
      <c r="AP160" s="132"/>
      <c r="AQ160" s="132"/>
      <c r="AR160" s="132"/>
      <c r="AS160" s="132"/>
      <c r="AT160" s="132"/>
      <c r="AU160" s="212"/>
    </row>
    <row r="161" spans="24:47" x14ac:dyDescent="0.2">
      <c r="AE161" s="211"/>
      <c r="AF161" s="132"/>
      <c r="AG161" s="132"/>
      <c r="AH161" s="132"/>
      <c r="AI161" s="132"/>
      <c r="AJ161" s="132"/>
      <c r="AK161" s="132"/>
      <c r="AL161" s="132"/>
      <c r="AM161" s="132"/>
      <c r="AN161" s="132"/>
      <c r="AO161" s="132"/>
      <c r="AP161" s="132"/>
      <c r="AQ161" s="132"/>
      <c r="AR161" s="132"/>
      <c r="AS161" s="132"/>
      <c r="AT161" s="132"/>
      <c r="AU161" s="212"/>
    </row>
    <row r="162" spans="24:47" x14ac:dyDescent="0.2">
      <c r="AE162" s="211"/>
      <c r="AF162" s="132"/>
      <c r="AG162" s="132"/>
      <c r="AH162" s="132"/>
      <c r="AI162" s="132"/>
      <c r="AJ162" s="132"/>
      <c r="AK162" s="132"/>
      <c r="AL162" s="132"/>
      <c r="AM162" s="132"/>
      <c r="AN162" s="132"/>
      <c r="AO162" s="132"/>
      <c r="AP162" s="132"/>
      <c r="AQ162" s="132"/>
      <c r="AR162" s="132"/>
      <c r="AS162" s="132"/>
      <c r="AT162" s="132"/>
      <c r="AU162" s="212"/>
    </row>
    <row r="163" spans="24:47" x14ac:dyDescent="0.2">
      <c r="AE163" s="211"/>
      <c r="AF163" s="132"/>
      <c r="AG163" s="132"/>
      <c r="AH163" s="132"/>
      <c r="AI163" s="132"/>
      <c r="AJ163" s="132"/>
      <c r="AK163" s="132"/>
      <c r="AL163" s="132"/>
      <c r="AM163" s="132"/>
      <c r="AN163" s="132"/>
      <c r="AO163" s="132"/>
      <c r="AP163" s="132"/>
      <c r="AQ163" s="132"/>
      <c r="AR163" s="132"/>
      <c r="AS163" s="132"/>
      <c r="AT163" s="132"/>
      <c r="AU163" s="212"/>
    </row>
    <row r="164" spans="24:47" x14ac:dyDescent="0.2">
      <c r="AE164" s="211"/>
      <c r="AF164" s="132"/>
      <c r="AG164" s="132"/>
      <c r="AH164" s="132"/>
      <c r="AI164" s="132"/>
      <c r="AJ164" s="132"/>
      <c r="AK164" s="132"/>
      <c r="AL164" s="132"/>
      <c r="AM164" s="132"/>
      <c r="AN164" s="132"/>
      <c r="AO164" s="132"/>
      <c r="AP164" s="132"/>
      <c r="AQ164" s="132"/>
      <c r="AR164" s="132"/>
      <c r="AS164" s="132"/>
      <c r="AT164" s="132"/>
      <c r="AU164" s="212"/>
    </row>
    <row r="165" spans="24:47" x14ac:dyDescent="0.2">
      <c r="AE165" s="211"/>
      <c r="AF165" s="132"/>
      <c r="AG165" s="132"/>
      <c r="AH165" s="132"/>
      <c r="AI165" s="132"/>
      <c r="AJ165" s="132"/>
      <c r="AK165" s="132"/>
      <c r="AL165" s="132"/>
      <c r="AM165" s="132"/>
      <c r="AN165" s="132"/>
      <c r="AO165" s="132"/>
      <c r="AP165" s="132"/>
      <c r="AQ165" s="132"/>
      <c r="AR165" s="132"/>
      <c r="AS165" s="132"/>
      <c r="AT165" s="132"/>
      <c r="AU165" s="212"/>
    </row>
    <row r="166" spans="24:47" x14ac:dyDescent="0.2">
      <c r="AE166" s="211"/>
      <c r="AF166" s="132"/>
      <c r="AG166" s="132"/>
      <c r="AH166" s="132"/>
      <c r="AI166" s="132"/>
      <c r="AJ166" s="132"/>
      <c r="AK166" s="132"/>
      <c r="AL166" s="132"/>
      <c r="AM166" s="132"/>
      <c r="AN166" s="132"/>
      <c r="AO166" s="132"/>
      <c r="AP166" s="132"/>
      <c r="AQ166" s="132"/>
      <c r="AR166" s="132"/>
      <c r="AS166" s="132"/>
      <c r="AT166" s="132"/>
    </row>
    <row r="167" spans="24:47" x14ac:dyDescent="0.2">
      <c r="AE167" s="211"/>
      <c r="AF167" s="132"/>
      <c r="AG167" s="132"/>
      <c r="AH167" s="132"/>
      <c r="AI167" s="132"/>
      <c r="AJ167" s="132"/>
      <c r="AK167" s="132"/>
      <c r="AL167" s="132"/>
      <c r="AM167" s="132"/>
      <c r="AN167" s="132"/>
      <c r="AO167" s="132"/>
      <c r="AP167" s="132"/>
      <c r="AQ167" s="132"/>
      <c r="AR167" s="132"/>
      <c r="AS167" s="132"/>
      <c r="AT167" s="132"/>
    </row>
    <row r="168" spans="24:47" x14ac:dyDescent="0.2">
      <c r="AE168" s="211"/>
      <c r="AF168" s="132"/>
      <c r="AG168" s="132"/>
      <c r="AH168" s="132"/>
      <c r="AI168" s="132"/>
      <c r="AJ168" s="132"/>
      <c r="AK168" s="132"/>
      <c r="AL168" s="132"/>
      <c r="AM168" s="132"/>
      <c r="AN168" s="132"/>
      <c r="AO168" s="132"/>
      <c r="AP168" s="132"/>
      <c r="AQ168" s="132"/>
      <c r="AR168" s="132"/>
      <c r="AS168" s="132"/>
      <c r="AT168" s="132"/>
    </row>
    <row r="169" spans="24:47" x14ac:dyDescent="0.2">
      <c r="AE169" s="211"/>
      <c r="AF169" s="132"/>
      <c r="AG169" s="132"/>
      <c r="AH169" s="132"/>
      <c r="AI169" s="132"/>
      <c r="AJ169" s="132"/>
      <c r="AK169" s="132"/>
      <c r="AL169" s="132"/>
      <c r="AM169" s="132"/>
      <c r="AN169" s="132"/>
      <c r="AO169" s="132"/>
      <c r="AP169" s="132"/>
      <c r="AQ169" s="132"/>
      <c r="AR169" s="132"/>
      <c r="AS169" s="132"/>
      <c r="AT169" s="132"/>
    </row>
    <row r="170" spans="24:47" x14ac:dyDescent="0.2">
      <c r="AE170" s="211"/>
      <c r="AF170" s="132"/>
      <c r="AG170" s="132"/>
      <c r="AH170" s="132"/>
      <c r="AI170" s="132"/>
      <c r="AJ170" s="132"/>
      <c r="AK170" s="132"/>
      <c r="AL170" s="132"/>
      <c r="AM170" s="132"/>
      <c r="AN170" s="132"/>
      <c r="AO170" s="132"/>
      <c r="AP170" s="132"/>
      <c r="AQ170" s="132"/>
      <c r="AR170" s="132"/>
      <c r="AS170" s="132"/>
      <c r="AT170" s="132"/>
    </row>
    <row r="171" spans="24:47" x14ac:dyDescent="0.2">
      <c r="AE171" s="211"/>
      <c r="AF171" s="132"/>
      <c r="AG171" s="132"/>
      <c r="AH171" s="132"/>
      <c r="AI171" s="132"/>
      <c r="AJ171" s="132"/>
      <c r="AK171" s="132"/>
      <c r="AL171" s="132"/>
      <c r="AM171" s="132"/>
      <c r="AN171" s="132"/>
      <c r="AO171" s="132"/>
      <c r="AP171" s="132"/>
      <c r="AQ171" s="132"/>
      <c r="AR171" s="132"/>
      <c r="AS171" s="132"/>
      <c r="AT171" s="132"/>
    </row>
    <row r="172" spans="24:47" x14ac:dyDescent="0.2">
      <c r="AE172" s="211"/>
      <c r="AG172" s="132"/>
      <c r="AH172" s="132"/>
      <c r="AI172" s="132"/>
      <c r="AJ172" s="132"/>
      <c r="AK172" s="132"/>
      <c r="AL172" s="132"/>
      <c r="AM172" s="132"/>
      <c r="AN172" s="132"/>
    </row>
    <row r="173" spans="24:47" ht="15" customHeight="1" x14ac:dyDescent="0.2">
      <c r="X173" s="132"/>
      <c r="Y173" s="132"/>
      <c r="AE173" s="211"/>
      <c r="AF173" s="132"/>
      <c r="AG173" s="132"/>
      <c r="AH173" s="132"/>
      <c r="AI173" s="132"/>
      <c r="AJ173" s="132"/>
      <c r="AK173" s="132"/>
      <c r="AL173" s="132"/>
      <c r="AM173" s="132"/>
      <c r="AN173" s="132"/>
      <c r="AO173" s="132"/>
      <c r="AP173" s="132"/>
      <c r="AQ173" s="132"/>
      <c r="AR173" s="132"/>
      <c r="AS173" s="132"/>
      <c r="AT173" s="132"/>
    </row>
    <row r="174" spans="24:47" x14ac:dyDescent="0.2">
      <c r="AE174" s="211"/>
      <c r="AF174" s="132"/>
      <c r="AG174" s="132"/>
      <c r="AH174" s="132"/>
      <c r="AI174" s="132"/>
      <c r="AJ174" s="132"/>
      <c r="AK174" s="132"/>
      <c r="AL174" s="132"/>
      <c r="AM174" s="132"/>
      <c r="AN174" s="132"/>
      <c r="AO174" s="132"/>
      <c r="AP174" s="132"/>
      <c r="AQ174" s="132"/>
      <c r="AR174" s="132"/>
      <c r="AS174" s="132"/>
      <c r="AT174" s="132"/>
    </row>
    <row r="175" spans="24:47" x14ac:dyDescent="0.2">
      <c r="AE175" s="211"/>
      <c r="AF175" s="132"/>
      <c r="AG175" s="132"/>
      <c r="AH175" s="132"/>
      <c r="AI175" s="132"/>
      <c r="AJ175" s="132"/>
      <c r="AK175" s="132"/>
      <c r="AL175" s="132"/>
      <c r="AM175" s="132"/>
      <c r="AN175" s="132"/>
      <c r="AO175" s="132"/>
      <c r="AP175" s="132"/>
      <c r="AQ175" s="132"/>
      <c r="AR175" s="132"/>
      <c r="AS175" s="132"/>
      <c r="AT175" s="132"/>
    </row>
    <row r="176" spans="24:47" x14ac:dyDescent="0.2">
      <c r="AE176" s="211"/>
      <c r="AF176" s="132"/>
      <c r="AG176" s="132"/>
      <c r="AH176" s="132"/>
      <c r="AI176" s="132"/>
      <c r="AJ176" s="132"/>
      <c r="AK176" s="132"/>
      <c r="AL176" s="132"/>
      <c r="AM176" s="132"/>
      <c r="AN176" s="132"/>
      <c r="AO176" s="132"/>
      <c r="AP176" s="132"/>
      <c r="AQ176" s="132"/>
      <c r="AR176" s="132"/>
      <c r="AS176" s="132"/>
      <c r="AT176" s="132"/>
    </row>
    <row r="177" spans="31:46" x14ac:dyDescent="0.2">
      <c r="AE177" s="211"/>
      <c r="AF177" s="132"/>
      <c r="AG177" s="132"/>
      <c r="AH177" s="132"/>
      <c r="AI177" s="132"/>
      <c r="AJ177" s="132"/>
      <c r="AK177" s="132"/>
      <c r="AL177" s="132"/>
      <c r="AM177" s="132"/>
      <c r="AN177" s="132"/>
      <c r="AO177" s="132"/>
      <c r="AP177" s="132"/>
      <c r="AQ177" s="132"/>
      <c r="AR177" s="132"/>
      <c r="AS177" s="132"/>
      <c r="AT177" s="132"/>
    </row>
    <row r="178" spans="31:46" x14ac:dyDescent="0.2">
      <c r="AE178" s="211"/>
      <c r="AF178" s="132"/>
      <c r="AG178" s="132"/>
      <c r="AH178" s="132"/>
      <c r="AI178" s="132"/>
      <c r="AJ178" s="132"/>
      <c r="AK178" s="132"/>
      <c r="AL178" s="132"/>
      <c r="AM178" s="132"/>
      <c r="AN178" s="132"/>
      <c r="AO178" s="132"/>
      <c r="AP178" s="132"/>
      <c r="AQ178" s="132"/>
      <c r="AR178" s="132"/>
      <c r="AS178" s="132"/>
      <c r="AT178" s="132"/>
    </row>
    <row r="179" spans="31:46" x14ac:dyDescent="0.2">
      <c r="AE179" s="211"/>
      <c r="AF179" s="132"/>
      <c r="AG179" s="132"/>
      <c r="AH179" s="132"/>
      <c r="AI179" s="132"/>
      <c r="AJ179" s="132"/>
      <c r="AK179" s="132"/>
      <c r="AL179" s="132"/>
      <c r="AM179" s="132"/>
      <c r="AN179" s="132"/>
      <c r="AO179" s="132"/>
      <c r="AP179" s="132"/>
      <c r="AQ179" s="132"/>
      <c r="AR179" s="132"/>
      <c r="AS179" s="132"/>
      <c r="AT179" s="132"/>
    </row>
    <row r="180" spans="31:46" x14ac:dyDescent="0.2">
      <c r="AE180" s="211"/>
      <c r="AF180" s="132"/>
      <c r="AG180" s="132"/>
      <c r="AH180" s="132"/>
      <c r="AI180" s="132"/>
      <c r="AJ180" s="132"/>
      <c r="AK180" s="132"/>
      <c r="AL180" s="132"/>
      <c r="AM180" s="132"/>
      <c r="AN180" s="132"/>
      <c r="AO180" s="132"/>
      <c r="AP180" s="132"/>
      <c r="AQ180" s="132"/>
      <c r="AR180" s="132"/>
      <c r="AS180" s="132"/>
      <c r="AT180" s="132"/>
    </row>
    <row r="181" spans="31:46" x14ac:dyDescent="0.2">
      <c r="AE181" s="211"/>
      <c r="AF181" s="132"/>
      <c r="AG181" s="132"/>
      <c r="AH181" s="132"/>
      <c r="AI181" s="132"/>
      <c r="AJ181" s="132"/>
      <c r="AK181" s="132"/>
      <c r="AL181" s="132"/>
      <c r="AM181" s="132"/>
      <c r="AN181" s="132"/>
      <c r="AO181" s="132"/>
      <c r="AP181" s="132"/>
      <c r="AQ181" s="132"/>
      <c r="AR181" s="132"/>
      <c r="AS181" s="132"/>
      <c r="AT181" s="132"/>
    </row>
    <row r="182" spans="31:46" x14ac:dyDescent="0.2">
      <c r="AE182" s="211"/>
      <c r="AF182" s="132"/>
      <c r="AG182" s="132"/>
      <c r="AH182" s="132"/>
      <c r="AI182" s="132"/>
      <c r="AJ182" s="132"/>
      <c r="AK182" s="132"/>
      <c r="AL182" s="132"/>
      <c r="AM182" s="132"/>
      <c r="AN182" s="132"/>
      <c r="AO182" s="132"/>
      <c r="AP182" s="132"/>
      <c r="AQ182" s="132"/>
      <c r="AR182" s="132"/>
      <c r="AS182" s="132"/>
      <c r="AT182" s="132"/>
    </row>
    <row r="183" spans="31:46" x14ac:dyDescent="0.2">
      <c r="AE183" s="211"/>
      <c r="AF183" s="132"/>
      <c r="AG183" s="132"/>
      <c r="AH183" s="132"/>
      <c r="AI183" s="132"/>
      <c r="AJ183" s="132"/>
      <c r="AK183" s="132"/>
      <c r="AL183" s="132"/>
      <c r="AM183" s="132"/>
      <c r="AN183" s="132"/>
      <c r="AO183" s="132"/>
      <c r="AP183" s="132"/>
      <c r="AQ183" s="132"/>
      <c r="AR183" s="132"/>
      <c r="AS183" s="132"/>
      <c r="AT183" s="132"/>
    </row>
    <row r="184" spans="31:46" x14ac:dyDescent="0.2">
      <c r="AE184" s="211"/>
      <c r="AF184" s="132"/>
      <c r="AG184" s="132"/>
      <c r="AH184" s="132"/>
      <c r="AI184" s="132"/>
      <c r="AJ184" s="132"/>
      <c r="AK184" s="132"/>
      <c r="AL184" s="132"/>
      <c r="AM184" s="132"/>
      <c r="AN184" s="132"/>
      <c r="AO184" s="132"/>
      <c r="AP184" s="132"/>
      <c r="AQ184" s="132"/>
      <c r="AR184" s="132"/>
      <c r="AS184" s="132"/>
      <c r="AT184" s="132"/>
    </row>
    <row r="185" spans="31:46" x14ac:dyDescent="0.2">
      <c r="AE185" s="211"/>
      <c r="AF185" s="132"/>
      <c r="AG185" s="132"/>
      <c r="AH185" s="132"/>
      <c r="AI185" s="132"/>
      <c r="AJ185" s="132"/>
      <c r="AK185" s="132"/>
      <c r="AL185" s="132"/>
      <c r="AM185" s="132"/>
      <c r="AN185" s="132"/>
      <c r="AO185" s="132"/>
      <c r="AP185" s="132"/>
      <c r="AQ185" s="132"/>
      <c r="AR185" s="132"/>
      <c r="AS185" s="132"/>
      <c r="AT185" s="132"/>
    </row>
    <row r="186" spans="31:46" x14ac:dyDescent="0.2">
      <c r="AE186" s="211"/>
      <c r="AG186" s="132"/>
      <c r="AH186" s="132"/>
      <c r="AI186" s="132"/>
      <c r="AJ186" s="132"/>
      <c r="AK186" s="132"/>
      <c r="AL186" s="132"/>
      <c r="AM186" s="132"/>
      <c r="AN186" s="132"/>
    </row>
    <row r="187" spans="31:46" x14ac:dyDescent="0.2">
      <c r="AE187" s="211"/>
      <c r="AF187" s="132"/>
      <c r="AG187" s="132"/>
      <c r="AH187" s="132"/>
      <c r="AI187" s="132"/>
      <c r="AJ187" s="132"/>
      <c r="AK187" s="132"/>
      <c r="AL187" s="132"/>
      <c r="AM187" s="132"/>
      <c r="AN187" s="132"/>
      <c r="AO187" s="132"/>
      <c r="AP187" s="132"/>
      <c r="AQ187" s="132"/>
      <c r="AR187" s="132"/>
      <c r="AS187" s="132"/>
      <c r="AT187" s="132"/>
    </row>
    <row r="188" spans="31:46" x14ac:dyDescent="0.2">
      <c r="AE188" s="211"/>
      <c r="AF188" s="132"/>
      <c r="AG188" s="132"/>
      <c r="AH188" s="132"/>
      <c r="AI188" s="132"/>
      <c r="AJ188" s="132"/>
      <c r="AK188" s="132"/>
      <c r="AL188" s="132"/>
      <c r="AM188" s="132"/>
      <c r="AN188" s="132"/>
      <c r="AO188" s="132"/>
      <c r="AP188" s="132"/>
      <c r="AQ188" s="132"/>
      <c r="AR188" s="132"/>
      <c r="AS188" s="132"/>
      <c r="AT188" s="132"/>
    </row>
    <row r="189" spans="31:46" x14ac:dyDescent="0.2">
      <c r="AE189" s="211"/>
      <c r="AF189" s="132"/>
      <c r="AG189" s="132"/>
      <c r="AH189" s="132"/>
      <c r="AI189" s="132"/>
      <c r="AJ189" s="132"/>
      <c r="AK189" s="132"/>
      <c r="AL189" s="132"/>
      <c r="AM189" s="132"/>
      <c r="AN189" s="132"/>
      <c r="AO189" s="132"/>
      <c r="AP189" s="132"/>
      <c r="AQ189" s="132"/>
      <c r="AR189" s="132"/>
      <c r="AS189" s="132"/>
      <c r="AT189" s="132"/>
    </row>
    <row r="190" spans="31:46" x14ac:dyDescent="0.2">
      <c r="AE190" s="211"/>
      <c r="AF190" s="132"/>
      <c r="AG190" s="132"/>
      <c r="AH190" s="132"/>
      <c r="AI190" s="132"/>
      <c r="AJ190" s="132"/>
      <c r="AK190" s="132"/>
      <c r="AL190" s="132"/>
      <c r="AM190" s="132"/>
      <c r="AN190" s="132"/>
      <c r="AO190" s="132"/>
      <c r="AP190" s="132"/>
      <c r="AQ190" s="132"/>
      <c r="AR190" s="132"/>
      <c r="AS190" s="132"/>
      <c r="AT190" s="132"/>
    </row>
    <row r="191" spans="31:46" x14ac:dyDescent="0.2">
      <c r="AE191" s="211"/>
      <c r="AF191" s="132"/>
      <c r="AG191" s="132"/>
      <c r="AH191" s="132"/>
      <c r="AI191" s="132"/>
      <c r="AJ191" s="132"/>
      <c r="AK191" s="132"/>
      <c r="AL191" s="132"/>
      <c r="AM191" s="132"/>
      <c r="AN191" s="132"/>
      <c r="AO191" s="132"/>
      <c r="AP191" s="132"/>
      <c r="AQ191" s="132"/>
      <c r="AR191" s="132"/>
      <c r="AS191" s="132"/>
      <c r="AT191" s="132"/>
    </row>
    <row r="192" spans="31:46" x14ac:dyDescent="0.2">
      <c r="AE192" s="211"/>
      <c r="AF192" s="132"/>
      <c r="AG192" s="132"/>
      <c r="AH192" s="132"/>
      <c r="AI192" s="132"/>
      <c r="AJ192" s="132"/>
      <c r="AK192" s="132"/>
      <c r="AL192" s="132"/>
      <c r="AM192" s="132"/>
      <c r="AN192" s="132"/>
      <c r="AO192" s="132"/>
      <c r="AP192" s="132"/>
      <c r="AQ192" s="132"/>
      <c r="AR192" s="132"/>
      <c r="AS192" s="132"/>
      <c r="AT192" s="132"/>
    </row>
    <row r="193" spans="31:46" x14ac:dyDescent="0.2">
      <c r="AE193" s="211"/>
      <c r="AF193" s="132"/>
      <c r="AG193" s="132"/>
      <c r="AH193" s="132"/>
      <c r="AI193" s="132"/>
      <c r="AJ193" s="132"/>
      <c r="AK193" s="132"/>
      <c r="AL193" s="132"/>
      <c r="AM193" s="132"/>
      <c r="AN193" s="132"/>
      <c r="AO193" s="132"/>
      <c r="AP193" s="132"/>
      <c r="AQ193" s="132"/>
      <c r="AR193" s="132"/>
      <c r="AS193" s="132"/>
      <c r="AT193" s="132"/>
    </row>
    <row r="194" spans="31:46" x14ac:dyDescent="0.2">
      <c r="AE194" s="211"/>
      <c r="AF194" s="132"/>
      <c r="AG194" s="132"/>
      <c r="AH194" s="132"/>
      <c r="AI194" s="132"/>
      <c r="AJ194" s="132"/>
      <c r="AK194" s="132"/>
      <c r="AL194" s="132"/>
      <c r="AM194" s="132"/>
      <c r="AN194" s="132"/>
      <c r="AO194" s="132"/>
      <c r="AP194" s="132"/>
      <c r="AQ194" s="132"/>
      <c r="AR194" s="132"/>
      <c r="AS194" s="132"/>
      <c r="AT194" s="132"/>
    </row>
    <row r="195" spans="31:46" x14ac:dyDescent="0.2">
      <c r="AE195" s="211"/>
      <c r="AF195" s="132"/>
      <c r="AG195" s="132"/>
      <c r="AH195" s="132"/>
      <c r="AI195" s="132"/>
      <c r="AJ195" s="132"/>
      <c r="AK195" s="132"/>
      <c r="AL195" s="132"/>
      <c r="AM195" s="132"/>
      <c r="AN195" s="132"/>
      <c r="AO195" s="132"/>
      <c r="AP195" s="132"/>
      <c r="AQ195" s="132"/>
      <c r="AR195" s="132"/>
      <c r="AS195" s="132"/>
      <c r="AT195" s="132"/>
    </row>
    <row r="196" spans="31:46" x14ac:dyDescent="0.2">
      <c r="AE196" s="211"/>
      <c r="AF196" s="132"/>
      <c r="AG196" s="132"/>
      <c r="AH196" s="132"/>
      <c r="AI196" s="132"/>
      <c r="AJ196" s="132"/>
      <c r="AK196" s="132"/>
      <c r="AL196" s="132"/>
      <c r="AM196" s="132"/>
      <c r="AN196" s="132"/>
      <c r="AO196" s="132"/>
      <c r="AP196" s="132"/>
      <c r="AQ196" s="132"/>
      <c r="AR196" s="132"/>
      <c r="AS196" s="132"/>
      <c r="AT196" s="132"/>
    </row>
    <row r="197" spans="31:46" x14ac:dyDescent="0.2">
      <c r="AE197" s="211"/>
      <c r="AF197" s="132"/>
      <c r="AG197" s="132"/>
      <c r="AH197" s="132"/>
      <c r="AI197" s="132"/>
      <c r="AJ197" s="132"/>
      <c r="AK197" s="132"/>
      <c r="AL197" s="132"/>
      <c r="AM197" s="132"/>
      <c r="AN197" s="132"/>
      <c r="AO197" s="132"/>
      <c r="AP197" s="132"/>
      <c r="AQ197" s="132"/>
      <c r="AR197" s="132"/>
      <c r="AS197" s="132"/>
      <c r="AT197" s="132"/>
    </row>
    <row r="198" spans="31:46" x14ac:dyDescent="0.2">
      <c r="AE198" s="211"/>
      <c r="AF198" s="132"/>
      <c r="AG198" s="132"/>
      <c r="AH198" s="132"/>
      <c r="AI198" s="132"/>
      <c r="AJ198" s="132"/>
      <c r="AK198" s="132"/>
      <c r="AL198" s="132"/>
      <c r="AM198" s="132"/>
      <c r="AN198" s="132"/>
      <c r="AO198" s="132"/>
      <c r="AP198" s="132"/>
      <c r="AQ198" s="132"/>
      <c r="AR198" s="132"/>
      <c r="AS198" s="132"/>
      <c r="AT198" s="132"/>
    </row>
    <row r="199" spans="31:46" x14ac:dyDescent="0.2">
      <c r="AE199" s="211"/>
      <c r="AF199" s="132"/>
      <c r="AG199" s="132"/>
      <c r="AH199" s="132"/>
      <c r="AI199" s="132"/>
      <c r="AJ199" s="132"/>
      <c r="AK199" s="132"/>
      <c r="AL199" s="132"/>
      <c r="AM199" s="132"/>
      <c r="AN199" s="132"/>
      <c r="AO199" s="132"/>
      <c r="AP199" s="132"/>
      <c r="AQ199" s="132"/>
      <c r="AR199" s="132"/>
      <c r="AS199" s="132"/>
      <c r="AT199" s="132"/>
    </row>
    <row r="200" spans="31:46" x14ac:dyDescent="0.2">
      <c r="AE200" s="211"/>
    </row>
    <row r="201" spans="31:46" x14ac:dyDescent="0.2">
      <c r="AE201" s="211"/>
      <c r="AF201" s="132"/>
      <c r="AG201" s="132"/>
      <c r="AH201" s="132"/>
      <c r="AI201" s="132"/>
      <c r="AJ201" s="132"/>
      <c r="AK201" s="132"/>
      <c r="AL201" s="132"/>
      <c r="AM201" s="132"/>
      <c r="AN201" s="132"/>
      <c r="AO201" s="132"/>
      <c r="AP201" s="132"/>
      <c r="AQ201" s="132"/>
      <c r="AR201" s="132"/>
      <c r="AS201" s="132"/>
      <c r="AT201" s="132"/>
    </row>
    <row r="202" spans="31:46" x14ac:dyDescent="0.2">
      <c r="AE202" s="211"/>
      <c r="AF202" s="132"/>
      <c r="AG202" s="132"/>
      <c r="AH202" s="132"/>
      <c r="AI202" s="132"/>
      <c r="AJ202" s="132"/>
      <c r="AK202" s="132"/>
      <c r="AL202" s="132"/>
      <c r="AM202" s="132"/>
      <c r="AN202" s="132"/>
      <c r="AO202" s="132"/>
      <c r="AP202" s="132"/>
      <c r="AQ202" s="132"/>
      <c r="AR202" s="132"/>
      <c r="AS202" s="132"/>
      <c r="AT202" s="132"/>
    </row>
    <row r="203" spans="31:46" x14ac:dyDescent="0.2">
      <c r="AE203" s="211"/>
      <c r="AF203" s="132"/>
      <c r="AG203" s="132"/>
      <c r="AH203" s="132"/>
      <c r="AI203" s="132"/>
      <c r="AJ203" s="132"/>
      <c r="AK203" s="132"/>
      <c r="AL203" s="132"/>
      <c r="AM203" s="132"/>
      <c r="AN203" s="132"/>
      <c r="AO203" s="132"/>
      <c r="AP203" s="132"/>
      <c r="AQ203" s="132"/>
      <c r="AR203" s="132"/>
      <c r="AS203" s="132"/>
      <c r="AT203" s="132"/>
    </row>
    <row r="204" spans="31:46" x14ac:dyDescent="0.2">
      <c r="AE204" s="211"/>
      <c r="AF204" s="132"/>
      <c r="AG204" s="132"/>
      <c r="AH204" s="132"/>
      <c r="AI204" s="132"/>
      <c r="AJ204" s="132"/>
      <c r="AK204" s="132"/>
      <c r="AL204" s="132"/>
      <c r="AM204" s="132"/>
      <c r="AN204" s="132"/>
      <c r="AO204" s="132"/>
      <c r="AP204" s="132"/>
      <c r="AQ204" s="132"/>
      <c r="AR204" s="132"/>
      <c r="AS204" s="132"/>
      <c r="AT204" s="132"/>
    </row>
    <row r="205" spans="31:46" x14ac:dyDescent="0.2">
      <c r="AE205" s="211"/>
      <c r="AF205" s="132"/>
      <c r="AG205" s="132"/>
      <c r="AH205" s="132"/>
      <c r="AI205" s="132"/>
      <c r="AJ205" s="132"/>
      <c r="AK205" s="132"/>
      <c r="AL205" s="132"/>
      <c r="AM205" s="132"/>
      <c r="AN205" s="132"/>
      <c r="AO205" s="132"/>
      <c r="AP205" s="132"/>
      <c r="AQ205" s="132"/>
      <c r="AR205" s="132"/>
      <c r="AS205" s="132"/>
      <c r="AT205" s="132"/>
    </row>
    <row r="206" spans="31:46" x14ac:dyDescent="0.2">
      <c r="AE206" s="211"/>
      <c r="AF206" s="132"/>
      <c r="AG206" s="132"/>
      <c r="AH206" s="132"/>
      <c r="AI206" s="132"/>
      <c r="AJ206" s="132"/>
      <c r="AK206" s="132"/>
      <c r="AL206" s="132"/>
      <c r="AM206" s="132"/>
      <c r="AN206" s="132"/>
      <c r="AO206" s="132"/>
      <c r="AP206" s="132"/>
      <c r="AQ206" s="132"/>
      <c r="AR206" s="132"/>
      <c r="AS206" s="132"/>
      <c r="AT206" s="132"/>
    </row>
    <row r="207" spans="31:46" x14ac:dyDescent="0.2">
      <c r="AE207" s="211"/>
      <c r="AF207" s="132"/>
      <c r="AG207" s="132"/>
      <c r="AH207" s="132"/>
      <c r="AI207" s="132"/>
      <c r="AJ207" s="132"/>
      <c r="AK207" s="132"/>
      <c r="AL207" s="132"/>
      <c r="AM207" s="132"/>
      <c r="AN207" s="132"/>
      <c r="AO207" s="132"/>
      <c r="AP207" s="132"/>
      <c r="AQ207" s="132"/>
      <c r="AR207" s="132"/>
      <c r="AS207" s="132"/>
      <c r="AT207" s="132"/>
    </row>
    <row r="208" spans="31:46" x14ac:dyDescent="0.2">
      <c r="AE208" s="211"/>
      <c r="AF208" s="132"/>
      <c r="AG208" s="132"/>
      <c r="AH208" s="132"/>
      <c r="AI208" s="132"/>
      <c r="AJ208" s="132"/>
      <c r="AK208" s="132"/>
      <c r="AL208" s="132"/>
      <c r="AM208" s="132"/>
      <c r="AN208" s="132"/>
      <c r="AO208" s="132"/>
      <c r="AP208" s="132"/>
      <c r="AQ208" s="132"/>
      <c r="AR208" s="132"/>
      <c r="AS208" s="132"/>
      <c r="AT208" s="132"/>
    </row>
    <row r="209" spans="31:46" x14ac:dyDescent="0.2">
      <c r="AE209" s="211"/>
      <c r="AF209" s="132"/>
      <c r="AG209" s="132"/>
      <c r="AH209" s="132"/>
      <c r="AI209" s="132"/>
      <c r="AJ209" s="132"/>
      <c r="AK209" s="132"/>
      <c r="AL209" s="132"/>
      <c r="AM209" s="132"/>
      <c r="AN209" s="132"/>
      <c r="AO209" s="132"/>
      <c r="AP209" s="132"/>
      <c r="AQ209" s="132"/>
      <c r="AR209" s="132"/>
      <c r="AS209" s="132"/>
      <c r="AT209" s="132"/>
    </row>
    <row r="210" spans="31:46" x14ac:dyDescent="0.2">
      <c r="AE210" s="211"/>
      <c r="AF210" s="132"/>
      <c r="AG210" s="132"/>
      <c r="AH210" s="132"/>
      <c r="AI210" s="132"/>
      <c r="AJ210" s="132"/>
      <c r="AK210" s="132"/>
      <c r="AL210" s="132"/>
      <c r="AM210" s="132"/>
      <c r="AN210" s="132"/>
      <c r="AO210" s="132"/>
      <c r="AP210" s="132"/>
      <c r="AQ210" s="132"/>
      <c r="AR210" s="132"/>
      <c r="AS210" s="132"/>
      <c r="AT210" s="132"/>
    </row>
    <row r="211" spans="31:46" x14ac:dyDescent="0.2">
      <c r="AE211" s="211"/>
      <c r="AF211" s="132"/>
      <c r="AG211" s="132"/>
      <c r="AH211" s="132"/>
      <c r="AI211" s="132"/>
      <c r="AJ211" s="132"/>
      <c r="AK211" s="132"/>
      <c r="AL211" s="132"/>
      <c r="AM211" s="132"/>
      <c r="AN211" s="132"/>
      <c r="AO211" s="132"/>
      <c r="AP211" s="132"/>
      <c r="AQ211" s="132"/>
      <c r="AR211" s="132"/>
      <c r="AS211" s="132"/>
      <c r="AT211" s="132"/>
    </row>
    <row r="212" spans="31:46" x14ac:dyDescent="0.2">
      <c r="AE212" s="211"/>
      <c r="AF212" s="132"/>
      <c r="AG212" s="132"/>
      <c r="AH212" s="132"/>
      <c r="AI212" s="132"/>
      <c r="AJ212" s="132"/>
      <c r="AK212" s="132"/>
      <c r="AL212" s="132"/>
      <c r="AM212" s="132"/>
      <c r="AN212" s="132"/>
      <c r="AO212" s="132"/>
      <c r="AP212" s="132"/>
      <c r="AQ212" s="132"/>
      <c r="AR212" s="132"/>
      <c r="AS212" s="132"/>
      <c r="AT212" s="132"/>
    </row>
    <row r="213" spans="31:46" x14ac:dyDescent="0.2">
      <c r="AE213" s="211"/>
      <c r="AF213" s="132"/>
      <c r="AG213" s="132"/>
      <c r="AH213" s="132"/>
      <c r="AI213" s="132"/>
      <c r="AJ213" s="132"/>
      <c r="AK213" s="132"/>
      <c r="AL213" s="132"/>
      <c r="AM213" s="132"/>
      <c r="AN213" s="132"/>
      <c r="AO213" s="132"/>
      <c r="AP213" s="132"/>
      <c r="AQ213" s="132"/>
      <c r="AR213" s="132"/>
      <c r="AS213" s="132"/>
      <c r="AT213" s="132"/>
    </row>
    <row r="215" spans="31:46" x14ac:dyDescent="0.2">
      <c r="AE215" s="211"/>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3"/>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4"/>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4"/>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web5MDEhRNn43u2gDNU0c2PU+4QnTbGJ+7cD8MPWAZ4p5+qsbjHTl8gt/UMnldJtMli6OQJZhmOkkXumtrA+fA==" saltValue="et+hOdtIcBkydJk7d/rF5w==" spinCount="100000" sheet="1" objects="1" scenarios="1"/>
  <mergeCells count="219">
    <mergeCell ref="T114:U114"/>
    <mergeCell ref="E116:R118"/>
    <mergeCell ref="C98:AO98"/>
    <mergeCell ref="T104:U104"/>
    <mergeCell ref="T106:U106"/>
    <mergeCell ref="T108:U108"/>
    <mergeCell ref="T110:Y110"/>
    <mergeCell ref="T112:Y112"/>
    <mergeCell ref="AE90:AS92"/>
    <mergeCell ref="Z91:AB93"/>
    <mergeCell ref="H96:K96"/>
    <mergeCell ref="O96:R96"/>
    <mergeCell ref="AQ96:AR96"/>
    <mergeCell ref="AW96:AX96"/>
    <mergeCell ref="H85:K85"/>
    <mergeCell ref="O85:R85"/>
    <mergeCell ref="V85:Y85"/>
    <mergeCell ref="AE85:AL85"/>
    <mergeCell ref="AP86:AR86"/>
    <mergeCell ref="Z87:AB89"/>
    <mergeCell ref="AM87:AO87"/>
    <mergeCell ref="AM88:AR88"/>
    <mergeCell ref="AW76:AW80"/>
    <mergeCell ref="AX76:AX80"/>
    <mergeCell ref="AN78:AP78"/>
    <mergeCell ref="AN79:AP79"/>
    <mergeCell ref="AN80:AS80"/>
    <mergeCell ref="AE84:AL84"/>
    <mergeCell ref="AI57:AS57"/>
    <mergeCell ref="AE70:AL70"/>
    <mergeCell ref="AN70:AS70"/>
    <mergeCell ref="F72:I72"/>
    <mergeCell ref="L72:O72"/>
    <mergeCell ref="R72:U72"/>
    <mergeCell ref="X72:AA72"/>
    <mergeCell ref="AW48:AX48"/>
    <mergeCell ref="I49:K49"/>
    <mergeCell ref="AM49:AP49"/>
    <mergeCell ref="AE53:AG53"/>
    <mergeCell ref="AI53:AJ53"/>
    <mergeCell ref="AK53:AL53"/>
    <mergeCell ref="AM53:AN53"/>
    <mergeCell ref="AP53:AQ53"/>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E28:H28"/>
    <mergeCell ref="I28:L28"/>
    <mergeCell ref="M28:P28"/>
    <mergeCell ref="Q28:T28"/>
    <mergeCell ref="U28:X28"/>
    <mergeCell ref="Y28:AB28"/>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N14:O15"/>
    <mergeCell ref="R14:S15"/>
    <mergeCell ref="V14:W15"/>
    <mergeCell ref="Z14:AA15"/>
    <mergeCell ref="AD14:AE15"/>
    <mergeCell ref="AD16:AE17"/>
    <mergeCell ref="AH16:AI17"/>
    <mergeCell ref="AL16:AM17"/>
    <mergeCell ref="AP16:AQ17"/>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s>
  <conditionalFormatting sqref="AG45:AL45">
    <cfRule type="expression" dxfId="1267" priority="281">
      <formula>$AC$43="x"</formula>
    </cfRule>
  </conditionalFormatting>
  <conditionalFormatting sqref="AO44:AS44">
    <cfRule type="expression" dxfId="1266" priority="280">
      <formula>$AK$42="x"</formula>
    </cfRule>
  </conditionalFormatting>
  <conditionalFormatting sqref="AP7:AS7">
    <cfRule type="expression" dxfId="1265" priority="279">
      <formula>$AM$5&gt;0</formula>
    </cfRule>
  </conditionalFormatting>
  <conditionalFormatting sqref="E28:AR28">
    <cfRule type="expression" dxfId="1264" priority="264">
      <formula>AND($A$28&lt;&gt;"",F$10&lt;&gt;"")</formula>
    </cfRule>
  </conditionalFormatting>
  <conditionalFormatting sqref="F72:I72">
    <cfRule type="expression" dxfId="1263" priority="303">
      <formula>$F$72=""</formula>
    </cfRule>
  </conditionalFormatting>
  <conditionalFormatting sqref="H85:K85">
    <cfRule type="expression" dxfId="1262" priority="270">
      <formula>$H$85=""</formula>
    </cfRule>
  </conditionalFormatting>
  <conditionalFormatting sqref="O85:R85">
    <cfRule type="expression" dxfId="1261" priority="301">
      <formula>$O$85=""</formula>
    </cfRule>
  </conditionalFormatting>
  <conditionalFormatting sqref="V85:Y85">
    <cfRule type="expression" dxfId="1260" priority="269">
      <formula>$V$85=""</formula>
    </cfRule>
  </conditionalFormatting>
  <conditionalFormatting sqref="O96:R96">
    <cfRule type="expression" dxfId="1259" priority="267">
      <formula>$O$96=""</formula>
    </cfRule>
  </conditionalFormatting>
  <conditionalFormatting sqref="AM49:AP49">
    <cfRule type="expression" dxfId="1258" priority="163">
      <formula>$AM$49=""</formula>
    </cfRule>
  </conditionalFormatting>
  <conditionalFormatting sqref="AH54">
    <cfRule type="expression" dxfId="1257" priority="282">
      <formula>$AE$53=0</formula>
    </cfRule>
  </conditionalFormatting>
  <conditionalFormatting sqref="L72:O72">
    <cfRule type="expression" dxfId="1256" priority="273">
      <formula>$L$72=""</formula>
    </cfRule>
  </conditionalFormatting>
  <conditionalFormatting sqref="R72:U72">
    <cfRule type="expression" dxfId="1255" priority="272">
      <formula>$R$72=""</formula>
    </cfRule>
  </conditionalFormatting>
  <conditionalFormatting sqref="X72:AA72">
    <cfRule type="expression" dxfId="1254" priority="271">
      <formula>$X$72=""</formula>
    </cfRule>
  </conditionalFormatting>
  <conditionalFormatting sqref="AT5">
    <cfRule type="expression" dxfId="1253" priority="137">
      <formula>$AT$5=1</formula>
    </cfRule>
  </conditionalFormatting>
  <conditionalFormatting sqref="AM43:AQ43">
    <cfRule type="expression" dxfId="1252" priority="166">
      <formula>$AM$43=""</formula>
    </cfRule>
  </conditionalFormatting>
  <conditionalFormatting sqref="AR43:AS43">
    <cfRule type="expression" dxfId="1251" priority="136">
      <formula>$AR$43=""</formula>
    </cfRule>
  </conditionalFormatting>
  <conditionalFormatting sqref="AM45:AS45">
    <cfRule type="expression" dxfId="1250" priority="165">
      <formula>$AM$45=""</formula>
    </cfRule>
  </conditionalFormatting>
  <conditionalFormatting sqref="AE70:AL70">
    <cfRule type="expression" dxfId="1249" priority="147">
      <formula>$AE$70=""</formula>
    </cfRule>
  </conditionalFormatting>
  <conditionalFormatting sqref="AN70:AS70">
    <cfRule type="expression" dxfId="1248" priority="132">
      <formula>$AN$70=""</formula>
    </cfRule>
  </conditionalFormatting>
  <conditionalFormatting sqref="AN80:AS80">
    <cfRule type="expression" dxfId="1247" priority="128">
      <formula>$AN$80=""</formula>
    </cfRule>
  </conditionalFormatting>
  <conditionalFormatting sqref="H96:K96">
    <cfRule type="expression" dxfId="1246" priority="287">
      <formula>$H$96=""</formula>
    </cfRule>
  </conditionalFormatting>
  <conditionalFormatting sqref="AM88:AR88">
    <cfRule type="expression" dxfId="1245" priority="121">
      <formula>$AM$88=""</formula>
    </cfRule>
  </conditionalFormatting>
  <conditionalFormatting sqref="Y5:AF5">
    <cfRule type="expression" dxfId="1244" priority="258">
      <formula>$Y$5=""</formula>
    </cfRule>
  </conditionalFormatting>
  <conditionalFormatting sqref="Y6:AF6">
    <cfRule type="expression" dxfId="1243" priority="118">
      <formula>$Y$6=""</formula>
    </cfRule>
  </conditionalFormatting>
  <conditionalFormatting sqref="Y7:AF7">
    <cfRule type="expression" dxfId="1242" priority="117">
      <formula>$Y$7=""</formula>
    </cfRule>
  </conditionalFormatting>
  <conditionalFormatting sqref="AJ5:AL5">
    <cfRule type="expression" dxfId="1241" priority="254">
      <formula>$AJ$5=""</formula>
    </cfRule>
  </conditionalFormatting>
  <conditionalFormatting sqref="AJ6:AL6">
    <cfRule type="expression" dxfId="1240" priority="115">
      <formula>$AJ$6=""</formula>
    </cfRule>
  </conditionalFormatting>
  <conditionalFormatting sqref="AJ7:AL7">
    <cfRule type="expression" dxfId="1239" priority="114">
      <formula>$AJ$7=""</formula>
    </cfRule>
  </conditionalFormatting>
  <conditionalFormatting sqref="I49:K49">
    <cfRule type="expression" dxfId="1238" priority="113">
      <formula>$I$49=""</formula>
    </cfRule>
  </conditionalFormatting>
  <conditionalFormatting sqref="T45:U45">
    <cfRule type="expression" dxfId="1237" priority="112">
      <formula>$T$45=""</formula>
    </cfRule>
  </conditionalFormatting>
  <conditionalFormatting sqref="Z42:Z45">
    <cfRule type="expression" dxfId="1236" priority="111">
      <formula>$Z$42=""</formula>
    </cfRule>
  </conditionalFormatting>
  <conditionalFormatting sqref="AX33:AY42">
    <cfRule type="expression" dxfId="1235" priority="109">
      <formula>AW33=""</formula>
    </cfRule>
  </conditionalFormatting>
  <conditionalFormatting sqref="A9:A11">
    <cfRule type="expression" dxfId="1234" priority="50">
      <formula>$C$11&lt;36</formula>
    </cfRule>
  </conditionalFormatting>
  <conditionalFormatting sqref="A28">
    <cfRule type="expression" dxfId="1233" priority="107">
      <formula>$E$28&gt;0</formula>
    </cfRule>
  </conditionalFormatting>
  <conditionalFormatting sqref="AX33:AY42">
    <cfRule type="expression" dxfId="1232" priority="110">
      <formula>AX33=""</formula>
    </cfRule>
  </conditionalFormatting>
  <conditionalFormatting sqref="R112:Y114">
    <cfRule type="expression" dxfId="1231" priority="57">
      <formula>$T$110=""</formula>
    </cfRule>
  </conditionalFormatting>
  <conditionalFormatting sqref="AE53:AG53">
    <cfRule type="expression" dxfId="1230" priority="47">
      <formula>$AT$52=1</formula>
    </cfRule>
    <cfRule type="expression" dxfId="1229" priority="84">
      <formula>$AE$53=0</formula>
    </cfRule>
  </conditionalFormatting>
  <conditionalFormatting sqref="AW48:AX48">
    <cfRule type="expression" dxfId="1228" priority="83">
      <formula>$AW$48=""</formula>
    </cfRule>
  </conditionalFormatting>
  <conditionalFormatting sqref="AE84:AL84">
    <cfRule type="expression" dxfId="1227" priority="75">
      <formula>$AE$84=""</formula>
    </cfRule>
  </conditionalFormatting>
  <conditionalFormatting sqref="AB102:AB120">
    <cfRule type="expression" dxfId="1226" priority="73">
      <formula>$T$104&lt;&gt;105</formula>
    </cfRule>
  </conditionalFormatting>
  <conditionalFormatting sqref="AB120:AG120">
    <cfRule type="expression" dxfId="1225" priority="72">
      <formula>$T$104&lt;&gt;105</formula>
    </cfRule>
  </conditionalFormatting>
  <conditionalFormatting sqref="AG102:AG120">
    <cfRule type="expression" dxfId="1224" priority="71">
      <formula>AND($T$104&lt;&gt;105,$T$104&lt;&gt;85)</formula>
    </cfRule>
  </conditionalFormatting>
  <conditionalFormatting sqref="AB102:AG102">
    <cfRule type="expression" dxfId="1223" priority="70">
      <formula>$T$104&lt;&gt;105</formula>
    </cfRule>
  </conditionalFormatting>
  <conditionalFormatting sqref="AH120:AM120">
    <cfRule type="expression" dxfId="1222" priority="69">
      <formula>$T$104&lt;&gt;85</formula>
    </cfRule>
  </conditionalFormatting>
  <conditionalFormatting sqref="AH102:AM102">
    <cfRule type="expression" dxfId="1221" priority="68">
      <formula>$T$104&lt;&gt;85</formula>
    </cfRule>
  </conditionalFormatting>
  <conditionalFormatting sqref="AN102:AN120">
    <cfRule type="expression" dxfId="1220" priority="67">
      <formula>AND($T$104&lt;&gt;85,$T$104&lt;&gt;110)</formula>
    </cfRule>
  </conditionalFormatting>
  <conditionalFormatting sqref="AN120:AT120">
    <cfRule type="expression" dxfId="1219" priority="66">
      <formula>$T$104&lt;&gt;110</formula>
    </cfRule>
  </conditionalFormatting>
  <conditionalFormatting sqref="AT102:AT120">
    <cfRule type="expression" dxfId="1218" priority="65">
      <formula>$T$104&lt;&gt;110</formula>
    </cfRule>
  </conditionalFormatting>
  <conditionalFormatting sqref="AN102:AT102">
    <cfRule type="expression" dxfId="1217" priority="64">
      <formula>$T$104&lt;&gt;110</formula>
    </cfRule>
  </conditionalFormatting>
  <conditionalFormatting sqref="T104:U104">
    <cfRule type="expression" dxfId="1216" priority="63">
      <formula>$T$104=""</formula>
    </cfRule>
  </conditionalFormatting>
  <conditionalFormatting sqref="T106:U106">
    <cfRule type="expression" dxfId="1215" priority="62">
      <formula>$T$106=""</formula>
    </cfRule>
  </conditionalFormatting>
  <conditionalFormatting sqref="T108:U108">
    <cfRule type="expression" dxfId="1214" priority="61">
      <formula>$T$108=""</formula>
    </cfRule>
  </conditionalFormatting>
  <conditionalFormatting sqref="T114:U114">
    <cfRule type="expression" dxfId="1213" priority="60">
      <formula>$T$114=""</formula>
    </cfRule>
  </conditionalFormatting>
  <conditionalFormatting sqref="T110:Y110">
    <cfRule type="expression" dxfId="1212" priority="58">
      <formula>$T$110=""</formula>
    </cfRule>
  </conditionalFormatting>
  <conditionalFormatting sqref="T112:Y112">
    <cfRule type="expression" dxfId="1211" priority="59">
      <formula>$T$112=""</formula>
    </cfRule>
  </conditionalFormatting>
  <conditionalFormatting sqref="AI57:AS57">
    <cfRule type="expression" dxfId="1210" priority="162">
      <formula>$AI$57=""</formula>
    </cfRule>
  </conditionalFormatting>
  <conditionalFormatting sqref="AX25:AZ26">
    <cfRule type="expression" dxfId="1209" priority="52">
      <formula>$AX$25=""</formula>
    </cfRule>
  </conditionalFormatting>
  <conditionalFormatting sqref="AM87:AO87">
    <cfRule type="expression" dxfId="1208" priority="48">
      <formula>$AM$87=""</formula>
    </cfRule>
  </conditionalFormatting>
  <conditionalFormatting sqref="AT52">
    <cfRule type="expression" dxfId="1207" priority="46">
      <formula>$AT$52=1</formula>
    </cfRule>
  </conditionalFormatting>
  <conditionalFormatting sqref="AX76:AX80">
    <cfRule type="expression" dxfId="1206" priority="43">
      <formula>$AN$80=""</formula>
    </cfRule>
  </conditionalFormatting>
  <conditionalFormatting sqref="AB62">
    <cfRule type="expression" dxfId="1205" priority="42">
      <formula>$AB$62&gt;0</formula>
    </cfRule>
  </conditionalFormatting>
  <conditionalFormatting sqref="AB73">
    <cfRule type="expression" dxfId="1204" priority="41">
      <formula>$AB$73&gt;0</formula>
    </cfRule>
  </conditionalFormatting>
  <conditionalFormatting sqref="M6:Q6">
    <cfRule type="expression" dxfId="1203" priority="40">
      <formula>$M$6=""</formula>
    </cfRule>
  </conditionalFormatting>
  <conditionalFormatting sqref="AN78:AP78">
    <cfRule type="expression" dxfId="1202" priority="130">
      <formula>$AN$78=""</formula>
    </cfRule>
  </conditionalFormatting>
  <conditionalFormatting sqref="AN79:AP79">
    <cfRule type="expression" dxfId="1201" priority="129">
      <formula>$AN$79=""</formula>
    </cfRule>
  </conditionalFormatting>
  <conditionalFormatting sqref="AM46:AS46">
    <cfRule type="expression" dxfId="1200" priority="133">
      <formula>$AM$46=""</formula>
    </cfRule>
  </conditionalFormatting>
  <conditionalFormatting sqref="AM47:AS47">
    <cfRule type="expression" dxfId="1199" priority="31">
      <formula>$AM$47=""</formula>
    </cfRule>
  </conditionalFormatting>
  <conditionalFormatting sqref="AQ96:AR96">
    <cfRule type="expression" dxfId="1198" priority="17">
      <formula>$AQ$96=""</formula>
    </cfRule>
  </conditionalFormatting>
  <conditionalFormatting sqref="BD2:BI10">
    <cfRule type="expression" dxfId="1197" priority="7">
      <formula>$AW$2=""</formula>
    </cfRule>
  </conditionalFormatting>
  <conditionalFormatting sqref="AZ9:BA9">
    <cfRule type="expression" dxfId="1196" priority="6">
      <formula>$AZ$9=""</formula>
    </cfRule>
  </conditionalFormatting>
  <conditionalFormatting sqref="AZ10:BA10">
    <cfRule type="expression" dxfId="1195" priority="5">
      <formula>$AZ$10=""</formula>
    </cfRule>
  </conditionalFormatting>
  <dataValidations count="8">
    <dataValidation type="whole" allowBlank="1" showInputMessage="1" showErrorMessage="1" sqref="J58:M59 I46:K49" xr:uid="{9BD66884-B46B-4A28-AEF1-D7D945DEFA1C}">
      <formula1>0</formula1>
      <formula2>100000</formula2>
    </dataValidation>
    <dataValidation type="custom" operator="equal" allowBlank="1" showInputMessage="1" showErrorMessage="1" sqref="AA60 E33:E34 E40:E41 Q40:Q41 E6:E7 AN33 AN44 AA47:AA49" xr:uid="{0375B5E2-A4D1-442B-BCDF-027DB09B1926}">
      <formula1>E6="X"</formula1>
    </dataValidation>
    <dataValidation type="whole" allowBlank="1" showInputMessage="1" showErrorMessage="1" sqref="H21:I21 AJ21:AK21 L21:M21 P21:Q21 T21:U21 X21:Y21 AB21:AC21 AF21:AG21 AN21:AO21" xr:uid="{674817B2-69B1-49CD-9DDB-74B144443900}">
      <formula1>0</formula1>
      <formula2>360</formula2>
    </dataValidation>
    <dataValidation type="whole" allowBlank="1" showInputMessage="1" showErrorMessage="1" sqref="E28:AR28 Z42:Z45" xr:uid="{16B16E44-7A76-45BB-B0CF-6014B85C3454}">
      <formula1>0</formula1>
      <formula2>10000</formula2>
    </dataValidation>
    <dataValidation type="whole" allowBlank="1" showInputMessage="1" showErrorMessage="1" sqref="T45:U45" xr:uid="{4BE8D75D-44E5-41B8-B658-2B0B48A1A242}">
      <formula1>0</formula1>
      <formula2>3000</formula2>
    </dataValidation>
    <dataValidation type="date" operator="greaterThanOrEqual" allowBlank="1" showInputMessage="1" showErrorMessage="1" sqref="Y7:AF7" xr:uid="{FDAD8D5A-84F5-4A9E-B324-BFEA7ECE4506}">
      <formula1>TODAY()-3</formula1>
    </dataValidation>
    <dataValidation type="whole" operator="equal" allowBlank="1" showInputMessage="1" showErrorMessage="1" sqref="AB73 AB62" xr:uid="{863DCCE6-99F6-479B-9F5A-A64B7530AEC6}">
      <formula1>1</formula1>
    </dataValidation>
    <dataValidation type="whole" allowBlank="1" showInputMessage="1" showErrorMessage="1" sqref="AJ6:AL6" xr:uid="{D34EFB2D-B765-45D5-8D87-E2DA0D02842F}">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9218"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9219"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9220" r:id="rId7" name="Check Box 4">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9221" r:id="rId8" name="Check Box 5">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9222" r:id="rId9" name="Check Box 6">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9223" r:id="rId10" name="Check Box 7">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9225" r:id="rId12" name="Check Box 9">
              <controlPr locked="0" defaultSize="0" autoFill="0" autoLine="0" autoPict="0">
                <anchor moveWithCells="1">
                  <from>
                    <xdr:col>30</xdr:col>
                    <xdr:colOff>0</xdr:colOff>
                    <xdr:row>36</xdr:row>
                    <xdr:rowOff>0</xdr:rowOff>
                  </from>
                  <to>
                    <xdr:col>31</xdr:col>
                    <xdr:colOff>0</xdr:colOff>
                    <xdr:row>37</xdr:row>
                    <xdr:rowOff>0</xdr:rowOff>
                  </to>
                </anchor>
              </controlPr>
            </control>
          </mc:Choice>
        </mc:AlternateContent>
        <mc:AlternateContent xmlns:mc="http://schemas.openxmlformats.org/markup-compatibility/2006">
          <mc:Choice Requires="x14">
            <control shapeId="9226" r:id="rId13" name="Check Box 10">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9227" r:id="rId14" name="Check Box 11">
              <controlPr locked="0" defaultSize="0" autoFill="0" autoLine="0" autoPict="0">
                <anchor moveWithCells="1">
                  <from>
                    <xdr:col>42</xdr:col>
                    <xdr:colOff>0</xdr:colOff>
                    <xdr:row>5</xdr:row>
                    <xdr:rowOff>0</xdr:rowOff>
                  </from>
                  <to>
                    <xdr:col>43</xdr:col>
                    <xdr:colOff>0</xdr:colOff>
                    <xdr:row>6</xdr:row>
                    <xdr:rowOff>9525</xdr:rowOff>
                  </to>
                </anchor>
              </controlPr>
            </control>
          </mc:Choice>
        </mc:AlternateContent>
        <mc:AlternateContent xmlns:mc="http://schemas.openxmlformats.org/markup-compatibility/2006">
          <mc:Choice Requires="x14">
            <control shapeId="9228" r:id="rId15" name="Check Box 12">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9229" r:id="rId16" name="Check Box 13">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9230" r:id="rId17" name="Check Box 14">
              <controlPr locked="0" defaultSize="0" autoFill="0" autoLine="0" autoPict="0">
                <anchor moveWithCells="1">
                  <from>
                    <xdr:col>4</xdr:col>
                    <xdr:colOff>0</xdr:colOff>
                    <xdr:row>5</xdr:row>
                    <xdr:rowOff>0</xdr:rowOff>
                  </from>
                  <to>
                    <xdr:col>5</xdr:col>
                    <xdr:colOff>0</xdr:colOff>
                    <xdr:row>6</xdr:row>
                    <xdr:rowOff>9525</xdr:rowOff>
                  </to>
                </anchor>
              </controlPr>
            </control>
          </mc:Choice>
        </mc:AlternateContent>
        <mc:AlternateContent xmlns:mc="http://schemas.openxmlformats.org/markup-compatibility/2006">
          <mc:Choice Requires="x14">
            <control shapeId="9231" r:id="rId18" name="Check Box 15">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9232" r:id="rId19" name="Check Box 16">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9233" r:id="rId20" name="Check Box 17">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9234" r:id="rId21" name="Check Box 18">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9235" r:id="rId22" name="Check Box 19">
              <controlPr locked="0" defaultSize="0" autoFill="0" autoLine="0" autoPict="0">
                <anchor moveWithCells="1">
                  <from>
                    <xdr:col>9</xdr:col>
                    <xdr:colOff>114300</xdr:colOff>
                    <xdr:row>52</xdr:row>
                    <xdr:rowOff>114300</xdr:rowOff>
                  </from>
                  <to>
                    <xdr:col>10</xdr:col>
                    <xdr:colOff>114300</xdr:colOff>
                    <xdr:row>53</xdr:row>
                    <xdr:rowOff>114300</xdr:rowOff>
                  </to>
                </anchor>
              </controlPr>
            </control>
          </mc:Choice>
        </mc:AlternateContent>
        <mc:AlternateContent xmlns:mc="http://schemas.openxmlformats.org/markup-compatibility/2006">
          <mc:Choice Requires="x14">
            <control shapeId="9236" r:id="rId23" name="Check Box 20">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9237" r:id="rId24" name="Check Box 21">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9238" r:id="rId25" name="Check Box 22">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9239" r:id="rId26" name="Check Box 23">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9240" r:id="rId27" name="Check Box 24">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9241" r:id="rId28" name="Check Box 25">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9242" r:id="rId29" name="Check Box 26">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9243" r:id="rId30" name="Check Box 27">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9244" r:id="rId31" name="Check Box 28">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9245" r:id="rId32" name="Check Box 29">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9246" r:id="rId33" name="Check Box 30">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9247" r:id="rId34" name="Check Box 3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9248" r:id="rId35" name="Check Box 3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9249" r:id="rId36" name="Check Box 3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9250" r:id="rId37" name="Check Box 3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9251" r:id="rId38" name="Check Box 35">
              <controlPr locked="0" defaultSize="0" autoFill="0" autoLine="0" autoPict="0">
                <anchor moveWithCells="1">
                  <from>
                    <xdr:col>13</xdr:col>
                    <xdr:colOff>57150</xdr:colOff>
                    <xdr:row>81</xdr:row>
                    <xdr:rowOff>9525</xdr:rowOff>
                  </from>
                  <to>
                    <xdr:col>14</xdr:col>
                    <xdr:colOff>57150</xdr:colOff>
                    <xdr:row>82</xdr:row>
                    <xdr:rowOff>9525</xdr:rowOff>
                  </to>
                </anchor>
              </controlPr>
            </control>
          </mc:Choice>
        </mc:AlternateContent>
        <mc:AlternateContent xmlns:mc="http://schemas.openxmlformats.org/markup-compatibility/2006">
          <mc:Choice Requires="x14">
            <control shapeId="9252" r:id="rId39" name="Check Box 36">
              <controlPr locked="0" defaultSize="0" autoFill="0" autoLine="0" autoPict="0">
                <anchor moveWithCells="1">
                  <from>
                    <xdr:col>13</xdr:col>
                    <xdr:colOff>19050</xdr:colOff>
                    <xdr:row>62</xdr:row>
                    <xdr:rowOff>9525</xdr:rowOff>
                  </from>
                  <to>
                    <xdr:col>14</xdr:col>
                    <xdr:colOff>19050</xdr:colOff>
                    <xdr:row>63</xdr:row>
                    <xdr:rowOff>9525</xdr:rowOff>
                  </to>
                </anchor>
              </controlPr>
            </control>
          </mc:Choice>
        </mc:AlternateContent>
        <mc:AlternateContent xmlns:mc="http://schemas.openxmlformats.org/markup-compatibility/2006">
          <mc:Choice Requires="x14">
            <control shapeId="9253" r:id="rId40" name="Check Box 37">
              <controlPr locked="0" defaultSize="0" autoFill="0" autoLine="0" autoPict="0">
                <anchor moveWithCells="1">
                  <from>
                    <xdr:col>11</xdr:col>
                    <xdr:colOff>66675</xdr:colOff>
                    <xdr:row>68</xdr:row>
                    <xdr:rowOff>0</xdr:rowOff>
                  </from>
                  <to>
                    <xdr:col>12</xdr:col>
                    <xdr:colOff>66675</xdr:colOff>
                    <xdr:row>69</xdr:row>
                    <xdr:rowOff>0</xdr:rowOff>
                  </to>
                </anchor>
              </controlPr>
            </control>
          </mc:Choice>
        </mc:AlternateContent>
        <mc:AlternateContent xmlns:mc="http://schemas.openxmlformats.org/markup-compatibility/2006">
          <mc:Choice Requires="x14">
            <control shapeId="9254" r:id="rId41" name="Check Box 3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9255" r:id="rId42" name="Check Box 3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9256" r:id="rId43" name="Check Box 40">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9257" r:id="rId44" name="Check Box 41">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9258" r:id="rId45" name="Check Box 42">
              <controlPr locked="0" defaultSize="0" autoFill="0" autoLine="0" autoPict="0">
                <anchor moveWithCells="1">
                  <from>
                    <xdr:col>29</xdr:col>
                    <xdr:colOff>219075</xdr:colOff>
                    <xdr:row>55</xdr:row>
                    <xdr:rowOff>142875</xdr:rowOff>
                  </from>
                  <to>
                    <xdr:col>31</xdr:col>
                    <xdr:colOff>0</xdr:colOff>
                    <xdr:row>57</xdr:row>
                    <xdr:rowOff>0</xdr:rowOff>
                  </to>
                </anchor>
              </controlPr>
            </control>
          </mc:Choice>
        </mc:AlternateContent>
        <mc:AlternateContent xmlns:mc="http://schemas.openxmlformats.org/markup-compatibility/2006">
          <mc:Choice Requires="x14">
            <control shapeId="9259" r:id="rId46" name="Check Box 43">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9260" r:id="rId47" name="Check Box 4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9261" r:id="rId48" name="Check Box 45">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9262" r:id="rId49" name="Check Box 46">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9263" r:id="rId50" name="Check Box 47">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9" id="{B55270AC-3091-4B73-BC86-3D1CE4D24C98}">
            <xm:f>$A$9&lt;&gt;'Sprachen &amp; Rückgabewerte(2)'!$H$132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278" id="{8EE19223-395B-416B-A5B7-FB2090FF0EA2}">
            <xm:f>'Sprachen &amp; Rückgabewerte(2)'!$I$12=FALSE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36" id="{342CE826-11FB-4176-B76C-45029D43899C}">
            <xm:f>'Sprachen &amp; Rückgabewerte(2)'!$U$49=FALSE</xm:f>
            <x14:dxf>
              <border>
                <bottom style="thin">
                  <color rgb="FFFF0000"/>
                </bottom>
                <vertical/>
                <horizontal/>
              </border>
            </x14:dxf>
          </x14:cfRule>
          <x14:cfRule type="expression" priority="277" id="{97E34F17-04C1-4DED-8E13-C1C526DD2D1E}">
            <xm:f>AND('Sprachen &amp; Rückgabewerte(2)'!$I$11=FALSE,'Sprachen &amp; Rückgabewerte(2)'!$I$12=FALSE)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6" id="{5BFB7459-7E7A-4861-8864-DD2E57C185B7}">
            <xm:f>AND('Sprachen &amp; Rückgabewerte(2)'!$I$10=FALSE,'Sprachen &amp; Rückgabewerte(2)'!$I$11=FALSE,'Sprachen &amp; Rückgabewerte(2)'!$I$12=FALSE)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720AAB68-CAB9-48FB-894E-03B07D491D21}">
            <xm:f>AND($AP$86="",'Sprachen &amp; Rückgabewerte(2)'!$I$51=TRUE)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5" id="{F53A7611-7FBF-4C10-B9FD-95302658BDA2}">
            <xm:f>'Sprachen &amp; Rückgabewerte(2)'!$I$51=TRUE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4" id="{986A02C7-22BB-4F5A-ADDD-39A0FC74CBCC}">
            <xm:f>'Sprachen &amp; Rückgabewerte(2)'!$C$41=FALSE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8" id="{15F13A60-1BEB-4A8E-A56A-B23392F6BD73}">
            <xm:f>'Sprachen &amp; Rückgabewerte(2)'!$C$42=FALSE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3" id="{AAC6EC08-4352-4F21-A303-93A32E0BD8C7}">
            <xm:f>'Sprachen &amp; Rückgabewerte(2)'!$C$43=FALSE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2" id="{5707EBA6-FA7E-4061-9A38-F14B57BAA062}">
            <xm:f>'Sprachen &amp; Rückgabewerte(2)'!$C$44=FALSE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0" id="{AF9FFADD-CA4B-4BD9-BCF7-404C40F55F4F}">
            <xm:f>'Sprachen &amp; Rückgabewerte(2)'!$C$45=FALSE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5" id="{0316BFB6-9D59-474A-963F-AA15BE77B892}">
            <xm:f>'Sprachen &amp; Rückgabewerte(2)'!$C$46=FALSE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8" id="{F964170F-4B3D-46F6-B039-03EB722BFCC5}">
            <xm:f>'Sprachen &amp; Rückgabewerte(2)'!$C$47=FALSE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39" id="{B1C24C8D-9DB8-4452-BE5D-D3F9AA48DD0D}">
            <xm:f>'Sprachen &amp; Rückgabewerte(2)'!$C$49=FALSE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5" id="{DC6D7999-CEFF-436E-9131-604C9A0F44C7}">
            <xm:f>G$20='Sprachen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6" id="{08B8F433-1765-4588-8846-8436BECA59B9}">
            <xm:f>G$20='Sprachen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3" id="{25A30F0C-7A08-41E0-9A7E-F945A27E892A}">
            <xm:f>'Sprachen &amp; Rückgabewerte(2)'!$L$41=0</xm:f>
            <x14:dxf>
              <border>
                <left style="thin">
                  <color rgb="FFFF0000"/>
                </left>
                <vertical/>
                <horizontal/>
              </border>
            </x14:dxf>
          </x14:cfRule>
          <xm:sqref>C5:C8</xm:sqref>
        </x14:conditionalFormatting>
        <x14:conditionalFormatting xmlns:xm="http://schemas.microsoft.com/office/excel/2006/main">
          <x14:cfRule type="expression" priority="262" id="{D4C9283B-E903-4A6C-82E5-DF1C7D467B0B}">
            <xm:f>'Sprachen &amp; Rückgabewerte(2)'!$L$41=0</xm:f>
            <x14:dxf>
              <border>
                <top style="thin">
                  <color rgb="FFFF0000"/>
                </top>
                <vertical/>
                <horizontal/>
              </border>
            </x14:dxf>
          </x14:cfRule>
          <xm:sqref>C5:R5</xm:sqref>
        </x14:conditionalFormatting>
        <x14:conditionalFormatting xmlns:xm="http://schemas.microsoft.com/office/excel/2006/main">
          <x14:cfRule type="expression" priority="261" id="{775D8E21-296F-49C9-BA6F-77712B7D8105}">
            <xm:f>'Sprachen &amp; Rückgabewerte(2)'!$L$41=0</xm:f>
            <x14:dxf>
              <border>
                <right style="thin">
                  <color rgb="FFFF0000"/>
                </right>
                <vertical/>
                <horizontal/>
              </border>
            </x14:dxf>
          </x14:cfRule>
          <xm:sqref>R5:R8</xm:sqref>
        </x14:conditionalFormatting>
        <x14:conditionalFormatting xmlns:xm="http://schemas.microsoft.com/office/excel/2006/main">
          <x14:cfRule type="expression" priority="260" id="{ABD122EF-763B-4C99-A1C0-235DE750F293}">
            <xm:f>'Sprachen &amp; Rückgabewerte(2)'!$L$41=0</xm:f>
            <x14:dxf>
              <border>
                <bottom style="thin">
                  <color rgb="FFFF0000"/>
                </bottom>
                <vertical/>
                <horizontal/>
              </border>
            </x14:dxf>
          </x14:cfRule>
          <xm:sqref>C8:R8</xm:sqref>
        </x14:conditionalFormatting>
        <x14:conditionalFormatting xmlns:xm="http://schemas.microsoft.com/office/excel/2006/main">
          <x14:cfRule type="expression" priority="259" id="{FCBBF328-5310-4CF7-B9CA-928DD3566936}">
            <xm:f>'Sprachen &amp; Rückgabewerte(2)'!$L$42=0</xm:f>
            <x14:dxf>
              <border>
                <left style="thin">
                  <color rgb="FFFF0000"/>
                </left>
                <vertical/>
                <horizontal/>
              </border>
            </x14:dxf>
          </x14:cfRule>
          <xm:sqref>S5:S8</xm:sqref>
        </x14:conditionalFormatting>
        <x14:conditionalFormatting xmlns:xm="http://schemas.microsoft.com/office/excel/2006/main">
          <x14:cfRule type="expression" priority="119" id="{E8B437F2-D150-4221-B394-D5B7599E5234}">
            <xm:f>'Sprachen &amp; Rückgabewerte(2)'!$L$42=0</xm:f>
            <x14:dxf>
              <border>
                <top style="thin">
                  <color rgb="FFFF0000"/>
                </top>
                <vertical/>
                <horizontal/>
              </border>
            </x14:dxf>
          </x14:cfRule>
          <xm:sqref>S5:AG5</xm:sqref>
        </x14:conditionalFormatting>
        <x14:conditionalFormatting xmlns:xm="http://schemas.microsoft.com/office/excel/2006/main">
          <x14:cfRule type="expression" priority="257" id="{1A63805B-CE3E-4159-8EDC-68D92F98278A}">
            <xm:f>'Sprachen &amp; Rückgabewerte(2)'!$L$42=0</xm:f>
            <x14:dxf>
              <border>
                <right style="thin">
                  <color rgb="FFFF0000"/>
                </right>
                <vertical/>
                <horizontal/>
              </border>
            </x14:dxf>
          </x14:cfRule>
          <xm:sqref>AG5:AG8</xm:sqref>
        </x14:conditionalFormatting>
        <x14:conditionalFormatting xmlns:xm="http://schemas.microsoft.com/office/excel/2006/main">
          <x14:cfRule type="expression" priority="256" id="{D46B03CA-278B-4683-A247-7393FA215C6C}">
            <xm:f>'Sprachen &amp; Rückgabewerte(2)'!$L$42=0</xm:f>
            <x14:dxf>
              <border>
                <bottom style="thin">
                  <color rgb="FFFF0000"/>
                </bottom>
                <vertical/>
                <horizontal/>
              </border>
            </x14:dxf>
          </x14:cfRule>
          <xm:sqref>S8:AG8</xm:sqref>
        </x14:conditionalFormatting>
        <x14:conditionalFormatting xmlns:xm="http://schemas.microsoft.com/office/excel/2006/main">
          <x14:cfRule type="expression" priority="255" id="{31ADB2BD-6162-433E-AED8-509E1AD80B8A}">
            <xm:f>'Sprachen &amp; Rückgabewerte(2)'!$L$43=0</xm:f>
            <x14:dxf>
              <border>
                <left style="thin">
                  <color rgb="FFFF0000"/>
                </left>
                <vertical/>
                <horizontal/>
              </border>
            </x14:dxf>
          </x14:cfRule>
          <xm:sqref>AH5:AH8</xm:sqref>
        </x14:conditionalFormatting>
        <x14:conditionalFormatting xmlns:xm="http://schemas.microsoft.com/office/excel/2006/main">
          <x14:cfRule type="expression" priority="116" id="{3530A085-AB47-4D7F-9F32-41697B65B6EB}">
            <xm:f>'Sprachen &amp; Rückgabewerte(2)'!$L$43=0</xm:f>
            <x14:dxf>
              <border>
                <top style="thin">
                  <color rgb="FFFF0000"/>
                </top>
                <vertical/>
                <horizontal/>
              </border>
            </x14:dxf>
          </x14:cfRule>
          <xm:sqref>AH5:AM5</xm:sqref>
        </x14:conditionalFormatting>
        <x14:conditionalFormatting xmlns:xm="http://schemas.microsoft.com/office/excel/2006/main">
          <x14:cfRule type="expression" priority="253" id="{68081C94-A1C9-4347-8ED5-E6352B4FA112}">
            <xm:f>'Sprachen &amp; Rückgabewerte(2)'!$L$43=0</xm:f>
            <x14:dxf>
              <border>
                <right style="thin">
                  <color rgb="FFFF0000"/>
                </right>
                <vertical/>
                <horizontal/>
              </border>
            </x14:dxf>
          </x14:cfRule>
          <xm:sqref>AM5:AM8</xm:sqref>
        </x14:conditionalFormatting>
        <x14:conditionalFormatting xmlns:xm="http://schemas.microsoft.com/office/excel/2006/main">
          <x14:cfRule type="expression" priority="252" id="{0F486E47-4771-4174-906E-E1019CA7EB7D}">
            <xm:f>'Sprachen &amp; Rückgabewerte(2)'!$L$43=0</xm:f>
            <x14:dxf>
              <border>
                <bottom style="thin">
                  <color rgb="FFFF0000"/>
                </bottom>
                <vertical/>
                <horizontal/>
              </border>
            </x14:dxf>
          </x14:cfRule>
          <xm:sqref>AH8:AM8</xm:sqref>
        </x14:conditionalFormatting>
        <x14:conditionalFormatting xmlns:xm="http://schemas.microsoft.com/office/excel/2006/main">
          <x14:cfRule type="expression" priority="251" id="{23E14FB9-130E-4F40-B50F-08EEBBA5E399}">
            <xm:f>'Sprachen &amp; Rückgabewerte(2)'!$L$44=0</xm:f>
            <x14:dxf>
              <border>
                <left style="thin">
                  <color rgb="FFFF0000"/>
                </left>
                <vertical/>
                <horizontal/>
              </border>
            </x14:dxf>
          </x14:cfRule>
          <xm:sqref>AN5:AN8</xm:sqref>
        </x14:conditionalFormatting>
        <x14:conditionalFormatting xmlns:xm="http://schemas.microsoft.com/office/excel/2006/main">
          <x14:cfRule type="expression" priority="250" id="{294CBD96-BA4D-4801-A8B2-C5CFF5B61FAD}">
            <xm:f>'Sprachen &amp; Rückgabewerte(2)'!$L$44=0</xm:f>
            <x14:dxf>
              <border>
                <top style="thin">
                  <color rgb="FFFF0000"/>
                </top>
                <vertical/>
                <horizontal/>
              </border>
            </x14:dxf>
          </x14:cfRule>
          <xm:sqref>AN5:AT5</xm:sqref>
        </x14:conditionalFormatting>
        <x14:conditionalFormatting xmlns:xm="http://schemas.microsoft.com/office/excel/2006/main">
          <x14:cfRule type="expression" priority="249" id="{D4428DCA-D881-4A6E-80B4-C699F980CE99}">
            <xm:f>'Sprachen &amp; Rückgabewerte(2)'!$L$44=0</xm:f>
            <x14:dxf>
              <border>
                <right style="thin">
                  <color rgb="FFFF0000"/>
                </right>
                <vertical/>
                <horizontal/>
              </border>
            </x14:dxf>
          </x14:cfRule>
          <xm:sqref>AT5:AT8</xm:sqref>
        </x14:conditionalFormatting>
        <x14:conditionalFormatting xmlns:xm="http://schemas.microsoft.com/office/excel/2006/main">
          <x14:cfRule type="expression" priority="248" id="{27B60D90-4296-4C1F-8CEA-E98EE07BB1A3}">
            <xm:f>'Sprachen &amp; Rückgabewerte(2)'!$L$44=0</xm:f>
            <x14:dxf>
              <border>
                <bottom style="thin">
                  <color rgb="FFFF0000"/>
                </bottom>
                <vertical/>
                <horizontal/>
              </border>
            </x14:dxf>
          </x14:cfRule>
          <xm:sqref>AN8:AT8</xm:sqref>
        </x14:conditionalFormatting>
        <x14:conditionalFormatting xmlns:xm="http://schemas.microsoft.com/office/excel/2006/main">
          <x14:cfRule type="expression" priority="247" id="{E08061A4-8D17-4D74-B82F-547B23DE4464}">
            <xm:f>'Sprachen &amp; Rückgabewerte(2)'!$L$45=0</xm:f>
            <x14:dxf>
              <border>
                <left style="thin">
                  <color rgb="FFFF0000"/>
                </left>
                <vertical/>
                <horizontal/>
              </border>
            </x14:dxf>
          </x14:cfRule>
          <xm:sqref>C9:C30</xm:sqref>
        </x14:conditionalFormatting>
        <x14:conditionalFormatting xmlns:xm="http://schemas.microsoft.com/office/excel/2006/main">
          <x14:cfRule type="expression" priority="240" id="{394C2BC1-C96C-410D-BE1A-AB91F09A7C62}">
            <xm:f>'Sprachen &amp; Rückgabewerte(2)'!$L$46=0</xm:f>
            <x14:dxf>
              <border>
                <bottom style="thin">
                  <color rgb="FFFF0000"/>
                </bottom>
                <vertical/>
                <horizontal/>
              </border>
            </x14:dxf>
          </x14:cfRule>
          <x14:cfRule type="expression" priority="246" id="{752BBAE0-597A-4AE8-B0DB-CD41015CE4F2}">
            <xm:f>'Sprachen &amp; Rückgabewerte(2)'!$L$45=0</xm:f>
            <x14:dxf>
              <border>
                <bottom style="thin">
                  <color rgb="FFFF0000"/>
                </bottom>
                <vertical/>
                <horizontal/>
              </border>
            </x14:dxf>
          </x14:cfRule>
          <xm:sqref>C30:AT30</xm:sqref>
        </x14:conditionalFormatting>
        <x14:conditionalFormatting xmlns:xm="http://schemas.microsoft.com/office/excel/2006/main">
          <x14:cfRule type="expression" priority="245" id="{EC9E354F-5F42-4C63-83CC-007C3E488519}">
            <xm:f>'Sprachen &amp; Rückgabewerte(2)'!$L$45=0</xm:f>
            <x14:dxf>
              <border>
                <top style="thin">
                  <color rgb="FFFF0000"/>
                </top>
                <vertical/>
                <horizontal/>
              </border>
            </x14:dxf>
          </x14:cfRule>
          <xm:sqref>C9:AT9</xm:sqref>
        </x14:conditionalFormatting>
        <x14:conditionalFormatting xmlns:xm="http://schemas.microsoft.com/office/excel/2006/main">
          <x14:cfRule type="expression" priority="244" id="{212AE46B-E18C-42C8-9708-54D67FD144CF}">
            <xm:f>'Sprachen &amp; Rückgabewerte(2)'!$L$45=0</xm:f>
            <x14:dxf>
              <border>
                <right style="thin">
                  <color rgb="FFFF0000"/>
                </right>
                <vertical/>
                <horizontal/>
              </border>
            </x14:dxf>
          </x14:cfRule>
          <xm:sqref>AT9:AT30</xm:sqref>
        </x14:conditionalFormatting>
        <x14:conditionalFormatting xmlns:xm="http://schemas.microsoft.com/office/excel/2006/main">
          <x14:cfRule type="expression" priority="243" id="{1FED3B8D-5D1D-499B-81C9-B59E10FB03DD}">
            <xm:f>'Sprachen &amp; Rückgabewerte(2)'!$L$46=0</xm:f>
            <x14:dxf>
              <border>
                <left style="thin">
                  <color rgb="FFFF0000"/>
                </left>
                <vertical/>
                <horizontal/>
              </border>
            </x14:dxf>
          </x14:cfRule>
          <xm:sqref>C27:C30</xm:sqref>
        </x14:conditionalFormatting>
        <x14:conditionalFormatting xmlns:xm="http://schemas.microsoft.com/office/excel/2006/main">
          <x14:cfRule type="expression" priority="242" id="{B3D916A4-08B9-418B-95C1-E4C8F73B3A6F}">
            <xm:f>'Sprachen &amp; Rückgabewerte(2)'!$L$46=0</xm:f>
            <x14:dxf>
              <border>
                <top style="thin">
                  <color rgb="FFFF0000"/>
                </top>
                <vertical/>
                <horizontal/>
              </border>
            </x14:dxf>
          </x14:cfRule>
          <xm:sqref>C27:AT27</xm:sqref>
        </x14:conditionalFormatting>
        <x14:conditionalFormatting xmlns:xm="http://schemas.microsoft.com/office/excel/2006/main">
          <x14:cfRule type="expression" priority="241" id="{2000EC0C-72F5-4B6C-A204-199072F43473}">
            <xm:f>'Sprachen &amp; Rückgabewerte(2)'!$L$46=0</xm:f>
            <x14:dxf>
              <border>
                <right style="thin">
                  <color rgb="FFFF0000"/>
                </right>
                <vertical/>
                <horizontal/>
              </border>
            </x14:dxf>
          </x14:cfRule>
          <xm:sqref>AT27:AT30</xm:sqref>
        </x14:conditionalFormatting>
        <x14:conditionalFormatting xmlns:xm="http://schemas.microsoft.com/office/excel/2006/main">
          <x14:cfRule type="expression" priority="239" id="{AB2963E1-3EA5-4110-B6AE-21E6A16C027F}">
            <xm:f>'Sprachen &amp; Rückgabewerte(2)'!$L$47=0</xm:f>
            <x14:dxf>
              <border>
                <left style="thin">
                  <color rgb="FFFF0000"/>
                </left>
                <vertical/>
                <horizontal/>
              </border>
            </x14:dxf>
          </x14:cfRule>
          <xm:sqref>C32:C35</xm:sqref>
        </x14:conditionalFormatting>
        <x14:conditionalFormatting xmlns:xm="http://schemas.microsoft.com/office/excel/2006/main">
          <x14:cfRule type="expression" priority="238" id="{2AE675B1-7209-4D9B-9CA8-6FA187383D7C}">
            <xm:f>'Sprachen &amp; Rückgabewerte(2)'!$L$47=0</xm:f>
            <x14:dxf>
              <border>
                <top style="thin">
                  <color rgb="FFFF0000"/>
                </top>
                <vertical/>
                <horizontal/>
              </border>
            </x14:dxf>
          </x14:cfRule>
          <xm:sqref>C32:AB32</xm:sqref>
        </x14:conditionalFormatting>
        <x14:conditionalFormatting xmlns:xm="http://schemas.microsoft.com/office/excel/2006/main">
          <x14:cfRule type="expression" priority="237" id="{007D50E9-EDE5-4E6A-B218-6ABA016EA262}">
            <xm:f>'Sprachen &amp; Rückgabewerte(2)'!$L$47=0</xm:f>
            <x14:dxf>
              <border>
                <right style="thin">
                  <color rgb="FFFF0000"/>
                </right>
                <vertical/>
                <horizontal/>
              </border>
            </x14:dxf>
          </x14:cfRule>
          <xm:sqref>AB32:AB35</xm:sqref>
        </x14:conditionalFormatting>
        <x14:conditionalFormatting xmlns:xm="http://schemas.microsoft.com/office/excel/2006/main">
          <x14:cfRule type="expression" priority="236" id="{C2DE77D0-35A8-4094-AA2C-DD2B855EDF40}">
            <xm:f>'Sprachen &amp; Rückgabewerte(2)'!$L$47=0</xm:f>
            <x14:dxf>
              <border>
                <bottom style="thin">
                  <color rgb="FFFF0000"/>
                </bottom>
                <vertical/>
                <horizontal/>
              </border>
            </x14:dxf>
          </x14:cfRule>
          <xm:sqref>C35:AB35</xm:sqref>
        </x14:conditionalFormatting>
        <x14:conditionalFormatting xmlns:xm="http://schemas.microsoft.com/office/excel/2006/main">
          <x14:cfRule type="expression" priority="235" id="{3FFF6C68-E2F3-450D-9F9E-D5B5C8EC1497}">
            <xm:f>'Sprachen &amp; Rückgabewerte(2)'!$M$49=0</xm:f>
            <x14:dxf>
              <border>
                <left style="thin">
                  <color rgb="FFFF0000"/>
                </left>
                <vertical/>
                <horizontal/>
              </border>
            </x14:dxf>
          </x14:cfRule>
          <xm:sqref>C36:C60</xm:sqref>
        </x14:conditionalFormatting>
        <x14:conditionalFormatting xmlns:xm="http://schemas.microsoft.com/office/excel/2006/main">
          <x14:cfRule type="expression" priority="234" id="{D3D02563-A54A-4515-811C-D976D9238422}">
            <xm:f>'Sprachen &amp; Rückgabewerte(2)'!$M$49=0</xm:f>
            <x14:dxf>
              <border>
                <top style="thin">
                  <color rgb="FFFF0000"/>
                </top>
                <vertical/>
                <horizontal/>
              </border>
            </x14:dxf>
          </x14:cfRule>
          <xm:sqref>C36:O36</xm:sqref>
        </x14:conditionalFormatting>
        <x14:conditionalFormatting xmlns:xm="http://schemas.microsoft.com/office/excel/2006/main">
          <x14:cfRule type="expression" priority="233" id="{3C944A1C-B237-42E9-A433-D95C79579EE7}">
            <xm:f>'Sprachen &amp; Rückgabewerte(2)'!$M$49=0</xm:f>
            <x14:dxf>
              <border>
                <right style="thin">
                  <color rgb="FFFF0000"/>
                </right>
                <vertical/>
                <horizontal/>
              </border>
            </x14:dxf>
          </x14:cfRule>
          <xm:sqref>O36:O60</xm:sqref>
        </x14:conditionalFormatting>
        <x14:conditionalFormatting xmlns:xm="http://schemas.microsoft.com/office/excel/2006/main">
          <x14:cfRule type="expression" priority="232" id="{C249FECE-9583-43EC-B22F-15E667212979}">
            <xm:f>'Sprachen &amp; Rückgabewerte(2)'!$M$49=0</xm:f>
            <x14:dxf>
              <border>
                <bottom style="thin">
                  <color rgb="FFFF0000"/>
                </bottom>
                <vertical/>
                <horizontal/>
              </border>
            </x14:dxf>
          </x14:cfRule>
          <xm:sqref>C60:O60</xm:sqref>
        </x14:conditionalFormatting>
        <x14:conditionalFormatting xmlns:xm="http://schemas.microsoft.com/office/excel/2006/main">
          <x14:cfRule type="expression" priority="231" id="{71B0B2C4-A320-4BB7-858F-396F5E670D1B}">
            <xm:f>'Sprachen &amp; Rückgabewerte(2)'!$L$50=0</xm:f>
            <x14:dxf>
              <border>
                <top style="thin">
                  <color rgb="FFFF0000"/>
                </top>
                <vertical/>
                <horizontal/>
              </border>
            </x14:dxf>
          </x14:cfRule>
          <xm:sqref>P36:AB36</xm:sqref>
        </x14:conditionalFormatting>
        <x14:conditionalFormatting xmlns:xm="http://schemas.microsoft.com/office/excel/2006/main">
          <x14:cfRule type="expression" priority="230" id="{BC90B04E-9235-44E9-B28D-0BA2E4C06CFE}">
            <xm:f>'Sprachen &amp; Rückgabewerte(2)'!$L$50=0</xm:f>
            <x14:dxf>
              <border>
                <right style="thin">
                  <color rgb="FFFF0000"/>
                </right>
              </border>
            </x14:dxf>
          </x14:cfRule>
          <xm:sqref>AB36:AB60</xm:sqref>
        </x14:conditionalFormatting>
        <x14:conditionalFormatting xmlns:xm="http://schemas.microsoft.com/office/excel/2006/main">
          <x14:cfRule type="expression" priority="229" id="{872E4890-CDB5-492E-93A7-6FB2DCF71FD6}">
            <xm:f>'Sprachen &amp; Rückgabewerte(2)'!$L$50=0</xm:f>
            <x14:dxf>
              <border>
                <bottom style="thin">
                  <color rgb="FFFF0000"/>
                </bottom>
                <vertical/>
                <horizontal/>
              </border>
            </x14:dxf>
          </x14:cfRule>
          <xm:sqref>P60:AB60</xm:sqref>
        </x14:conditionalFormatting>
        <x14:conditionalFormatting xmlns:xm="http://schemas.microsoft.com/office/excel/2006/main">
          <x14:cfRule type="expression" priority="228" id="{A9DBAFA6-1369-40A8-9A26-D8D1B482A117}">
            <xm:f>'Sprachen &amp; Rückgabewerte(2)'!$L$50=0</xm:f>
            <x14:dxf>
              <border>
                <left style="thin">
                  <color rgb="FFFF0000"/>
                </left>
                <vertical/>
                <horizontal/>
              </border>
            </x14:dxf>
          </x14:cfRule>
          <xm:sqref>P36:P43</xm:sqref>
        </x14:conditionalFormatting>
        <x14:conditionalFormatting xmlns:xm="http://schemas.microsoft.com/office/excel/2006/main">
          <x14:cfRule type="expression" priority="227" id="{BECF8085-0B51-4CC3-9405-6EB7F9F54BC3}">
            <xm:f>'Sprachen &amp; Rückgabewerte(2)'!$L$50=0</xm:f>
            <x14:dxf>
              <border>
                <left style="thin">
                  <color rgb="FFFF0000"/>
                </left>
                <vertical/>
                <horizontal/>
              </border>
            </x14:dxf>
          </x14:cfRule>
          <xm:sqref>P44:S45</xm:sqref>
        </x14:conditionalFormatting>
        <x14:conditionalFormatting xmlns:xm="http://schemas.microsoft.com/office/excel/2006/main">
          <x14:cfRule type="expression" priority="226" id="{5422A0AB-9527-48F9-8E68-7892105FD594}">
            <xm:f>'Sprachen &amp; Rückgabewerte(2)'!$L$50=0</xm:f>
            <x14:dxf>
              <border>
                <left style="thin">
                  <color rgb="FFFF0000"/>
                </left>
                <vertical/>
                <horizontal/>
              </border>
            </x14:dxf>
          </x14:cfRule>
          <xm:sqref>P46:P60</xm:sqref>
        </x14:conditionalFormatting>
        <x14:conditionalFormatting xmlns:xm="http://schemas.microsoft.com/office/excel/2006/main">
          <x14:cfRule type="expression" priority="225" id="{91E0FF71-5DD1-4992-A51F-433570BF2693}">
            <xm:f>'Sprachen &amp; Rückgabewerte(2)'!$L$51=0</xm:f>
            <x14:dxf>
              <border>
                <top style="thin">
                  <color rgb="FFFF0000"/>
                </top>
                <vertical/>
                <horizontal/>
              </border>
            </x14:dxf>
          </x14:cfRule>
          <xm:sqref>AE32:AT32</xm:sqref>
        </x14:conditionalFormatting>
        <x14:conditionalFormatting xmlns:xm="http://schemas.microsoft.com/office/excel/2006/main">
          <x14:cfRule type="expression" priority="98" id="{C3F5492C-736E-42CF-B563-5B12000A2518}">
            <xm:f>AND($AY$43&lt;&gt;0,'Sprachen &amp; Rückgabewerte(2)'!$I$19=TRUE)</xm:f>
            <x14:dxf>
              <border>
                <right style="thin">
                  <color rgb="FFFF0000"/>
                </right>
                <vertical/>
                <horizontal/>
              </border>
            </x14:dxf>
          </x14:cfRule>
          <x14:cfRule type="expression" priority="224" id="{5F303A7F-AB86-4642-BCFA-47EDF5364062}">
            <xm:f>'Sprachen &amp; Rückgabewerte(2)'!$L$51=0</xm:f>
            <x14:dxf>
              <border>
                <right style="thin">
                  <color rgb="FFFF0000"/>
                </right>
                <vertical/>
                <horizontal/>
              </border>
            </x14:dxf>
          </x14:cfRule>
          <xm:sqref>AT32:AT40</xm:sqref>
        </x14:conditionalFormatting>
        <x14:conditionalFormatting xmlns:xm="http://schemas.microsoft.com/office/excel/2006/main">
          <x14:cfRule type="expression" priority="223" id="{257816E9-169D-44C8-B1AE-55E6BED91ABD}">
            <xm:f>'Sprachen &amp; Rückgabewerte(2)'!$L$51=0</xm:f>
            <x14:dxf>
              <border>
                <bottom style="thin">
                  <color rgb="FFFF0000"/>
                </bottom>
                <vertical/>
                <horizontal/>
              </border>
            </x14:dxf>
          </x14:cfRule>
          <xm:sqref>AE40:AT40</xm:sqref>
        </x14:conditionalFormatting>
        <x14:conditionalFormatting xmlns:xm="http://schemas.microsoft.com/office/excel/2006/main">
          <x14:cfRule type="expression" priority="222" id="{6D5AED0F-413B-4CBE-9BC6-766EDDEFCD35}">
            <xm:f>'Sprachen &amp; Rückgabewerte(2)'!$L$52=0</xm:f>
            <x14:dxf>
              <border>
                <top style="thin">
                  <color rgb="FFFF0000"/>
                </top>
                <vertical/>
                <horizontal/>
              </border>
            </x14:dxf>
          </x14:cfRule>
          <xm:sqref>AE42:AT42</xm:sqref>
        </x14:conditionalFormatting>
        <x14:conditionalFormatting xmlns:xm="http://schemas.microsoft.com/office/excel/2006/main">
          <x14:cfRule type="expression" priority="221" id="{79C507C6-7A1D-4130-ACCC-D723250E1F09}">
            <xm:f>'Sprachen &amp; Rückgabewerte(2)'!$L$52=0</xm:f>
            <x14:dxf>
              <border>
                <right style="thin">
                  <color rgb="FFFF0000"/>
                </right>
                <vertical/>
                <horizontal/>
              </border>
            </x14:dxf>
          </x14:cfRule>
          <xm:sqref>AT42:AT50</xm:sqref>
        </x14:conditionalFormatting>
        <x14:conditionalFormatting xmlns:xm="http://schemas.microsoft.com/office/excel/2006/main">
          <x14:cfRule type="expression" priority="220" id="{DC37DC18-13A9-4D49-8566-5A136A092644}">
            <xm:f>'Sprachen &amp; Rückgabewerte(2)'!$L$52=0</xm:f>
            <x14:dxf>
              <border>
                <bottom style="thin">
                  <color rgb="FFFF0000"/>
                </bottom>
                <vertical/>
                <horizontal/>
              </border>
            </x14:dxf>
          </x14:cfRule>
          <xm:sqref>AM50:AT50</xm:sqref>
        </x14:conditionalFormatting>
        <x14:conditionalFormatting xmlns:xm="http://schemas.microsoft.com/office/excel/2006/main">
          <x14:cfRule type="expression" priority="164" id="{5214F985-2316-48B8-AED9-1BE5858A7FDC}">
            <xm:f>OR('Sprachen &amp; Rückgabewerte(2)'!$I$36=TRUE,'Sprachen &amp; Rückgabewerte(2)'!$I$39=TRUE)</xm:f>
            <x14:dxf>
              <font>
                <color theme="1"/>
              </font>
            </x14:dxf>
          </x14:cfRule>
          <x14:cfRule type="expression" priority="219" id="{23233099-D196-4216-838D-6F274A8C24B2}">
            <xm:f>'Sprachen &amp; Rückgabewerte(2)'!$L$52=0</xm:f>
            <x14:dxf>
              <border>
                <bottom style="thin">
                  <color rgb="FFFF0000"/>
                </bottom>
                <vertical/>
                <horizontal/>
              </border>
            </x14:dxf>
          </x14:cfRule>
          <xm:sqref>AF48:AL50</xm:sqref>
        </x14:conditionalFormatting>
        <x14:conditionalFormatting xmlns:xm="http://schemas.microsoft.com/office/excel/2006/main">
          <x14:cfRule type="expression" priority="218" id="{B58EB2D7-9CAF-4D24-AE05-7272D8F06D01}">
            <xm:f>'Sprachen &amp; Rückgabewerte(2)'!$L$52=0</xm:f>
            <x14:dxf>
              <border>
                <bottom style="thin">
                  <color rgb="FFFF0000"/>
                </bottom>
                <vertical/>
                <horizontal/>
              </border>
            </x14:dxf>
          </x14:cfRule>
          <xm:sqref>AE50</xm:sqref>
        </x14:conditionalFormatting>
        <x14:conditionalFormatting xmlns:xm="http://schemas.microsoft.com/office/excel/2006/main">
          <x14:cfRule type="expression" priority="217" id="{1BE89BF9-DB7D-4A35-B289-F8B6A297D7FB}">
            <xm:f>'Sprachen &amp; Rückgabewerte(2)'!$L$53=0</xm:f>
            <x14:dxf>
              <border>
                <top style="thin">
                  <color rgb="FFFF0000"/>
                </top>
                <vertical/>
                <horizontal/>
              </border>
            </x14:dxf>
          </x14:cfRule>
          <xm:sqref>AE52:AT52</xm:sqref>
        </x14:conditionalFormatting>
        <x14:conditionalFormatting xmlns:xm="http://schemas.microsoft.com/office/excel/2006/main">
          <x14:cfRule type="expression" priority="216" id="{BDED645D-09D4-4408-AEB2-909F0938100D}">
            <xm:f>'Sprachen &amp; Rückgabewerte(2)'!$L$53=0</xm:f>
            <x14:dxf>
              <border>
                <right style="thin">
                  <color rgb="FFFF0000"/>
                </right>
                <vertical/>
                <horizontal/>
              </border>
            </x14:dxf>
          </x14:cfRule>
          <xm:sqref>AT52:AT58</xm:sqref>
        </x14:conditionalFormatting>
        <x14:conditionalFormatting xmlns:xm="http://schemas.microsoft.com/office/excel/2006/main">
          <x14:cfRule type="expression" priority="215" id="{0A8932C4-3F88-458C-BCD7-129FAE330055}">
            <xm:f>'Sprachen &amp; Rückgabewerte(2)'!$L$53=0</xm:f>
            <x14:dxf>
              <border>
                <bottom style="thin">
                  <color rgb="FFFF0000"/>
                </bottom>
                <vertical/>
                <horizontal/>
              </border>
            </x14:dxf>
          </x14:cfRule>
          <xm:sqref>AE58:AT58</xm:sqref>
        </x14:conditionalFormatting>
        <x14:conditionalFormatting xmlns:xm="http://schemas.microsoft.com/office/excel/2006/main">
          <x14:cfRule type="expression" priority="214" id="{BC9AC244-4FD0-4DBC-9366-AA8B8AEF34F2}">
            <xm:f>'Sprachen &amp; Rückgabewerte(2)'!$L$54=0</xm:f>
            <x14:dxf>
              <border>
                <top style="thin">
                  <color rgb="FFFF0000"/>
                </top>
                <vertical/>
                <horizontal/>
              </border>
            </x14:dxf>
          </x14:cfRule>
          <xm:sqref>AE60:AT60</xm:sqref>
        </x14:conditionalFormatting>
        <x14:conditionalFormatting xmlns:xm="http://schemas.microsoft.com/office/excel/2006/main">
          <x14:cfRule type="expression" priority="213" id="{31C8960D-8AC2-4AD0-99EF-88C7453043E7}">
            <xm:f>'Sprachen &amp; Rückgabewerte(2)'!$L$54=0</xm:f>
            <x14:dxf>
              <border>
                <right style="thin">
                  <color rgb="FFFF0000"/>
                </right>
                <vertical/>
                <horizontal/>
              </border>
            </x14:dxf>
          </x14:cfRule>
          <xm:sqref>AT60:AT71</xm:sqref>
        </x14:conditionalFormatting>
        <x14:conditionalFormatting xmlns:xm="http://schemas.microsoft.com/office/excel/2006/main">
          <x14:cfRule type="expression" priority="212" id="{EEF82D03-D887-414B-9496-ED01126F295A}">
            <xm:f>'Sprachen &amp; Rückgabewerte(2)'!$L$54=0</xm:f>
            <x14:dxf>
              <border>
                <bottom style="thin">
                  <color rgb="FFFF0000"/>
                </bottom>
                <vertical/>
                <horizontal/>
              </border>
            </x14:dxf>
          </x14:cfRule>
          <xm:sqref>AE71:AT71</xm:sqref>
        </x14:conditionalFormatting>
        <x14:conditionalFormatting xmlns:xm="http://schemas.microsoft.com/office/excel/2006/main">
          <x14:cfRule type="expression" priority="211" id="{821C8FB9-0A35-4370-A974-405A8CC3B2D4}">
            <xm:f>'Sprachen &amp; Rückgabewerte(2)'!$L$55=0</xm:f>
            <x14:dxf>
              <border>
                <top style="thin">
                  <color rgb="FFFF0000"/>
                </top>
                <vertical/>
                <horizontal/>
              </border>
            </x14:dxf>
          </x14:cfRule>
          <xm:sqref>AE83:AT83</xm:sqref>
        </x14:conditionalFormatting>
        <x14:conditionalFormatting xmlns:xm="http://schemas.microsoft.com/office/excel/2006/main">
          <x14:cfRule type="expression" priority="210" id="{52FD3E7E-4235-409A-B1CB-51EE0AA03818}">
            <xm:f>'Sprachen &amp; Rückgabewerte(2)'!$L$55=0</xm:f>
            <x14:dxf>
              <border>
                <right style="thin">
                  <color rgb="FFFF0000"/>
                </right>
                <vertical/>
                <horizontal/>
              </border>
            </x14:dxf>
          </x14:cfRule>
          <xm:sqref>AT83:AT93</xm:sqref>
        </x14:conditionalFormatting>
        <x14:conditionalFormatting xmlns:xm="http://schemas.microsoft.com/office/excel/2006/main">
          <x14:cfRule type="expression" priority="209" id="{68322BE0-F4FC-44AB-9FC4-9E9A81587D82}">
            <xm:f>'Sprachen &amp; Rückgabewerte(2)'!$L$55=0</xm:f>
            <x14:dxf>
              <border>
                <bottom style="thin">
                  <color rgb="FFFF0000"/>
                </bottom>
                <vertical/>
                <horizontal/>
              </border>
            </x14:dxf>
          </x14:cfRule>
          <xm:sqref>AE93:AT93</xm:sqref>
        </x14:conditionalFormatting>
        <x14:conditionalFormatting xmlns:xm="http://schemas.microsoft.com/office/excel/2006/main">
          <x14:cfRule type="expression" priority="207" id="{AD36C6A2-5967-4100-AEBE-259A74A24728}">
            <xm:f>'Sprachen &amp; Rückgabewerte(2)'!$M$59=0</xm:f>
            <x14:dxf>
              <border>
                <right style="thin">
                  <color rgb="FFFF0000"/>
                </right>
                <vertical/>
                <horizontal/>
              </border>
            </x14:dxf>
          </x14:cfRule>
          <xm:sqref>AB86</xm:sqref>
        </x14:conditionalFormatting>
        <x14:conditionalFormatting xmlns:xm="http://schemas.microsoft.com/office/excel/2006/main">
          <x14:cfRule type="expression" priority="206" id="{B951BE36-C179-4995-B809-5937A1129099}">
            <xm:f>'Sprachen &amp; Rückgabewerte(2)'!$M$59=0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3" id="{44006B52-E01E-415B-8536-720AA058F1C3}">
            <xm:f>K$20='Sprachen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4" id="{A4D1D8F6-863E-464D-8EAE-E349DEA2D80B}">
            <xm:f>K$20='Sprachen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1" id="{51997130-3A14-449A-895C-B7C2E2D0D20C}">
            <xm:f>O$20='Sprachen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2" id="{C0F869E1-A267-4126-8C8F-67981DE34DCC}">
            <xm:f>O$20='Sprachen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199" id="{01F00BD0-AB37-44F4-9831-B2BDFB0CFA0E}">
            <xm:f>S$20='Sprachen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0" id="{0BA130DC-A8BA-4B24-9473-BFC51CABA64D}">
            <xm:f>S$20='Sprachen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7" id="{9B7EA3A1-28C3-42C3-8D75-B069BAAA8260}">
            <xm:f>W$20='Sprachen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8" id="{2BD9BDA4-85CA-4022-A63D-2853447CC83A}">
            <xm:f>W$20='Sprachen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5" id="{214A6A32-924F-41C0-8CF0-8AD7B06B74C3}">
            <xm:f>AA$20='Sprachen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6" id="{E78FADE2-6D12-4F9B-9469-2206A80B726B}">
            <xm:f>AA$20='Sprachen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3" id="{654FBFC0-3133-4551-B4AF-188FCB45A05D}">
            <xm:f>AE$20='Sprachen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4" id="{119094C0-91D0-42A8-80A5-82F858ACA556}">
            <xm:f>AE$20='Sprachen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1" id="{BFF8E28E-F4A3-449B-A203-394D1D9FCF27}">
            <xm:f>AI$20='Sprachen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2" id="{779D64FF-5BD4-451B-B5E7-4B378CDEC364}">
            <xm:f>AI$20='Sprachen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89" id="{B81B3BC6-9924-468D-8107-936D6AB46FDB}">
            <xm:f>AM$20='Sprachen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0" id="{B1DC56C3-E8F5-44D8-B5C2-D1BC7B0B4189}">
            <xm:f>AM$20='Sprachen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8" id="{4F8CF1FB-8444-4F8B-B34F-AD586A276E89}">
            <xm:f>'Sprachen &amp; Rückgabewerte(2)'!$M$59=0</xm:f>
            <x14:dxf>
              <border>
                <top style="thin">
                  <color rgb="FFFF0000"/>
                </top>
                <vertical/>
                <horizontal/>
              </border>
            </x14:dxf>
          </x14:cfRule>
          <xm:sqref>L86:AB86</xm:sqref>
        </x14:conditionalFormatting>
        <x14:conditionalFormatting xmlns:xm="http://schemas.microsoft.com/office/excel/2006/main">
          <x14:cfRule type="expression" priority="187" id="{DF57DCE1-3B27-483D-9C56-DFCA7460AD53}">
            <xm:f>'Sprachen &amp; Rückgabewerte(2)'!$M$59=0</xm:f>
            <x14:dxf>
              <border>
                <bottom style="thin">
                  <color rgb="FFFF0000"/>
                </bottom>
                <vertical/>
                <horizontal/>
              </border>
            </x14:dxf>
          </x14:cfRule>
          <xm:sqref>L97:AB97</xm:sqref>
        </x14:conditionalFormatting>
        <x14:conditionalFormatting xmlns:xm="http://schemas.microsoft.com/office/excel/2006/main">
          <x14:cfRule type="expression" priority="186" id="{F2041CD2-3F26-4D52-93EE-C8D3767FF002}">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5" id="{9A28134D-2DA8-42AD-9FC2-0238830E34A7}">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4" id="{269012EE-7D21-41AE-8E24-402E13E7F037}">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3" id="{3576E790-92E5-4E6B-94E2-CFB413BD4C49}">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2" id="{CB1BD900-BEBC-4479-B780-5E5C91D8CB12}">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1" id="{7AEF74FB-F540-47C2-9CBE-5CDF604D9D75}">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0" id="{89EA758D-CF5D-4A51-8A47-1EB3D5B62B11}">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79" id="{B3B69F9A-BE2D-4A83-B197-9917688581D4}">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8" id="{6D64D19C-020B-4A22-8D46-0D60FA197145}">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7" id="{A8E111FF-70B1-4081-A5FD-B8D3C81E4A91}">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6" id="{77CE9CE8-B533-4602-96CB-DFBC2C900CA3}">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5" id="{00F71985-F78D-488F-ACAF-51751AFD1E46}">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4" id="{C162B4E0-223B-46C6-8256-410E3FCE9AD6}">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3" id="{CF526817-C588-41FE-9877-8CCB5683B323}">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2" id="{1818921B-248F-4EC9-BBA4-5362F5484D06}">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1" id="{7FF2D124-F017-411B-9CE1-1FFD864356F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0" id="{5BEE884F-F796-49CE-B825-1D289676B216}">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68" id="{97C6232B-1709-417F-8D77-30DC41536DC4}">
            <xm:f>'Sprachen &amp; Rückgabewerte(2)'!$I$133=TRUE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897E934B-826C-4CCD-A8D1-C731EFC03125}">
            <xm:f>AND($AL$39="",'Sprachen &amp; Rückgabewerte(2)'!$I$22=TRUE)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7" id="{09468292-FBBA-49E4-9DB8-422604A21674}">
            <xm:f>'Sprachen &amp; Rückgabewerte(2)'!$I$22=FALSE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5" id="{0EC1520B-2D78-49D8-9543-71061BFDEE1E}">
            <xm:f>'Sprachen &amp; Rückgabewerte(2)'!$I$36=FALSE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2" id="{E59A5746-E97F-4976-81B7-34F5B2A98858}">
            <xm:f>'Sprachen &amp; Rückgabewerte(2)'!$I$39=FALSE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4" id="{F1C2B879-6EDA-4F0A-88F4-D7155F63E739}">
            <xm:f>AND('Sprachen &amp; Rückgabewerte(2)'!$I$36=FALSE,'Sprachen &amp; Rückgabewerte(2)'!$I$39=FALSE)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3" id="{914A01AB-ADF9-49F2-96D5-F7FE5BAB29E5}">
            <xm:f>'Sprachen &amp; Rückgabewerte(2)'!$I$45=FALSE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1" id="{2FF04A1E-4CCD-4B35-8A2B-E1F0B55590A0}">
            <xm:f>'Sprachen &amp; Rückgabewerte(2)'!$L$67=TRUE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0" id="{207A361B-DE95-4A8C-A7BE-0438CBC334FE}">
            <xm:f>'Sprachen &amp; Rückgabewerte(2)'!$L$68=TRUE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6" id="{E9FBF67B-0D90-4A64-B5B3-8C64F24A35D2}">
            <xm:f>AND($AY$43&lt;&gt;0,'Sprachen &amp; Rückgabewerte(2)'!$I$19=TRUE)</xm:f>
            <x14:dxf>
              <border>
                <left style="thin">
                  <color rgb="FFFF0000"/>
                </left>
                <bottom/>
                <vertical/>
                <horizontal/>
              </border>
            </x14:dxf>
          </x14:cfRule>
          <x14:cfRule type="expression" priority="159" id="{97E08535-9529-4202-B8C5-97FFEC065F83}">
            <xm:f>'Sprachen &amp; Rückgabewerte(2)'!$L$51=0</xm:f>
            <x14:dxf>
              <border>
                <left style="thin">
                  <color rgb="FFFF0000"/>
                </left>
                <vertical/>
                <horizontal/>
              </border>
            </x14:dxf>
          </x14:cfRule>
          <xm:sqref>AD32:AD40</xm:sqref>
        </x14:conditionalFormatting>
        <x14:conditionalFormatting xmlns:xm="http://schemas.microsoft.com/office/excel/2006/main">
          <x14:cfRule type="expression" priority="95" id="{249D1C72-8B36-4703-878C-FADFC75C931F}">
            <xm:f>AND($AY$43&lt;&gt;0,'Sprachen &amp; Rückgabewerte(2)'!$I$19=TRUE)</xm:f>
            <x14:dxf>
              <border>
                <bottom style="thin">
                  <color rgb="FFFF0000"/>
                </bottom>
                <vertical/>
                <horizontal/>
              </border>
            </x14:dxf>
          </x14:cfRule>
          <x14:cfRule type="expression" priority="158" id="{25DD1A59-5365-4F77-8755-C1C282842FDC}">
            <xm:f>'Sprachen &amp; Rückgabewerte(2)'!$L$51=0</xm:f>
            <x14:dxf>
              <border>
                <bottom style="thin">
                  <color rgb="FFFF0000"/>
                </bottom>
                <vertical/>
                <horizontal/>
              </border>
            </x14:dxf>
          </x14:cfRule>
          <xm:sqref>AD40</xm:sqref>
        </x14:conditionalFormatting>
        <x14:conditionalFormatting xmlns:xm="http://schemas.microsoft.com/office/excel/2006/main">
          <x14:cfRule type="expression" priority="157" id="{265636C6-7402-42BC-B5DB-34A0D375D172}">
            <xm:f>'Sprachen &amp; Rückgabewerte(2)'!$L$51=0</xm:f>
            <x14:dxf>
              <border>
                <top style="thin">
                  <color rgb="FFFF0000"/>
                </top>
                <vertical/>
                <horizontal/>
              </border>
            </x14:dxf>
          </x14:cfRule>
          <xm:sqref>AD32</xm:sqref>
        </x14:conditionalFormatting>
        <x14:conditionalFormatting xmlns:xm="http://schemas.microsoft.com/office/excel/2006/main">
          <x14:cfRule type="expression" priority="156" id="{6B1F2085-8642-44F1-BCBC-D75A40F21042}">
            <xm:f>'Sprachen &amp; Rückgabewerte(2)'!$L$52=0</xm:f>
            <x14:dxf>
              <border>
                <left style="thin">
                  <color rgb="FFFF0000"/>
                </left>
                <vertical/>
                <horizontal/>
              </border>
            </x14:dxf>
          </x14:cfRule>
          <xm:sqref>AD42:AD50</xm:sqref>
        </x14:conditionalFormatting>
        <x14:conditionalFormatting xmlns:xm="http://schemas.microsoft.com/office/excel/2006/main">
          <x14:cfRule type="expression" priority="155" id="{49635266-50C1-4278-B83F-C5B79DFAA158}">
            <xm:f>'Sprachen &amp; Rückgabewerte(2)'!$L$52=0</xm:f>
            <x14:dxf>
              <border>
                <top style="thin">
                  <color rgb="FFFF0000"/>
                </top>
                <vertical/>
                <horizontal/>
              </border>
            </x14:dxf>
          </x14:cfRule>
          <xm:sqref>AD42</xm:sqref>
        </x14:conditionalFormatting>
        <x14:conditionalFormatting xmlns:xm="http://schemas.microsoft.com/office/excel/2006/main">
          <x14:cfRule type="expression" priority="154" id="{003F90E7-AC10-4E33-8319-F3710E9733F5}">
            <xm:f>'Sprachen &amp; Rückgabewerte(2)'!$L$52=0</xm:f>
            <x14:dxf>
              <border>
                <bottom style="thin">
                  <color rgb="FFFF0000"/>
                </bottom>
                <vertical/>
                <horizontal/>
              </border>
            </x14:dxf>
          </x14:cfRule>
          <xm:sqref>AD50</xm:sqref>
        </x14:conditionalFormatting>
        <x14:conditionalFormatting xmlns:xm="http://schemas.microsoft.com/office/excel/2006/main">
          <x14:cfRule type="expression" priority="153" id="{929EE824-C640-42D9-8B1B-7FCA23B6715B}">
            <xm:f>'Sprachen &amp; Rückgabewerte(2)'!$L$53=0</xm:f>
            <x14:dxf>
              <border>
                <left style="thin">
                  <color rgb="FFFF0000"/>
                </left>
                <vertical/>
                <horizontal/>
              </border>
            </x14:dxf>
          </x14:cfRule>
          <xm:sqref>AD52:AD58</xm:sqref>
        </x14:conditionalFormatting>
        <x14:conditionalFormatting xmlns:xm="http://schemas.microsoft.com/office/excel/2006/main">
          <x14:cfRule type="expression" priority="152" id="{DB726D55-8128-4936-87CD-0B8CBF8CF08A}">
            <xm:f>'Sprachen &amp; Rückgabewerte(2)'!$L$53=0</xm:f>
            <x14:dxf>
              <border>
                <top style="thin">
                  <color rgb="FFFF0000"/>
                </top>
                <vertical/>
                <horizontal/>
              </border>
            </x14:dxf>
          </x14:cfRule>
          <xm:sqref>AD52</xm:sqref>
        </x14:conditionalFormatting>
        <x14:conditionalFormatting xmlns:xm="http://schemas.microsoft.com/office/excel/2006/main">
          <x14:cfRule type="expression" priority="151" id="{2B4F1953-0FEC-465B-8616-07CB24698921}">
            <xm:f>'Sprachen &amp; Rückgabewerte(2)'!$L$53=0</xm:f>
            <x14:dxf>
              <border>
                <bottom style="thin">
                  <color rgb="FFFF0000"/>
                </bottom>
                <vertical/>
                <horizontal/>
              </border>
            </x14:dxf>
          </x14:cfRule>
          <xm:sqref>AD58</xm:sqref>
        </x14:conditionalFormatting>
        <x14:conditionalFormatting xmlns:xm="http://schemas.microsoft.com/office/excel/2006/main">
          <x14:cfRule type="expression" priority="150" id="{57BCFD0B-B6C6-49A8-9861-7EC8B8E9D30D}">
            <xm:f>'Sprachen &amp; Rückgabewerte(2)'!$L$54=0</xm:f>
            <x14:dxf>
              <border>
                <left style="thin">
                  <color rgb="FFFF0000"/>
                </left>
                <vertical/>
                <horizontal/>
              </border>
            </x14:dxf>
          </x14:cfRule>
          <xm:sqref>AD60:AD71</xm:sqref>
        </x14:conditionalFormatting>
        <x14:conditionalFormatting xmlns:xm="http://schemas.microsoft.com/office/excel/2006/main">
          <x14:cfRule type="expression" priority="149" id="{E56561E0-29EF-44B9-B113-22EB6B8DC15E}">
            <xm:f>'Sprachen &amp; Rückgabewerte(2)'!$L$54=0</xm:f>
            <x14:dxf>
              <border>
                <top style="thin">
                  <color rgb="FFFF0000"/>
                </top>
                <vertical/>
                <horizontal/>
              </border>
            </x14:dxf>
          </x14:cfRule>
          <xm:sqref>AD60</xm:sqref>
        </x14:conditionalFormatting>
        <x14:conditionalFormatting xmlns:xm="http://schemas.microsoft.com/office/excel/2006/main">
          <x14:cfRule type="expression" priority="148" id="{161F8A08-258D-4066-A8DA-621BBCE73BA6}">
            <xm:f>'Sprachen &amp; Rückgabewerte(2)'!$L$54=0</xm:f>
            <x14:dxf>
              <border>
                <bottom style="thin">
                  <color rgb="FFFF0000"/>
                </bottom>
                <vertical/>
                <horizontal/>
              </border>
            </x14:dxf>
          </x14:cfRule>
          <xm:sqref>AD71</xm:sqref>
        </x14:conditionalFormatting>
        <x14:conditionalFormatting xmlns:xm="http://schemas.microsoft.com/office/excel/2006/main">
          <x14:cfRule type="expression" priority="131" id="{49B613F4-528B-41A3-B943-AE972E0C1A80}">
            <xm:f>'Sprachen &amp; Rückgabewerte(2)'!$C$64=0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6" id="{44319596-3E2E-4B5F-9F17-ADEC436CA143}">
            <xm:f>'Sprachen &amp; Rückgabewerte(2)'!$L$55=0</xm:f>
            <x14:dxf>
              <border>
                <left style="thin">
                  <color rgb="FFFF0000"/>
                </left>
                <vertical/>
                <horizontal/>
              </border>
            </x14:dxf>
          </x14:cfRule>
          <xm:sqref>AD83:AD93</xm:sqref>
        </x14:conditionalFormatting>
        <x14:conditionalFormatting xmlns:xm="http://schemas.microsoft.com/office/excel/2006/main">
          <x14:cfRule type="expression" priority="145" id="{AC44D4B6-8801-411C-AD39-61C61635EF78}">
            <xm:f>'Sprachen &amp; Rückgabewerte(2)'!$L$55=0</xm:f>
            <x14:dxf>
              <border>
                <top style="thin">
                  <color rgb="FFFF0000"/>
                </top>
                <vertical/>
                <horizontal/>
              </border>
            </x14:dxf>
          </x14:cfRule>
          <xm:sqref>AD83</xm:sqref>
        </x14:conditionalFormatting>
        <x14:conditionalFormatting xmlns:xm="http://schemas.microsoft.com/office/excel/2006/main">
          <x14:cfRule type="expression" priority="144" id="{1F2ED86C-ABAB-42EF-87C7-BE5D5C08A93F}">
            <xm:f>'Sprachen &amp; Rückgabewerte(2)'!$L$55=0</xm:f>
            <x14:dxf>
              <border>
                <bottom style="thin">
                  <color rgb="FFFF0000"/>
                </bottom>
                <vertical/>
                <horizontal/>
              </border>
            </x14:dxf>
          </x14:cfRule>
          <xm:sqref>AD93</xm:sqref>
        </x14:conditionalFormatting>
        <x14:conditionalFormatting xmlns:xm="http://schemas.microsoft.com/office/excel/2006/main">
          <x14:cfRule type="expression" priority="122" id="{C9F50151-C3C9-4A7E-A447-FDDCCDD4B29D}">
            <xm:f>AND($AE$85="",$AE$84='Sprachen &amp; Rückgabewerte(2)'!$H$89)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8" id="{51892816-A29A-4069-8E8E-6C2CBFC1DEF2}">
            <xm:f>$AE$84='Sprachen &amp; Rückgabewerte(2)'!$H$89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3" id="{DF967E9C-5BDA-4511-85F6-AA413E1AE7E0}">
            <xm:f>'Sprachen &amp; Rückgabewerte(2)'!$M$62=2</xm:f>
            <x14:dxf>
              <border>
                <left style="thin">
                  <color rgb="FFFF0000"/>
                </left>
                <vertical/>
                <horizontal/>
              </border>
            </x14:dxf>
          </x14:cfRule>
          <x14:cfRule type="expression" priority="284" id="{CAEF7760-BAA7-41AD-A9D0-7A3E1D9DD496}">
            <xm:f>'Sprachen &amp; Rückgabewerte(2)'!$M$62=3</xm:f>
            <x14:dxf>
              <border>
                <left style="thin">
                  <color rgb="FFFF0000"/>
                </left>
                <vertical/>
                <horizontal/>
              </border>
            </x14:dxf>
          </x14:cfRule>
          <x14:cfRule type="expression" priority="285" id="{30BB2339-3C64-4C95-8355-644282A26996}">
            <xm:f>'Sprachen &amp; Rückgabewerte(2)'!$M$59=0</xm:f>
            <x14:dxf>
              <border>
                <left style="thin">
                  <color rgb="FFFF0000"/>
                </left>
                <vertical/>
                <horizontal/>
              </border>
            </x14:dxf>
          </x14:cfRule>
          <xm:sqref>L86:L97</xm:sqref>
        </x14:conditionalFormatting>
        <x14:conditionalFormatting xmlns:xm="http://schemas.microsoft.com/office/excel/2006/main">
          <x14:cfRule type="expression" priority="286" id="{7EF9641E-313D-437B-BE99-EF607995EB99}">
            <xm:f>'Sprachen &amp; Rückgabewerte(2)'!$C$48=FALSE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8" id="{8724EF40-833D-4A9B-A56F-810EBF303262}">
            <xm:f>'Sprachen &amp; Rückgabewerte(2)'!$M$62=3</xm:f>
            <x14:dxf>
              <border>
                <left style="thin">
                  <color rgb="FFFF0000"/>
                </left>
                <vertical/>
                <horizontal/>
              </border>
            </x14:dxf>
          </x14:cfRule>
          <x14:cfRule type="expression" priority="289" id="{46735D21-7260-48B9-93E0-43AEFB10E802}">
            <xm:f>'Sprachen &amp; Rückgabewerte(2)'!$M$62=2</xm:f>
            <x14:dxf>
              <border>
                <left style="thin">
                  <color rgb="FFFF0000"/>
                </left>
                <vertical/>
                <horizontal/>
              </border>
            </x14:dxf>
          </x14:cfRule>
          <xm:sqref>C73:C97</xm:sqref>
        </x14:conditionalFormatting>
        <x14:conditionalFormatting xmlns:xm="http://schemas.microsoft.com/office/excel/2006/main">
          <x14:cfRule type="expression" priority="290" id="{6418E269-2291-4458-9FD2-A5CFF0233F0A}">
            <xm:f>'Sprachen &amp; Rückgabewerte(2)'!$M$62=2</xm:f>
            <x14:dxf>
              <border>
                <top style="thin">
                  <color rgb="FFFF0000"/>
                </top>
                <vertical/>
                <horizontal/>
              </border>
            </x14:dxf>
          </x14:cfRule>
          <x14:cfRule type="expression" priority="291" id="{E28C9A62-EF86-4646-94E4-CD0A39759BB7}">
            <xm:f>'Sprachen &amp; Rückgabewerte(2)'!$M$62=3</xm:f>
            <x14:dxf>
              <border>
                <top style="thin">
                  <color rgb="FFFF0000"/>
                </top>
                <vertical/>
                <horizontal/>
              </border>
            </x14:dxf>
          </x14:cfRule>
          <xm:sqref>C73:AB73</xm:sqref>
        </x14:conditionalFormatting>
        <x14:conditionalFormatting xmlns:xm="http://schemas.microsoft.com/office/excel/2006/main">
          <x14:cfRule type="expression" priority="292" id="{4088582F-FFF4-48B6-83C1-DBEFD3C37781}">
            <xm:f>'Sprachen &amp; Rückgabewerte(2)'!$M$62=2</xm:f>
            <x14:dxf>
              <border>
                <right style="thin">
                  <color rgb="FFFF0000"/>
                </right>
                <vertical/>
                <horizontal/>
              </border>
            </x14:dxf>
          </x14:cfRule>
          <x14:cfRule type="expression" priority="293" id="{1495A2DD-5378-4C17-8620-17053BFA6C34}">
            <xm:f>'Sprachen &amp; Rückgabewerte(2)'!$M$62=3</xm:f>
            <x14:dxf>
              <border>
                <right style="thin">
                  <color rgb="FFFF0000"/>
                </right>
                <vertical/>
                <horizontal/>
              </border>
            </x14:dxf>
          </x14:cfRule>
          <xm:sqref>AB73:AB85</xm:sqref>
        </x14:conditionalFormatting>
        <x14:conditionalFormatting xmlns:xm="http://schemas.microsoft.com/office/excel/2006/main">
          <x14:cfRule type="expression" priority="169" id="{899A5094-ACEA-471F-A666-3BF42352B3F4}">
            <xm:f>'Sprachen &amp; Rückgabewerte(2)'!$M$62=2</xm:f>
            <x14:dxf>
              <border>
                <bottom style="thin">
                  <color rgb="FFFF0000"/>
                </bottom>
                <vertical/>
                <horizontal/>
              </border>
            </x14:dxf>
          </x14:cfRule>
          <x14:cfRule type="expression" priority="205" id="{30D4AA06-AA97-4F09-A815-AAAAF39C4ABA}">
            <xm:f>'Sprachen &amp; Rückgabewerte(2)'!$M$62=3</xm:f>
            <x14:dxf>
              <border>
                <bottom style="thin">
                  <color rgb="FFFF0000"/>
                </bottom>
                <vertical/>
                <horizontal/>
              </border>
            </x14:dxf>
          </x14:cfRule>
          <xm:sqref>L85:AB85</xm:sqref>
        </x14:conditionalFormatting>
        <x14:conditionalFormatting xmlns:xm="http://schemas.microsoft.com/office/excel/2006/main">
          <x14:cfRule type="expression" priority="296" id="{B34B889E-3F72-46CC-B919-F2649CE9DDC4}">
            <xm:f>'Sprachen &amp; Rückgabewerte(2)'!$M$62=3</xm:f>
            <x14:dxf>
              <border>
                <bottom style="thin">
                  <color rgb="FFFF0000"/>
                </bottom>
                <vertical/>
                <horizontal/>
              </border>
            </x14:dxf>
          </x14:cfRule>
          <x14:cfRule type="expression" priority="297" id="{DA9BAECB-833B-482E-B662-73C034B71526}">
            <xm:f>'Sprachen &amp; Rückgabewerte(2)'!$M$62=2</xm:f>
            <x14:dxf>
              <border>
                <bottom style="thin">
                  <color rgb="FFFF0000"/>
                </bottom>
                <vertical/>
                <horizontal/>
              </border>
            </x14:dxf>
          </x14:cfRule>
          <xm:sqref>C97:K97</xm:sqref>
        </x14:conditionalFormatting>
        <x14:conditionalFormatting xmlns:xm="http://schemas.microsoft.com/office/excel/2006/main">
          <x14:cfRule type="expression" priority="298" id="{3D8A8620-D7E1-426C-8E04-97FB0F0C5BEA}">
            <xm:f>'Sprachen &amp; Rückgabewerte(2)'!$M$60=0</xm:f>
            <x14:dxf>
              <border>
                <left style="thin">
                  <color rgb="FFFF0000"/>
                </left>
                <vertical/>
                <horizontal/>
              </border>
            </x14:dxf>
          </x14:cfRule>
          <xm:sqref>M73:M85</xm:sqref>
        </x14:conditionalFormatting>
        <x14:conditionalFormatting xmlns:xm="http://schemas.microsoft.com/office/excel/2006/main">
          <x14:cfRule type="expression" priority="299" id="{0D2EDF81-A9F6-4C30-BC79-9BA8FACA0C93}">
            <xm:f>'Sprachen &amp; Rückgabewerte(2)'!$M$60=0</xm:f>
            <x14:dxf>
              <border>
                <top style="thin">
                  <color rgb="FFFF0000"/>
                </top>
                <vertical/>
                <horizontal/>
              </border>
            </x14:dxf>
          </x14:cfRule>
          <xm:sqref>M73:S73</xm:sqref>
        </x14:conditionalFormatting>
        <x14:conditionalFormatting xmlns:xm="http://schemas.microsoft.com/office/excel/2006/main">
          <x14:cfRule type="expression" priority="300" id="{45F7383F-8DF4-4C56-B927-3E332B2CDAED}">
            <xm:f>'Sprachen &amp; Rückgabewerte(2)'!$M$60=0</xm:f>
            <x14:dxf>
              <border>
                <right style="thin">
                  <color rgb="FFFF0000"/>
                </right>
                <vertical/>
                <horizontal/>
              </border>
            </x14:dxf>
          </x14:cfRule>
          <xm:sqref>S73:S85</xm:sqref>
        </x14:conditionalFormatting>
        <x14:conditionalFormatting xmlns:xm="http://schemas.microsoft.com/office/excel/2006/main">
          <x14:cfRule type="expression" priority="294" id="{CC545DA3-9F22-4624-AEED-FF2EA3836C23}">
            <xm:f>'Sprachen &amp; Rückgabewerte(2)'!$M$60=0</xm:f>
            <x14:dxf>
              <border>
                <bottom style="thin">
                  <color rgb="FFFF0000"/>
                </bottom>
                <vertical/>
                <horizontal/>
              </border>
            </x14:dxf>
          </x14:cfRule>
          <xm:sqref>M85:S85</xm:sqref>
        </x14:conditionalFormatting>
        <x14:conditionalFormatting xmlns:xm="http://schemas.microsoft.com/office/excel/2006/main">
          <x14:cfRule type="expression" priority="302" id="{819966F5-7531-4A57-B216-186C962CC3B0}">
            <xm:f>'Sprachen &amp; Rückgabewerte(2)'!$M$56=0</xm:f>
            <x14:dxf>
              <border>
                <left style="thin">
                  <color rgb="FFFF0000"/>
                </left>
                <vertical/>
                <horizontal/>
              </border>
            </x14:dxf>
          </x14:cfRule>
          <xm:sqref>C62:C72</xm:sqref>
        </x14:conditionalFormatting>
        <x14:conditionalFormatting xmlns:xm="http://schemas.microsoft.com/office/excel/2006/main">
          <x14:cfRule type="expression" priority="141" id="{5B3A3746-BD1D-485F-A874-842285630582}">
            <xm:f>'Sprachen &amp; Rückgabewerte(2)'!$M$56=0</xm:f>
            <x14:dxf>
              <border>
                <bottom style="thin">
                  <color rgb="FFFF0000"/>
                </bottom>
                <vertical/>
                <horizontal/>
              </border>
            </x14:dxf>
          </x14:cfRule>
          <xm:sqref>C72:AB72</xm:sqref>
        </x14:conditionalFormatting>
        <x14:conditionalFormatting xmlns:xm="http://schemas.microsoft.com/office/excel/2006/main">
          <x14:cfRule type="expression" priority="304" id="{CBADA491-91FA-4214-91F3-9C0875FD55BD}">
            <xm:f>'Sprachen &amp; Rückgabewerte(2)'!$M$56=0</xm:f>
            <x14:dxf>
              <border>
                <right style="thin">
                  <color rgb="FFFF0000"/>
                </right>
                <vertical/>
                <horizontal/>
              </border>
            </x14:dxf>
          </x14:cfRule>
          <xm:sqref>AB62:AB72</xm:sqref>
        </x14:conditionalFormatting>
        <x14:conditionalFormatting xmlns:xm="http://schemas.microsoft.com/office/excel/2006/main">
          <x14:cfRule type="expression" priority="305" id="{789C721E-A06D-42D7-A389-5893A4B72973}">
            <xm:f>'Sprachen &amp; Rückgabewerte(2)'!$M$56=0</xm:f>
            <x14:dxf>
              <border>
                <top style="thin">
                  <color rgb="FFFF0000"/>
                </top>
                <vertical/>
                <horizontal/>
              </border>
            </x14:dxf>
          </x14:cfRule>
          <xm:sqref>C62:AB62</xm:sqref>
        </x14:conditionalFormatting>
        <x14:conditionalFormatting xmlns:xm="http://schemas.microsoft.com/office/excel/2006/main">
          <x14:cfRule type="expression" priority="127" id="{A31E02C2-3A3A-4C23-A03C-C14CDEA2DB2C}">
            <xm:f>'Sprachen &amp; Rückgabewerte(2)'!$M$66=FALSE</xm:f>
            <x14:dxf>
              <border>
                <left style="thin">
                  <color rgb="FFFF0000"/>
                </left>
                <vertical/>
                <horizontal/>
              </border>
            </x14:dxf>
          </x14:cfRule>
          <xm:sqref>AD73:AD81</xm:sqref>
        </x14:conditionalFormatting>
        <x14:conditionalFormatting xmlns:xm="http://schemas.microsoft.com/office/excel/2006/main">
          <x14:cfRule type="expression" priority="126" id="{4D934E17-5F8A-4229-BCD8-42C9A9C72167}">
            <xm:f>'Sprachen &amp; Rückgabewerte(2)'!$M$66=FALSE</xm:f>
            <x14:dxf>
              <border>
                <top style="thin">
                  <color rgb="FFFF0000"/>
                </top>
                <vertical/>
                <horizontal/>
              </border>
            </x14:dxf>
          </x14:cfRule>
          <xm:sqref>AD73:AT73</xm:sqref>
        </x14:conditionalFormatting>
        <x14:conditionalFormatting xmlns:xm="http://schemas.microsoft.com/office/excel/2006/main">
          <x14:cfRule type="expression" priority="125" id="{D41CECAC-FA17-479A-B19E-9FECB37FB43F}">
            <xm:f>'Sprachen &amp; Rückgabewerte(2)'!$M$66=FALSE</xm:f>
            <x14:dxf>
              <border>
                <right style="thin">
                  <color rgb="FFFF0000"/>
                </right>
                <vertical/>
                <horizontal/>
              </border>
            </x14:dxf>
          </x14:cfRule>
          <xm:sqref>AT73:AT81</xm:sqref>
        </x14:conditionalFormatting>
        <x14:conditionalFormatting xmlns:xm="http://schemas.microsoft.com/office/excel/2006/main">
          <x14:cfRule type="expression" priority="124" id="{85E8368E-97D6-46FC-9DA8-B33DB4614297}">
            <xm:f>'Sprachen &amp; Rückgabewerte(2)'!$M$66=FALSE</xm:f>
            <x14:dxf>
              <border>
                <bottom style="thin">
                  <color rgb="FFFF0000"/>
                </bottom>
                <vertical/>
                <horizontal/>
              </border>
            </x14:dxf>
          </x14:cfRule>
          <xm:sqref>AD81:AT81</xm:sqref>
        </x14:conditionalFormatting>
        <x14:conditionalFormatting xmlns:xm="http://schemas.microsoft.com/office/excel/2006/main">
          <x14:cfRule type="expression" priority="101" id="{E236D4E7-E52E-4B24-BA9F-60F464440F79}">
            <xm:f>'Sprachen &amp; Rückgabewerte(2)'!$I$19=FALSE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8" id="{53F2F195-B794-4064-9B82-486AB0DC7EDA}">
            <xm:f>'Sprachen &amp; Rückgabewerte(2)'!$I$13=FALSE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00" id="{7CF553DA-3106-4628-B475-BB89DCA786EB}">
            <xm:f>AND($AY$43&lt;&gt;0,'Sprachen &amp; Rückgabewerte(2)'!$I$19=TRUE)</xm:f>
            <x14:dxf>
              <border>
                <top style="thin">
                  <color rgb="FFFF0000"/>
                </top>
                <vertical/>
                <horizontal/>
              </border>
            </x14:dxf>
          </x14:cfRule>
          <x14:cfRule type="expression" priority="105" id="{EE5656AE-3E8F-4BBC-855A-21F237348006}">
            <xm:f>'Sprachen &amp; Rückgabewerte(2)'!$I$19=FALSE</xm:f>
            <x14:dxf>
              <border>
                <top/>
                <vertical/>
                <horizontal/>
              </border>
            </x14:dxf>
          </x14:cfRule>
          <xm:sqref>AU32:AV32</xm:sqref>
        </x14:conditionalFormatting>
        <x14:conditionalFormatting xmlns:xm="http://schemas.microsoft.com/office/excel/2006/main">
          <x14:cfRule type="expression" priority="104" id="{9129FC1D-B7DA-409D-9BBF-940AACF562F9}">
            <xm:f>AND($AY$43&lt;&gt;0,'Sprachen &amp; Rückgabewerte(2)'!$I$19=TRUE)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3" id="{27BD64E9-CDD5-4DB7-9F13-40A07390FA05}">
            <xm:f>AND($AY$43&lt;&gt;0,'Sprachen &amp; Rückgabewerte(2)'!$I$19=TRUE)</xm:f>
            <x14:dxf>
              <border>
                <right style="thin">
                  <color rgb="FFFF0000"/>
                </right>
                <vertical/>
                <horizontal/>
              </border>
            </x14:dxf>
          </x14:cfRule>
          <xm:sqref>BA33:BA43</xm:sqref>
        </x14:conditionalFormatting>
        <x14:conditionalFormatting xmlns:xm="http://schemas.microsoft.com/office/excel/2006/main">
          <x14:cfRule type="expression" priority="102" id="{2BE2311C-7F45-4254-ABEC-3D86EB763A75}">
            <xm:f>AND($AY$43&lt;&gt;0,'Sprachen &amp; Rückgabewerte(2)'!$I$19=TRUE)</xm:f>
            <x14:dxf>
              <border>
                <bottom style="thin">
                  <color rgb="FFFF0000"/>
                </bottom>
                <vertical/>
                <horizontal/>
              </border>
            </x14:dxf>
          </x14:cfRule>
          <xm:sqref>AW43:BA43</xm:sqref>
        </x14:conditionalFormatting>
        <x14:conditionalFormatting xmlns:xm="http://schemas.microsoft.com/office/excel/2006/main">
          <x14:cfRule type="expression" priority="106" id="{07930747-8E72-4F5E-BB1A-9179369DBBCC}">
            <xm:f>AND($AY$43&lt;&gt;0,'Sprachen &amp; Rückgabewerte(2)'!$I$19=TRUE)</xm:f>
            <x14:dxf>
              <border>
                <left style="thin">
                  <color rgb="FFFF0000"/>
                </left>
                <vertical/>
                <horizontal/>
              </border>
            </x14:dxf>
          </x14:cfRule>
          <xm:sqref>AW33:AW43</xm:sqref>
        </x14:conditionalFormatting>
        <x14:conditionalFormatting xmlns:xm="http://schemas.microsoft.com/office/excel/2006/main">
          <x14:cfRule type="expression" priority="99" id="{AFBC6E78-B560-4270-A513-9A7F408752EF}">
            <xm:f>AND($AY$43&lt;&gt;0,'Sprachen &amp; Rückgabewerte(2)'!$I$19=TRUE)</xm:f>
            <x14:dxf>
              <border>
                <top style="thin">
                  <color rgb="FFFF0000"/>
                </top>
                <vertical/>
                <horizontal/>
              </border>
            </x14:dxf>
          </x14:cfRule>
          <xm:sqref>AD32:AT32</xm:sqref>
        </x14:conditionalFormatting>
        <x14:conditionalFormatting xmlns:xm="http://schemas.microsoft.com/office/excel/2006/main">
          <x14:cfRule type="expression" priority="97" id="{B62123AB-AB32-4AA5-AB70-EAD388E77F5A}">
            <xm:f>AND($AY$43&lt;&gt;0,'Sprachen &amp; Rückgabewerte(2)'!$I$19=TRUE)</xm:f>
            <x14:dxf>
              <border>
                <bottom style="thin">
                  <color rgb="FFFF0000"/>
                </bottom>
                <vertical/>
                <horizontal/>
              </border>
            </x14:dxf>
          </x14:cfRule>
          <xm:sqref>AD40:AT40</xm:sqref>
        </x14:conditionalFormatting>
        <x14:conditionalFormatting xmlns:xm="http://schemas.microsoft.com/office/excel/2006/main">
          <x14:cfRule type="expression" priority="94" id="{411F5348-438C-49C9-A606-EE954E92A559}">
            <xm:f>AND('Sprachen &amp; Rückgabewerte(2)'!$I$50=TRUE,'Sprachen &amp; Rückgabewerte(2)'!$C$95&lt;&gt;0)</xm:f>
            <x14:dxf>
              <border>
                <top style="thin">
                  <color rgb="FFFF0000"/>
                </top>
                <vertical/>
                <horizontal/>
              </border>
            </x14:dxf>
          </x14:cfRule>
          <xm:sqref>B101:AU101</xm:sqref>
        </x14:conditionalFormatting>
        <x14:conditionalFormatting xmlns:xm="http://schemas.microsoft.com/office/excel/2006/main">
          <x14:cfRule type="expression" priority="93" id="{8E6C2D79-5AF6-4022-AFC9-21C572DEC138}">
            <xm:f>AND('Sprachen &amp; Rückgabewerte(2)'!$I$50=TRUE,'Sprachen &amp; Rückgabewerte(2)'!$C$95&lt;&gt;0)</xm:f>
            <x14:dxf>
              <border>
                <right style="thin">
                  <color rgb="FFFF0000"/>
                </right>
                <vertical/>
                <horizontal/>
              </border>
            </x14:dxf>
          </x14:cfRule>
          <xm:sqref>AU101:AU136</xm:sqref>
        </x14:conditionalFormatting>
        <x14:conditionalFormatting xmlns:xm="http://schemas.microsoft.com/office/excel/2006/main">
          <x14:cfRule type="expression" priority="92" id="{30DC40E8-3248-45CE-B34F-C0C6BE75FE62}">
            <xm:f>AND('Sprachen &amp; Rückgabewerte(2)'!$I$50=TRUE,'Sprachen &amp; Rückgabewerte(2)'!$C$95&lt;&gt;0)</xm:f>
            <x14:dxf>
              <border>
                <bottom style="thin">
                  <color rgb="FFFF0000"/>
                </bottom>
                <vertical/>
                <horizontal/>
              </border>
            </x14:dxf>
          </x14:cfRule>
          <xm:sqref>B136:AU136</xm:sqref>
        </x14:conditionalFormatting>
        <x14:conditionalFormatting xmlns:xm="http://schemas.microsoft.com/office/excel/2006/main">
          <x14:cfRule type="expression" priority="91" id="{3B4EBBFC-D10A-4A1E-B351-0B3CC249DD8D}">
            <xm:f>AND('Sprachen &amp; Rückgabewerte(2)'!$I$50=TRUE,'Sprachen &amp; Rückgabewerte(2)'!$C$95&lt;&gt;0)</xm:f>
            <x14:dxf>
              <border>
                <left style="thin">
                  <color rgb="FFFF0000"/>
                </left>
                <vertical/>
                <horizontal/>
              </border>
            </x14:dxf>
          </x14:cfRule>
          <xm:sqref>B101:B136</xm:sqref>
        </x14:conditionalFormatting>
        <x14:conditionalFormatting xmlns:xm="http://schemas.microsoft.com/office/excel/2006/main">
          <x14:cfRule type="expression" priority="90" id="{B1B3B17E-A4C1-4DF4-A2E0-C07014ADFA28}">
            <xm:f>AND('Sprachen &amp; Rückgabewerte(2)'!$I$50=TRUE,'Sprachen &amp; Rückgabewerte(2)'!$C$95&lt;&gt;0)</xm:f>
            <x14:dxf>
              <border>
                <top style="thin">
                  <color rgb="FFFF0000"/>
                </top>
                <bottom/>
                <vertical/>
                <horizontal/>
              </border>
            </x14:dxf>
          </x14:cfRule>
          <xm:sqref>AV101</xm:sqref>
        </x14:conditionalFormatting>
        <x14:conditionalFormatting xmlns:xm="http://schemas.microsoft.com/office/excel/2006/main">
          <x14:cfRule type="expression" priority="86" id="{D1E0FCA7-0707-4EA7-BDAD-280C06B5F8BA}">
            <xm:f>'Sprachen &amp; Rückgabewerte(2)'!$I$50=FALSE</xm:f>
            <x14:dxf>
              <border>
                <right/>
                <vertical/>
                <horizontal/>
              </border>
            </x14:dxf>
          </x14:cfRule>
          <x14:cfRule type="expression" priority="89" id="{742328CB-D8E0-4BA1-8C49-51D277BA8E4E}">
            <xm:f>AND('Sprachen &amp; Rückgabewerte(2)'!$I$50=TRUE,'Sprachen &amp; Rückgabewerte(2)'!$C$95&lt;&gt;0)</xm:f>
            <x14:dxf>
              <border>
                <right style="thin">
                  <color rgb="FFFF0000"/>
                </right>
                <vertical/>
                <horizontal/>
              </border>
            </x14:dxf>
          </x14:cfRule>
          <xm:sqref>AV84:AV100</xm:sqref>
        </x14:conditionalFormatting>
        <x14:conditionalFormatting xmlns:xm="http://schemas.microsoft.com/office/excel/2006/main">
          <x14:cfRule type="expression" priority="87" id="{0401E6D2-59ED-4DE5-9201-AB7082E079C7}">
            <xm:f>'Sprachen &amp; Rückgabewerte(2)'!$I$50=FALSE</xm:f>
            <x14:dxf>
              <border>
                <top/>
                <vertical/>
                <horizontal/>
              </border>
            </x14:dxf>
          </x14:cfRule>
          <x14:cfRule type="expression" priority="88" id="{BC082CA2-AD5F-4F54-8884-EE220757880B}">
            <xm:f>AND('Sprachen &amp; Rückgabewerte(2)'!$I$50=TRUE,'Sprachen &amp; Rückgabewerte(2)'!$C$95&lt;&gt;0)</xm:f>
            <x14:dxf>
              <border>
                <top style="thin">
                  <color rgb="FFFF0000"/>
                </top>
                <vertical/>
                <horizontal/>
              </border>
            </x14:dxf>
          </x14:cfRule>
          <xm:sqref>AU84:AV84</xm:sqref>
        </x14:conditionalFormatting>
        <x14:conditionalFormatting xmlns:xm="http://schemas.microsoft.com/office/excel/2006/main">
          <x14:cfRule type="expression" priority="85" id="{4CE18621-F5B9-4F5D-A7A1-60D24F513369}">
            <xm:f>'Sprachen &amp; Rückgabewerte(2)'!$I$50=FALSE</xm:f>
            <x14:dxf>
              <border>
                <bottom/>
                <vertical/>
                <horizontal/>
              </border>
            </x14:dxf>
          </x14:cfRule>
          <xm:sqref>AV100</xm:sqref>
        </x14:conditionalFormatting>
        <x14:conditionalFormatting xmlns:xm="http://schemas.microsoft.com/office/excel/2006/main">
          <x14:cfRule type="expression" priority="74" id="{F722DEA0-FF6A-489D-8BDE-AD71CA0968D0}">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6" id="{65A10A25-8703-46B7-854A-0E1D77E32737}">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35397B05-DB83-4FCC-B3A0-EA4650E2F0C5}">
            <xm:f>'Sprachen &amp; Rückgabewerte(2)'!$S$41=1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8" id="{3C63D121-F5EC-4650-801A-70FDE156AB26}">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9" id="{29A1A3B5-1BAF-43CB-BF7C-8EBE56B2608D}">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0" id="{53E6C3A4-55B7-4993-ACD2-1EBBB81589D1}">
            <xm:f>'Sprachen &amp; Rückgabewerte(2)'!$S$41=3</xm:f>
            <x14:dxf>
              <font>
                <b/>
                <i val="0"/>
                <color theme="1"/>
              </font>
            </x14:dxf>
          </x14:cfRule>
          <x14:cfRule type="expression" priority="311" id="{2E37BCD4-68F5-4AFD-B0FB-0E81CB9EDFE8}">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2" id="{9B01FDF4-F297-425B-BDA9-3F57C567A943}">
            <xm:f>'Sprachen &amp; Rückgabewerte(2)'!$S$41=3</xm:f>
            <x14:dxf>
              <font>
                <b/>
                <i val="0"/>
                <color theme="1"/>
              </font>
            </x14:dxf>
          </x14:cfRule>
          <xm:sqref>L46</xm:sqref>
        </x14:conditionalFormatting>
        <x14:conditionalFormatting xmlns:xm="http://schemas.microsoft.com/office/excel/2006/main">
          <x14:cfRule type="expression" priority="313" id="{92C3603A-2367-4047-B0A9-32C88C12D3BD}">
            <xm:f>'Sprachen &amp; Rückgabewerte(2)'!$S$41=2</xm:f>
            <x14:dxf>
              <font>
                <b/>
                <i val="0"/>
                <color theme="1"/>
              </font>
            </x14:dxf>
          </x14:cfRule>
          <x14:cfRule type="expression" priority="314" id="{8CAA5FF0-DC33-4503-B48D-DFE3F3BAFC7C}">
            <xm:f>'Sprachen &amp; Rückgabewerte(2)'!$S$41=3</xm:f>
            <x14:dxf>
              <font>
                <b/>
                <i val="0"/>
                <color theme="1"/>
              </font>
            </x14:dxf>
          </x14:cfRule>
          <xm:sqref>L47</xm:sqref>
        </x14:conditionalFormatting>
        <x14:conditionalFormatting xmlns:xm="http://schemas.microsoft.com/office/excel/2006/main">
          <x14:cfRule type="expression" priority="315" id="{852AD561-3D1C-4A19-930E-8F5FB6CB7B8D}">
            <xm:f>'Sprachen &amp; Rückgabewerte(2)'!$S$41=3</xm:f>
            <x14:dxf>
              <font>
                <b/>
                <i val="0"/>
                <color theme="1"/>
              </font>
            </x14:dxf>
          </x14:cfRule>
          <x14:cfRule type="expression" priority="316" id="{9C2FA01E-7E33-4C8A-B6C7-78E7D4E3F600}">
            <xm:f>'Sprachen &amp; Rückgabewerte(2)'!$S$41=2</xm:f>
            <x14:dxf>
              <font>
                <b/>
                <i val="0"/>
                <color theme="1"/>
              </font>
            </x14:dxf>
          </x14:cfRule>
          <x14:cfRule type="expression" priority="317" id="{21BB8D7D-2F55-4C55-ACD4-7A5E4A29B624}">
            <xm:f>'Sprachen &amp; Rückgabewerte(2)'!$S$41=1</xm:f>
            <x14:dxf>
              <font>
                <b/>
                <i val="0"/>
                <color theme="1"/>
              </font>
            </x14:dxf>
          </x14:cfRule>
          <xm:sqref>L48</xm:sqref>
        </x14:conditionalFormatting>
        <x14:conditionalFormatting xmlns:xm="http://schemas.microsoft.com/office/excel/2006/main">
          <x14:cfRule type="expression" priority="82" id="{5ECE9CE7-38B0-418B-90FD-AC3DBDF3BF55}">
            <xm:f>'Sprachen &amp; Rückgabewerte(2)'!$M$71=0</xm:f>
            <x14:dxf>
              <border>
                <top style="thin">
                  <color rgb="FFFF0000"/>
                </top>
                <vertical/>
                <horizontal/>
              </border>
            </x14:dxf>
          </x14:cfRule>
          <xm:sqref>AW45:AX45</xm:sqref>
        </x14:conditionalFormatting>
        <x14:conditionalFormatting xmlns:xm="http://schemas.microsoft.com/office/excel/2006/main">
          <x14:cfRule type="expression" priority="81" id="{8CF4E1BF-9289-40BE-AFAA-E5150B14C314}">
            <xm:f>'Sprachen &amp; Rückgabewerte(2)'!$M$71=0</xm:f>
            <x14:dxf>
              <border>
                <right style="thin">
                  <color rgb="FFFF0000"/>
                </right>
                <vertical/>
                <horizontal/>
              </border>
            </x14:dxf>
          </x14:cfRule>
          <xm:sqref>AX45:AX47 AW48:AX48 AX49</xm:sqref>
        </x14:conditionalFormatting>
        <x14:conditionalFormatting xmlns:xm="http://schemas.microsoft.com/office/excel/2006/main">
          <x14:cfRule type="expression" priority="80" id="{46E7842E-089E-4721-B0BD-6B5C375D1486}">
            <xm:f>'Sprachen &amp; Rückgabewerte(2)'!$M$71=0</xm:f>
            <x14:dxf>
              <border>
                <bottom style="thin">
                  <color rgb="FFFF0000"/>
                </bottom>
                <vertical/>
                <horizontal/>
              </border>
            </x14:dxf>
          </x14:cfRule>
          <xm:sqref>AW49:AX49</xm:sqref>
        </x14:conditionalFormatting>
        <x14:conditionalFormatting xmlns:xm="http://schemas.microsoft.com/office/excel/2006/main">
          <x14:cfRule type="expression" priority="79" id="{30968727-603C-49FA-8DB6-126D5118ABCC}">
            <xm:f>'Sprachen &amp; Rückgabewerte(2)'!$M$71=0</xm:f>
            <x14:dxf>
              <border>
                <left style="thin">
                  <color rgb="FFFF0000"/>
                </left>
                <vertical/>
                <horizontal/>
              </border>
            </x14:dxf>
          </x14:cfRule>
          <xm:sqref>AW49 AW48:AX48 AW45:AW47</xm:sqref>
        </x14:conditionalFormatting>
        <x14:conditionalFormatting xmlns:xm="http://schemas.microsoft.com/office/excel/2006/main">
          <x14:cfRule type="expression" priority="76" id="{4C1FAB1A-681A-43D8-8392-023CE2017350}">
            <xm:f>'Sprachen &amp; Rückgabewerte(2)'!$L$71=1</xm:f>
            <x14:dxf>
              <font>
                <color theme="0" tint="-0.14996795556505021"/>
              </font>
              <fill>
                <patternFill>
                  <bgColor theme="0" tint="-0.14996795556505021"/>
                </patternFill>
              </fill>
              <border>
                <top/>
                <vertical/>
                <horizontal/>
              </border>
            </x14:dxf>
          </x14:cfRule>
          <x14:cfRule type="expression" priority="78" id="{DAFA93CE-03BC-4BBE-8E60-F57B0128F740}">
            <xm:f>'Sprachen &amp; Rückgabewerte(2)'!$M$71=0</xm:f>
            <x14:dxf>
              <border>
                <top style="thin">
                  <color rgb="FFFF0000"/>
                </top>
                <vertical/>
                <horizontal/>
              </border>
            </x14:dxf>
          </x14:cfRule>
          <xm:sqref>AU45:AV45</xm:sqref>
        </x14:conditionalFormatting>
        <x14:conditionalFormatting xmlns:xm="http://schemas.microsoft.com/office/excel/2006/main">
          <x14:cfRule type="expression" priority="77" id="{66E833B5-BF56-44D0-8E28-A562192F0C76}">
            <xm:f>'Sprachen &amp; Rückgabewerte(2)'!$L$71=1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6" id="{59A7309D-3570-4444-8CC9-C5D08EA37F47}">
            <xm:f>'Sprachen &amp; Rückgabewerte(2)'!$I$50=FALSE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5" id="{CBFD3749-A7C8-49F7-BBAB-C0311A4FC390}">
            <xm:f>'Sprachen &amp; Rückgabewerte(2)'!$I$50=FALSE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4" id="{57EECBB6-DF54-4EEC-91E0-467E481ECB7F}">
            <xm:f>$AX$19='Sprachen &amp; Rückgabewerte(2)'!$H$155</xm:f>
            <x14:dxf>
              <font>
                <color rgb="FFFF0000"/>
              </font>
            </x14:dxf>
          </x14:cfRule>
          <xm:sqref>AX19:BA20</xm:sqref>
        </x14:conditionalFormatting>
        <x14:conditionalFormatting xmlns:xm="http://schemas.microsoft.com/office/excel/2006/main">
          <x14:cfRule type="expression" priority="51" id="{F8C299EF-8E5E-48EE-983E-00FC27EDCC0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5" id="{93C252E3-7222-4312-97E8-FB5F6E42794C}">
            <xm:f>$AN$80&lt;&gt;'Sprachen &amp; Rückgabewerte(2)'!$H$85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4" id="{C51DA512-8E4D-482F-80F0-32366B916C4C}">
            <xm:f>$AN$80&lt;&gt;'Sprachen &amp; Rückgabewerte(2)'!$H$86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9" id="{ED55D9E0-6240-4D08-942D-93E5949B000A}">
            <xm:f>'Sprachen &amp; Rückgabewerte(2)'!$I$5=FALSE</xm:f>
            <x14:dxf>
              <font>
                <color theme="0" tint="-0.14996795556505021"/>
              </font>
              <fill>
                <patternFill>
                  <bgColor theme="0" tint="-0.14996795556505021"/>
                </patternFill>
              </fill>
              <border>
                <left/>
                <right/>
                <top/>
                <bottom/>
              </border>
            </x14:dxf>
          </x14:cfRule>
          <xm:sqref>M6:Q6</xm:sqref>
        </x14:conditionalFormatting>
        <x14:conditionalFormatting xmlns:xm="http://schemas.microsoft.com/office/excel/2006/main">
          <x14:cfRule type="expression" priority="38" id="{941186F3-3E08-43F1-89AB-02282E29EF48}">
            <xm:f>'Sprachen &amp; Rückgabewerte(2)'!$U$49=FALSE</xm:f>
            <x14:dxf>
              <border>
                <top style="thin">
                  <color rgb="FFFF0000"/>
                </top>
                <vertical/>
                <horizontal/>
              </border>
            </x14:dxf>
          </x14:cfRule>
          <xm:sqref>E23:AR23</xm:sqref>
        </x14:conditionalFormatting>
        <x14:conditionalFormatting xmlns:xm="http://schemas.microsoft.com/office/excel/2006/main">
          <x14:cfRule type="expression" priority="37" id="{794192B1-2E36-4653-B012-5D7BA137946A}">
            <xm:f>'Sprachen &amp; Rückgabewerte(2)'!$U$49=FALSE</xm:f>
            <x14:dxf>
              <border>
                <left style="thin">
                  <color rgb="FFFF0000"/>
                </left>
                <vertical/>
                <horizontal/>
              </border>
            </x14:dxf>
          </x14:cfRule>
          <xm:sqref>E23:H25</xm:sqref>
        </x14:conditionalFormatting>
        <x14:conditionalFormatting xmlns:xm="http://schemas.microsoft.com/office/excel/2006/main">
          <x14:cfRule type="expression" priority="35" id="{4623920D-BC93-4CF4-AD6E-BA2103E0399A}">
            <xm:f>'Sprachen &amp; Rückgabewerte(2)'!$U$49=FALSE</xm:f>
            <x14:dxf>
              <border>
                <right style="thin">
                  <color rgb="FFFF0000"/>
                </right>
                <vertical/>
                <horizontal/>
              </border>
            </x14:dxf>
          </x14:cfRule>
          <xm:sqref>AO23:AR25</xm:sqref>
        </x14:conditionalFormatting>
        <x14:conditionalFormatting xmlns:xm="http://schemas.microsoft.com/office/excel/2006/main">
          <x14:cfRule type="expression" priority="34" id="{EFF80350-DA28-412B-92B1-C2F73EE21B48}">
            <xm:f>'Sprachen &amp; Rückgabewerte(2)'!$I$39=FALSE</xm:f>
            <x14:dxf>
              <font>
                <color theme="0" tint="-0.14996795556505021"/>
              </font>
              <fill>
                <patternFill>
                  <bgColor theme="0" tint="-0.14996795556505021"/>
                </patternFill>
              </fill>
              <border>
                <left/>
                <right/>
                <top/>
                <bottom/>
                <vertical/>
                <horizontal/>
              </border>
            </x14:dxf>
          </x14:cfRule>
          <xm:sqref>AG46</xm:sqref>
        </x14:conditionalFormatting>
        <x14:conditionalFormatting xmlns:xm="http://schemas.microsoft.com/office/excel/2006/main">
          <x14:cfRule type="expression" priority="33" id="{591CC803-2634-49C8-A5AA-83D4FCC2A770}">
            <xm:f>'Sprachen &amp; Rückgabewerte(2)'!$I$39=FALSE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0" id="{8859808A-4F1D-4894-A230-3EE1A071739F}">
            <xm:f>'Sprachen &amp; Rückgabewerte(2)'!$I$39=FALSE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29" id="{3B31FDF5-7F84-40DC-B864-772A4540432C}">
            <xm:f>AND('Sprachen &amp; Rückgabewerte(2)'!$C$16=1,$F$16="")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8" id="{188D7159-C0B7-450D-81A0-B4BA888E5186}">
            <xm:f>AND('Sprachen &amp; Rückgabewerte(2)'!$C$17=1,$J$16="")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7" id="{D39E6089-CE5A-4A2C-991E-32F18CC91AE9}">
            <xm:f>AND('Sprachen &amp; Rückgabewerte(2)'!$C$18=1,$N$16="")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6" id="{FCF520D1-F140-44B4-98D1-D9CE495A58D3}">
            <xm:f>AND('Sprachen &amp; Rückgabewerte(2)'!$C$19=1,$R$16="")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5" id="{20762176-2DCE-4D52-B7B5-DE948F0D554B}">
            <xm:f>AND('Sprachen &amp; Rückgabewerte(2)'!$C$20=1,$V$16="")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4" id="{7CA49AF0-74B5-454E-B262-4B925A729181}">
            <xm:f>AND('Sprachen &amp; Rückgabewerte(2)'!$C$21=1,$Z$16="")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3" id="{A3BCAC78-64DC-449A-A6ED-2BA987B81825}">
            <xm:f>AND('Sprachen &amp; Rückgabewerte(2)'!$C$22=1,$AD$16="")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2" id="{EC4776A2-B2AA-4C32-B564-A9D1EF158CF1}">
            <xm:f>AND('Sprachen &amp; Rückgabewerte(2)'!$C$23=1,$AH$16="")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1" id="{E33EAB3C-2D18-400D-9056-DA3A7CC89BC9}">
            <xm:f>AND('Sprachen &amp; Rückgabewerte(2)'!$C$24=1,$AL$16="")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0" id="{0EBF22BE-BEFB-45EE-8ABE-DA83C3FB8999}">
            <xm:f>AND('Sprachen &amp; Rückgabewerte(2)'!$C$25=1,$AP$16="")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19" id="{FFB2B137-3204-4D50-91AF-6D4878CB151D}">
            <xm:f>'Sprachen &amp; Rückgabewerte(2)'!$I$71=FALSE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8" id="{9EAC09B5-151A-44A1-B8F5-349FED99A149}">
            <xm:f>AND('Sprachen &amp; Rückgabewerte(2)'!$I$71=TRUE,$AP$74="",$AP$75="",$AP$76="")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5" id="{5F1B5C18-F817-4120-80A3-2D154D90F778}">
            <xm:f>OR($AQ$96='Sprachen &amp; Rückgabewerte(2)'!$H$96,$AQ$96="")</xm:f>
            <x14:dxf>
              <border>
                <bottom/>
                <vertical/>
                <horizontal/>
              </border>
            </x14:dxf>
          </x14:cfRule>
          <x14:cfRule type="expression" priority="16" id="{2A13778D-0BEA-4DAE-A0EB-85BCEB7D757C}">
            <xm:f>AND($AQ$96='Sprachen &amp; Rückgabewerte(2)'!$H$95,$AW$96="")</xm:f>
            <x14:dxf>
              <border>
                <bottom style="thin">
                  <color rgb="FFFF0000"/>
                </bottom>
                <vertical/>
                <horizontal/>
              </border>
            </x14:dxf>
          </x14:cfRule>
          <xm:sqref>AS96:AV96</xm:sqref>
        </x14:conditionalFormatting>
        <x14:conditionalFormatting xmlns:xm="http://schemas.microsoft.com/office/excel/2006/main">
          <x14:cfRule type="expression" priority="13" id="{0F18942F-A18A-4C27-8DC2-5792BF10566D}">
            <xm:f>OR($AQ$96='Sprachen &amp; Rückgabewerte(2)'!$H$96,$AQ$96="")</xm:f>
            <x14:dxf>
              <font>
                <color theme="0" tint="-0.14996795556505021"/>
              </font>
              <fill>
                <patternFill>
                  <bgColor theme="0" tint="-0.14996795556505021"/>
                </patternFill>
              </fill>
              <border>
                <left/>
                <right/>
                <top/>
                <bottom/>
                <vertical/>
                <horizontal/>
              </border>
            </x14:dxf>
          </x14:cfRule>
          <x14:cfRule type="expression" priority="14" id="{2BCCD052-C6C6-4EC6-A71F-EFE14FA8735C}">
            <xm:f>AND($AQ$96='Sprachen &amp; Rückgabewerte(2)'!$H$95,$AW$96="")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2" id="{5EE61FE4-CB14-4A6D-8EB3-59F9485690F8}">
            <xm:f>OR($AQ$96='Sprachen &amp; Rückgabewerte(2)'!$H$96,$AQ$96="")</xm:f>
            <x14:dxf>
              <font>
                <color theme="0" tint="-0.14996795556505021"/>
              </font>
              <fill>
                <patternFill>
                  <bgColor theme="0" tint="-0.14996795556505021"/>
                </patternFill>
              </fill>
            </x14:dxf>
          </x14:cfRule>
          <xm:sqref>AW95</xm:sqref>
        </x14:conditionalFormatting>
        <x14:conditionalFormatting xmlns:xm="http://schemas.microsoft.com/office/excel/2006/main">
          <x14:cfRule type="expression" priority="11" id="{BE76842E-50D0-4441-B0C6-8CD85B854BA6}">
            <xm:f>'Sprachen &amp; Rückgabewerte(2)'!$W$68&gt;0</xm:f>
            <x14:dxf>
              <border>
                <bottom style="thin">
                  <color rgb="FFFF0000"/>
                </bottom>
                <vertical/>
                <horizontal/>
              </border>
            </x14:dxf>
          </x14:cfRule>
          <xm:sqref>AD97:AT97</xm:sqref>
        </x14:conditionalFormatting>
        <x14:conditionalFormatting xmlns:xm="http://schemas.microsoft.com/office/excel/2006/main">
          <x14:cfRule type="expression" priority="10" id="{2A2EEC79-D26D-42E5-ABD2-A49D5CC54AC8}">
            <xm:f>'Sprachen &amp; Rückgabewerte(2)'!$W$68&gt;0</xm:f>
            <x14:dxf>
              <border>
                <top style="thin">
                  <color rgb="FFFF0000"/>
                </top>
                <vertical/>
                <horizontal/>
              </border>
            </x14:dxf>
          </x14:cfRule>
          <xm:sqref>AD95:AT95</xm:sqref>
        </x14:conditionalFormatting>
        <x14:conditionalFormatting xmlns:xm="http://schemas.microsoft.com/office/excel/2006/main">
          <x14:cfRule type="expression" priority="9" id="{CCB0F93E-95DB-41FC-8CF7-9634A7E78704}">
            <xm:f>'Sprachen &amp; Rückgabewerte(2)'!$W$68&gt;0</xm:f>
            <x14:dxf>
              <border>
                <left style="thin">
                  <color rgb="FFFF0000"/>
                </left>
                <vertical/>
                <horizontal/>
              </border>
            </x14:dxf>
          </x14:cfRule>
          <xm:sqref>AD95:AD97</xm:sqref>
        </x14:conditionalFormatting>
        <x14:conditionalFormatting xmlns:xm="http://schemas.microsoft.com/office/excel/2006/main">
          <x14:cfRule type="expression" priority="8" id="{45C895E7-10DD-46BC-94FB-3B9579D6CD4E}">
            <xm:f>'Sprachen &amp; Rückgabewerte(2)'!$W$68&gt;0</xm:f>
            <x14:dxf>
              <border>
                <right style="thin">
                  <color rgb="FFFF0000"/>
                </right>
                <vertical/>
                <horizontal/>
              </border>
            </x14:dxf>
          </x14:cfRule>
          <xm:sqref>AT95:AT97</xm:sqref>
        </x14:conditionalFormatting>
        <x14:conditionalFormatting xmlns:xm="http://schemas.microsoft.com/office/excel/2006/main">
          <x14:cfRule type="expression" priority="4" id="{57CB907E-79BC-4AE6-986F-6956713DFB60}">
            <xm:f>'Sprachen &amp; Rückgabewerte(2)'!$W$78&lt;&gt;0</xm:f>
            <x14:dxf>
              <border>
                <bottom style="thin">
                  <color rgb="FFFF0000"/>
                </bottom>
                <vertical/>
                <horizontal/>
              </border>
            </x14:dxf>
          </x14:cfRule>
          <xm:sqref>AW11:BB11</xm:sqref>
        </x14:conditionalFormatting>
        <x14:conditionalFormatting xmlns:xm="http://schemas.microsoft.com/office/excel/2006/main">
          <x14:cfRule type="expression" priority="3" id="{DEAE5C64-1883-463C-A170-500AF25DBB62}">
            <xm:f>'Sprachen &amp; Rückgabewerte(2)'!$W$78&lt;&gt;0</xm:f>
            <x14:dxf>
              <border>
                <top style="thin">
                  <color rgb="FFFF0000"/>
                </top>
                <vertical/>
                <horizontal/>
              </border>
            </x14:dxf>
          </x14:cfRule>
          <xm:sqref>AW6:BB6</xm:sqref>
        </x14:conditionalFormatting>
        <x14:conditionalFormatting xmlns:xm="http://schemas.microsoft.com/office/excel/2006/main">
          <x14:cfRule type="expression" priority="2" id="{503B4B75-C2DE-434D-93C3-F920C4AA4AA3}">
            <xm:f>'Sprachen &amp; Rückgabewerte(2)'!$W$78&lt;&gt;0</xm:f>
            <x14:dxf>
              <border>
                <left style="thin">
                  <color rgb="FFFF0000"/>
                </left>
                <vertical/>
                <horizontal/>
              </border>
            </x14:dxf>
          </x14:cfRule>
          <xm:sqref>AW6:AW11</xm:sqref>
        </x14:conditionalFormatting>
        <x14:conditionalFormatting xmlns:xm="http://schemas.microsoft.com/office/excel/2006/main">
          <x14:cfRule type="expression" priority="1" id="{D640FA6D-7428-4FF0-B43C-A968EC1AFB09}">
            <xm:f>'Sprachen &amp; Rückgabewerte(2)'!$W$78&lt;&gt;0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1">
        <x14:dataValidation type="list" allowBlank="1" showInputMessage="1" showErrorMessage="1" xr:uid="{40BE8C25-6711-477C-A6BE-F9C538B97BDB}">
          <x14:formula1>
            <xm:f>'Sprachen &amp; Rückgabewerte(2)'!$M$86:$M$138</xm:f>
          </x14:formula1>
          <xm:sqref>AM88:AR88</xm:sqref>
        </x14:dataValidation>
        <x14:dataValidation type="list" showInputMessage="1" showErrorMessage="1" xr:uid="{7E324F4F-46E5-4CB6-8EAE-8C28749D463F}">
          <x14:formula1>
            <xm:f>'Sprachen &amp; Rückgabewerte(2)'!$B$70:$B$72</xm:f>
          </x14:formula1>
          <xm:sqref>H85:K85 V85:Y85 O85:R85 X72:AA72</xm:sqref>
        </x14:dataValidation>
        <x14:dataValidation type="list" allowBlank="1" showInputMessage="1" showErrorMessage="1" xr:uid="{03A286D0-669D-4B8C-B9F1-B0188682E10E}">
          <x14:formula1>
            <xm:f>'Sprachen &amp; Rückgabewerte(2)'!$H$103:$H$107</xm:f>
          </x14:formula1>
          <xm:sqref>G20:AP20</xm:sqref>
        </x14:dataValidation>
        <x14:dataValidation type="list" showInputMessage="1" showErrorMessage="1" xr:uid="{0904C942-6935-490B-8593-58EE9C718030}">
          <x14:formula1>
            <xm:f>'Sprachen &amp; Rückgabewerte(2)'!$B$33:$B$34</xm:f>
          </x14:formula1>
          <xm:sqref>E23:AR25</xm:sqref>
        </x14:dataValidation>
        <x14:dataValidation type="list" showInputMessage="1" showErrorMessage="1" xr:uid="{9E5BB431-5FCA-4824-B802-736BA3EF80C3}">
          <x14:formula1>
            <xm:f>'Sprachen &amp; Rückgabewerte(2)'!$A$11:$A$18</xm:f>
          </x14:formula1>
          <xm:sqref>AM43:AQ43</xm:sqref>
        </x14:dataValidation>
        <x14:dataValidation type="list" showInputMessage="1" showErrorMessage="1" xr:uid="{46B3FD33-1C62-4996-8B81-2E99D56BE0DB}">
          <x14:formula1>
            <xm:f>'Sprachen &amp; Rückgabewerte(2)'!$A$19:$A$21</xm:f>
          </x14:formula1>
          <xm:sqref>AR43:AS43</xm:sqref>
        </x14:dataValidation>
        <x14:dataValidation type="list" allowBlank="1" showInputMessage="1" showErrorMessage="1" xr:uid="{73485870-78D0-4E26-90DC-509A4E0C74FB}">
          <x14:formula1>
            <xm:f>'Sprachen &amp; Rückgabewerte(2)'!$J$67:$J$69</xm:f>
          </x14:formula1>
          <xm:sqref>AN70:AS70</xm:sqref>
        </x14:dataValidation>
        <x14:dataValidation type="list" allowBlank="1" showInputMessage="1" showErrorMessage="1" xr:uid="{3366F037-8663-499E-BAC9-23DB759C4BA2}">
          <x14:formula1>
            <xm:f>'Sprachen &amp; Rückgabewerte(2)'!$J$77:$J$79</xm:f>
          </x14:formula1>
          <xm:sqref>AN78:AP78</xm:sqref>
        </x14:dataValidation>
        <x14:dataValidation type="list" allowBlank="1" showInputMessage="1" showErrorMessage="1" xr:uid="{D3BDEC47-694E-42E8-A81D-D7F928E69B3F}">
          <x14:formula1>
            <xm:f>'Sprachen &amp; Rückgabewerte(2)'!$J$80:$J$82</xm:f>
          </x14:formula1>
          <xm:sqref>AN79:AP79</xm:sqref>
        </x14:dataValidation>
        <x14:dataValidation type="list" allowBlank="1" showInputMessage="1" showErrorMessage="1" xr:uid="{AE0156C5-1821-4331-BC02-CA8D9F60B446}">
          <x14:formula1>
            <xm:f>'Sprachen &amp; Rückgabewerte(2)'!$J$84:$J$86</xm:f>
          </x14:formula1>
          <xm:sqref>AN80:AS80</xm:sqref>
        </x14:dataValidation>
        <x14:dataValidation type="list" showInputMessage="1" showErrorMessage="1" xr:uid="{64D4BA72-52AB-43B6-9FE2-6E5766DB5FAE}">
          <x14:formula1>
            <xm:f>'Sprachen &amp; Rückgabewerte(2)'!$B$73:$B$75</xm:f>
          </x14:formula1>
          <xm:sqref>H96:K96</xm:sqref>
        </x14:dataValidation>
        <x14:dataValidation type="list" showInputMessage="1" showErrorMessage="1" xr:uid="{20591D4A-F38D-42DA-9C2E-A28C6BCDC5A8}">
          <x14:formula1>
            <xm:f>'Sprachen &amp; Rückgabewerte(2)'!$B$76:$B$78</xm:f>
          </x14:formula1>
          <xm:sqref>O96:R96</xm:sqref>
        </x14:dataValidation>
        <x14:dataValidation type="list" allowBlank="1" showInputMessage="1" showErrorMessage="1" xr:uid="{04EB4044-B89B-46E6-86C8-B5651B3918E9}">
          <x14:formula1>
            <xm:f>'Sprachen &amp; Rückgabewerte(2)'!$B$9:$B$14</xm:f>
          </x14:formula1>
          <xm:sqref>F10:G10 J10:K10 N10:O10 R10:S10 V10:W10 Z10:AA10 AD10:AE10 AH10:AI10 AL10:AM10 AP10:AQ10</xm:sqref>
        </x14:dataValidation>
        <x14:dataValidation type="list" showInputMessage="1" showErrorMessage="1" xr:uid="{0624AA21-ADAC-419A-9CFC-BB008FADCD80}">
          <x14:formula1>
            <xm:f>'Sprachen &amp; Rückgabewerte(2)'!$B$67:$B$69</xm:f>
          </x14:formula1>
          <xm:sqref>F72:I72 L72:O72 R72:U72</xm:sqref>
        </x14:dataValidation>
        <x14:dataValidation type="list" allowBlank="1" showInputMessage="1" showErrorMessage="1" xr:uid="{CC7EC063-AFF7-438B-9183-70BA5DC3CC1E}">
          <x14:formula1>
            <xm:f>'Sprachen &amp; Rückgabewerte(2)'!$J$91:$J$93</xm:f>
          </x14:formula1>
          <xm:sqref>AM49:AP49</xm:sqref>
        </x14:dataValidation>
        <x14:dataValidation type="list" allowBlank="1" showInputMessage="1" showErrorMessage="1" xr:uid="{4E830C87-4529-4F1D-9E93-E4EE530FB1EB}">
          <x14:formula1>
            <xm:f>'Sprachen &amp; Rückgabewerte(2)'!$N$78:$N$80</xm:f>
          </x14:formula1>
          <xm:sqref>AE70:AL70</xm:sqref>
        </x14:dataValidation>
        <x14:dataValidation type="list" allowBlank="1" showInputMessage="1" showErrorMessage="1" xr:uid="{6F069BB0-302E-4A90-9D5A-424320AAAB6E}">
          <x14:formula1>
            <xm:f>'Sprachen &amp; Rückgabewerte(2)'!$J$133:$J$136</xm:f>
          </x14:formula1>
          <xm:sqref>AX33:AY42</xm:sqref>
        </x14:dataValidation>
        <x14:dataValidation type="list" allowBlank="1" showInputMessage="1" showErrorMessage="1" xr:uid="{EF20B146-7100-4598-B6FE-216AE2287326}">
          <x14:formula1>
            <xm:f>'Sprachen &amp; Rückgabewerte(2)'!$B$81:$B$84</xm:f>
          </x14:formula1>
          <xm:sqref>T104</xm:sqref>
        </x14:dataValidation>
        <x14:dataValidation type="list" allowBlank="1" showInputMessage="1" showErrorMessage="1" xr:uid="{EC056238-B2A3-482C-836B-6886BE51B225}">
          <x14:formula1>
            <xm:f>'Sprachen &amp; Rückgabewerte(2)'!$J$142:$J$144</xm:f>
          </x14:formula1>
          <xm:sqref>T110</xm:sqref>
        </x14:dataValidation>
        <x14:dataValidation type="list" allowBlank="1" showInputMessage="1" showErrorMessage="1" xr:uid="{74C2BAA2-96AB-46AC-8B83-51930DC85E4E}">
          <x14:formula1>
            <xm:f>'Sprachen &amp; Rückgabewerte(2)'!$J$145:$J$147</xm:f>
          </x14:formula1>
          <xm:sqref>T114</xm:sqref>
        </x14:dataValidation>
        <x14:dataValidation type="list" showInputMessage="1" showErrorMessage="1" xr:uid="{618ED1D0-5E7D-43FE-9192-362C90702454}">
          <x14:formula1>
            <xm:f>'Sprachen &amp; Rückgabewerte(2)'!$R$41:$R$43</xm:f>
          </x14:formula1>
          <xm:sqref>AF11:AG11 AN11:AO11 X11:Y11 T11:U11 P11:Q11 L11:M11 AB11:AC11 AJ11:AK11 H11:I11</xm:sqref>
        </x14:dataValidation>
        <x14:dataValidation type="list" allowBlank="1" showInputMessage="1" showErrorMessage="1" xr:uid="{A9BAC937-5728-468A-915A-F3EE05BC2CA0}">
          <x14:formula1>
            <xm:f>'Sprachen &amp; Rückgabewerte(2)'!$Q$41:$Q$51</xm:f>
          </x14:formula1>
          <xm:sqref>AP74:AP76</xm:sqref>
        </x14:dataValidation>
        <x14:dataValidation type="list" showInputMessage="1" showErrorMessage="1" errorTitle="SG-Typ auswählen" error="Bitte wählen Sie einen Sky-Glass Typ aus. Spezialaufbau bitte im Feld Speziell eingeben!" xr:uid="{DBE34B75-42D9-4869-BF8A-79FEB11E7D19}">
          <x14:formula1>
            <xm:f>'Sprachen &amp; Rückgabewerte(2)'!$V$3:$V$9</xm:f>
          </x14:formula1>
          <xm:sqref>AE53:AG53</xm:sqref>
        </x14:dataValidation>
        <x14:dataValidation type="list" allowBlank="1" showInputMessage="1" showErrorMessage="1" xr:uid="{016F3463-9D2A-49CC-A11A-7257369374EF}">
          <x14:formula1>
            <xm:f>'Sprachen &amp; Rückgabewerte(2)'!$J$150:$J$153</xm:f>
          </x14:formula1>
          <xm:sqref>AW48:AX48</xm:sqref>
        </x14:dataValidation>
        <x14:dataValidation type="list" allowBlank="1" showInputMessage="1" showErrorMessage="1" xr:uid="{3BDE14CC-A289-40A4-82A5-30E4D9F51D20}">
          <x14:formula1>
            <xm:f>'Sprachen &amp; Rückgabewerte(2)'!$J$87:$J$89</xm:f>
          </x14:formula1>
          <xm:sqref>AE84:AL84</xm:sqref>
        </x14:dataValidation>
        <x14:dataValidation type="list" showInputMessage="1" showErrorMessage="1" xr:uid="{FB3ED750-F301-4775-BD4A-FEA04C3EE2DA}">
          <x14:formula1>
            <xm:f>'Sprachen &amp; Rückgabewerte(2)'!$J$174:$J$175</xm:f>
          </x14:formula1>
          <xm:sqref>AM46:AS46</xm:sqref>
        </x14:dataValidation>
        <x14:dataValidation type="list" showInputMessage="1" showErrorMessage="1" xr:uid="{36C413A6-4D1A-4599-8F3D-50FCA94EC3F5}">
          <x14:formula1>
            <xm:f>'Sprachen &amp; Rückgabewerte(2)'!$J$177:$J$178</xm:f>
          </x14:formula1>
          <xm:sqref>AM47:AS47</xm:sqref>
        </x14:dataValidation>
        <x14:dataValidation type="list" allowBlank="1" showInputMessage="1" showErrorMessage="1" xr:uid="{36732143-2D57-4C7D-8621-86CCA09AC62A}">
          <x14:formula1>
            <xm:f>'Sprachen &amp; Rückgabewerte(2)'!$A$28:$A$30</xm:f>
          </x14:formula1>
          <xm:sqref>F16:G17 J16:K17 N16:O17 R16:S17 V16:W17 Z16:AA17 AD16:AE17 AH16:AI17 AL16:AM17 AP16:AQ17</xm:sqref>
        </x14:dataValidation>
        <x14:dataValidation type="list" allowBlank="1" showInputMessage="1" showErrorMessage="1" xr:uid="{D11B35C8-BEAD-4B78-9CF6-3E479A84E359}">
          <x14:formula1>
            <xm:f>'Sprachen &amp; Rückgabewerte(2)'!$H$95:$H$96</xm:f>
          </x14:formula1>
          <xm:sqref>AQ96:AR96</xm:sqref>
        </x14:dataValidation>
        <x14:dataValidation type="list" allowBlank="1" showInputMessage="1" showErrorMessage="1" xr:uid="{1AFA02CA-41C4-4BB5-9C50-75667D147F37}">
          <x14:formula1>
            <xm:f>'Sprachen &amp; Rückgabewerte(2)'!$H$198:$H$199</xm:f>
          </x14:formula1>
          <xm:sqref>AZ9:BA9</xm:sqref>
        </x14:dataValidation>
        <x14:dataValidation type="list" allowBlank="1" showInputMessage="1" showErrorMessage="1" xr:uid="{C2242DE2-787F-4620-9C17-B30A95593100}">
          <x14:formula1>
            <xm:f>'Sprachen &amp; Rückgabewerte(2)'!$H$196:$H$197</xm:f>
          </x14:formula1>
          <xm:sqref>AZ10:BA10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44BD-1760-4493-9363-83E0D4F565BA}">
  <dimension ref="A1:AF206"/>
  <sheetViews>
    <sheetView showGridLines="0" zoomScale="70" zoomScaleNormal="70" workbookViewId="0">
      <selection activeCell="B3" sqref="B3"/>
    </sheetView>
  </sheetViews>
  <sheetFormatPr baseColWidth="10" defaultRowHeight="12.75" x14ac:dyDescent="0.2"/>
  <cols>
    <col min="1" max="1" width="19.140625" style="279" customWidth="1"/>
    <col min="2" max="2" width="16.7109375" style="279" customWidth="1"/>
    <col min="3" max="3" width="11.42578125" style="279" customWidth="1"/>
    <col min="4" max="7" width="40.7109375" style="279" customWidth="1"/>
    <col min="8" max="8" width="34.28515625" style="279" customWidth="1"/>
    <col min="9" max="9" width="30.42578125" style="279" customWidth="1"/>
    <col min="10" max="10" width="25.7109375" style="279" customWidth="1"/>
    <col min="11" max="11" width="15.5703125" style="279" customWidth="1"/>
    <col min="12" max="12" width="13.42578125" style="279" customWidth="1"/>
    <col min="13" max="13" width="16.140625" style="279" customWidth="1"/>
    <col min="14" max="17" width="11.42578125" style="279"/>
    <col min="18" max="18" width="12.5703125" style="279" customWidth="1"/>
    <col min="19" max="19" width="10.140625" style="279" customWidth="1"/>
    <col min="20" max="20" width="10.28515625" style="279" customWidth="1"/>
    <col min="21" max="21" width="21.5703125" style="279" customWidth="1"/>
    <col min="22" max="26" width="11.42578125" style="279"/>
    <col min="27" max="27" width="12.28515625" style="279" customWidth="1"/>
    <col min="28" max="28" width="11.42578125" style="279"/>
    <col min="29" max="31" width="26.42578125" style="279" customWidth="1"/>
    <col min="32" max="16384" width="11.42578125" style="279"/>
  </cols>
  <sheetData>
    <row r="1" spans="1:32" ht="13.5" thickBot="1" x14ac:dyDescent="0.25">
      <c r="H1" s="45" t="s">
        <v>214</v>
      </c>
      <c r="L1" s="279" t="s">
        <v>181</v>
      </c>
      <c r="M1" s="279" t="s">
        <v>182</v>
      </c>
      <c r="N1" s="279" t="s">
        <v>183</v>
      </c>
      <c r="R1" s="279" t="s">
        <v>608</v>
      </c>
      <c r="S1" s="279" t="s">
        <v>609</v>
      </c>
      <c r="T1" s="279" t="s">
        <v>610</v>
      </c>
      <c r="W1" s="316" t="str">
        <f>IF($I$125=TRUE,R1,L1)</f>
        <v>Ug=</v>
      </c>
      <c r="X1" s="330" t="str">
        <f>IF($I$125=TRUE,S1,M1)</f>
        <v>Lt=</v>
      </c>
      <c r="Y1" s="330" t="str">
        <f>IF($I$125=TRUE,T1,N1)</f>
        <v>g=</v>
      </c>
    </row>
    <row r="2" spans="1:32" x14ac:dyDescent="0.2">
      <c r="B2" s="28" t="s">
        <v>178</v>
      </c>
      <c r="C2" s="29" t="s">
        <v>91</v>
      </c>
      <c r="D2" s="15" t="s">
        <v>443</v>
      </c>
      <c r="E2" s="16" t="s">
        <v>444</v>
      </c>
      <c r="F2" s="16" t="s">
        <v>445</v>
      </c>
      <c r="G2" s="17" t="s">
        <v>446</v>
      </c>
      <c r="H2" s="436" t="str">
        <f>IF($B$3=$A$3,D2,IF($B$3=$A$4,E2,IF($B$3=$A$5,F2,IF($B$3=$A$6,G2,""))))</f>
        <v>Sprache:</v>
      </c>
      <c r="I2" s="45" t="s">
        <v>194</v>
      </c>
      <c r="K2" s="33" t="s">
        <v>611</v>
      </c>
      <c r="L2" s="437"/>
      <c r="M2" s="437"/>
      <c r="N2" s="437"/>
      <c r="O2" s="437"/>
      <c r="P2" s="438"/>
      <c r="Q2" s="33" t="s">
        <v>612</v>
      </c>
      <c r="R2" s="437"/>
      <c r="S2" s="437"/>
      <c r="T2" s="437"/>
      <c r="U2" s="438"/>
      <c r="V2" s="33" t="s">
        <v>613</v>
      </c>
      <c r="W2" s="437"/>
      <c r="X2" s="437"/>
      <c r="Y2" s="437"/>
      <c r="Z2" s="437"/>
      <c r="AA2" s="438"/>
      <c r="AB2" s="439"/>
      <c r="AC2" s="439"/>
      <c r="AD2" s="439"/>
      <c r="AE2" s="439"/>
      <c r="AF2" s="439"/>
    </row>
    <row r="3" spans="1:32" x14ac:dyDescent="0.2">
      <c r="A3" s="279">
        <v>1</v>
      </c>
      <c r="B3" s="440">
        <v>1</v>
      </c>
      <c r="C3" s="441" t="s">
        <v>92</v>
      </c>
      <c r="D3" s="442" t="s">
        <v>92</v>
      </c>
      <c r="E3" s="443" t="s">
        <v>93</v>
      </c>
      <c r="F3" s="443" t="s">
        <v>94</v>
      </c>
      <c r="G3" s="444" t="s">
        <v>95</v>
      </c>
      <c r="H3" s="436" t="str">
        <f>IF($B$3=$A$3,D3,IF($B$3=$A$4,E3,IF($B$3=$A$5,F3,IF($B$3=$A$6,G3,""))))</f>
        <v>DEUTSCH</v>
      </c>
      <c r="I3" s="445"/>
      <c r="K3" s="329" t="s">
        <v>781</v>
      </c>
      <c r="L3" s="330">
        <v>5.7</v>
      </c>
      <c r="M3" s="330">
        <v>89</v>
      </c>
      <c r="N3" s="330">
        <v>84</v>
      </c>
      <c r="O3" s="330" t="s">
        <v>787</v>
      </c>
      <c r="P3" s="446"/>
      <c r="Q3" s="329" t="s">
        <v>232</v>
      </c>
      <c r="R3" s="447">
        <v>0.34</v>
      </c>
      <c r="S3" s="330">
        <v>0.49</v>
      </c>
      <c r="T3" s="330">
        <v>0.67</v>
      </c>
      <c r="U3" s="446" t="s">
        <v>643</v>
      </c>
      <c r="V3" s="329" t="str">
        <f t="shared" ref="V3:Z25" si="0">IF($I$125=TRUE,Q3,K3)</f>
        <v>SG-71</v>
      </c>
      <c r="W3" s="316">
        <f t="shared" si="0"/>
        <v>5.7</v>
      </c>
      <c r="X3" s="330">
        <f t="shared" si="0"/>
        <v>89</v>
      </c>
      <c r="Y3" s="330">
        <f t="shared" si="0"/>
        <v>84</v>
      </c>
      <c r="Z3" s="330" t="str">
        <f t="shared" si="0"/>
        <v>ESG 6</v>
      </c>
      <c r="AA3" s="446"/>
      <c r="AB3" s="439"/>
      <c r="AC3" s="448"/>
      <c r="AD3" s="448"/>
      <c r="AE3" s="448"/>
      <c r="AF3" s="439"/>
    </row>
    <row r="4" spans="1:32" x14ac:dyDescent="0.2">
      <c r="A4" s="279">
        <v>2</v>
      </c>
      <c r="B4" s="449"/>
      <c r="C4" s="450" t="s">
        <v>93</v>
      </c>
      <c r="D4" s="329" t="s">
        <v>96</v>
      </c>
      <c r="E4" s="451" t="s">
        <v>97</v>
      </c>
      <c r="F4" s="451" t="s">
        <v>98</v>
      </c>
      <c r="G4" s="452" t="s">
        <v>99</v>
      </c>
      <c r="H4" s="436" t="str">
        <f>IF($B$3=$A$3,D4,IF($B$3=$A$4,E4,IF($B$3=$A$5,F4,IF($B$3=$A$6,G4,""))))</f>
        <v>BESTELLUNG</v>
      </c>
      <c r="I4" s="445"/>
      <c r="K4" s="280" t="s">
        <v>782</v>
      </c>
      <c r="L4" s="316">
        <v>5.6</v>
      </c>
      <c r="M4" s="316">
        <v>88</v>
      </c>
      <c r="N4" s="316">
        <v>80</v>
      </c>
      <c r="O4" s="316" t="s">
        <v>788</v>
      </c>
      <c r="P4" s="317"/>
      <c r="Q4" s="280" t="s">
        <v>233</v>
      </c>
      <c r="R4" s="316">
        <v>0.34</v>
      </c>
      <c r="S4" s="316">
        <v>0.48</v>
      </c>
      <c r="T4" s="316">
        <v>0.66</v>
      </c>
      <c r="U4" s="317" t="s">
        <v>644</v>
      </c>
      <c r="V4" s="280" t="str">
        <f t="shared" si="0"/>
        <v>SG-72</v>
      </c>
      <c r="W4" s="316">
        <f t="shared" si="0"/>
        <v>5.6</v>
      </c>
      <c r="X4" s="316">
        <f t="shared" si="0"/>
        <v>88</v>
      </c>
      <c r="Y4" s="316">
        <f t="shared" si="0"/>
        <v>80</v>
      </c>
      <c r="Z4" s="316" t="str">
        <f t="shared" si="0"/>
        <v>ESG 10</v>
      </c>
      <c r="AA4" s="317"/>
      <c r="AB4" s="714"/>
      <c r="AC4" s="453"/>
      <c r="AD4" s="453"/>
      <c r="AE4" s="453"/>
      <c r="AF4" s="439"/>
    </row>
    <row r="5" spans="1:32" x14ac:dyDescent="0.2">
      <c r="A5" s="279">
        <v>3</v>
      </c>
      <c r="B5" s="449"/>
      <c r="C5" s="450" t="s">
        <v>94</v>
      </c>
      <c r="D5" s="280" t="s">
        <v>0</v>
      </c>
      <c r="E5" s="316" t="s">
        <v>1</v>
      </c>
      <c r="F5" s="316" t="s">
        <v>101</v>
      </c>
      <c r="G5" s="317" t="s">
        <v>100</v>
      </c>
      <c r="H5" s="436" t="str">
        <f>IF($B$3=$A$3,D5,IF($B$3=$A$4,E5,IF($B$3=$A$5,F5,IF($B$3=$A$6,G5,""))))</f>
        <v>Gemäss Zeichnung Nr.:</v>
      </c>
      <c r="I5" s="445" t="b">
        <v>0</v>
      </c>
      <c r="K5" s="280" t="s">
        <v>783</v>
      </c>
      <c r="L5" s="316">
        <v>5.5</v>
      </c>
      <c r="M5" s="316">
        <v>87</v>
      </c>
      <c r="N5" s="316">
        <v>77</v>
      </c>
      <c r="O5" s="316" t="s">
        <v>789</v>
      </c>
      <c r="P5" s="317"/>
      <c r="Q5" s="280" t="s">
        <v>234</v>
      </c>
      <c r="R5" s="316">
        <v>0.34</v>
      </c>
      <c r="S5" s="316">
        <v>0.49</v>
      </c>
      <c r="T5" s="316">
        <v>0.68</v>
      </c>
      <c r="U5" s="317" t="s">
        <v>645</v>
      </c>
      <c r="V5" s="280" t="str">
        <f t="shared" si="0"/>
        <v>SG-73</v>
      </c>
      <c r="W5" s="316">
        <f t="shared" si="0"/>
        <v>5.5</v>
      </c>
      <c r="X5" s="316">
        <f t="shared" si="0"/>
        <v>87</v>
      </c>
      <c r="Y5" s="316">
        <f t="shared" si="0"/>
        <v>77</v>
      </c>
      <c r="Z5" s="316" t="str">
        <f t="shared" si="0"/>
        <v>ESG 12</v>
      </c>
      <c r="AA5" s="317"/>
      <c r="AB5" s="714"/>
      <c r="AC5" s="453"/>
      <c r="AD5" s="453"/>
      <c r="AE5" s="453"/>
      <c r="AF5" s="439"/>
    </row>
    <row r="6" spans="1:32" ht="13.5" thickBot="1" x14ac:dyDescent="0.25">
      <c r="A6" s="279">
        <v>4</v>
      </c>
      <c r="B6" s="454"/>
      <c r="C6" s="455" t="s">
        <v>95</v>
      </c>
      <c r="D6" s="280" t="s">
        <v>102</v>
      </c>
      <c r="E6" s="316" t="s">
        <v>103</v>
      </c>
      <c r="F6" s="316" t="s">
        <v>104</v>
      </c>
      <c r="G6" s="317" t="s">
        <v>364</v>
      </c>
      <c r="H6" s="436" t="str">
        <f>IF($B$3=$A$3,D6,IF($B$3=$A$4,E6,IF($B$3=$A$5,F6,IF($B$3=$A$6,G6,""))))</f>
        <v>Gemäss Skizze: (Ansicht von Aussen)</v>
      </c>
      <c r="I6" s="445" t="b">
        <v>0</v>
      </c>
      <c r="K6" s="280">
        <v>0</v>
      </c>
      <c r="L6" s="316">
        <v>0</v>
      </c>
      <c r="M6" s="316">
        <v>0</v>
      </c>
      <c r="N6" s="316">
        <v>0</v>
      </c>
      <c r="O6" s="316" t="str">
        <f>$H$54</f>
        <v>Glastyp wählen</v>
      </c>
      <c r="P6" s="317"/>
      <c r="Q6" s="280" t="s">
        <v>235</v>
      </c>
      <c r="R6" s="316">
        <v>0.34</v>
      </c>
      <c r="S6" s="316">
        <v>0.48</v>
      </c>
      <c r="T6" s="316">
        <v>0.66</v>
      </c>
      <c r="U6" s="317" t="s">
        <v>646</v>
      </c>
      <c r="V6" s="280">
        <f t="shared" si="0"/>
        <v>0</v>
      </c>
      <c r="W6" s="316">
        <f t="shared" si="0"/>
        <v>0</v>
      </c>
      <c r="X6" s="316">
        <f t="shared" si="0"/>
        <v>0</v>
      </c>
      <c r="Y6" s="316">
        <f t="shared" si="0"/>
        <v>0</v>
      </c>
      <c r="Z6" s="316" t="str">
        <f t="shared" si="0"/>
        <v>Glastyp wählen</v>
      </c>
      <c r="AA6" s="317"/>
      <c r="AB6" s="714"/>
      <c r="AC6" s="453"/>
      <c r="AD6" s="453"/>
      <c r="AE6" s="453"/>
      <c r="AF6" s="439"/>
    </row>
    <row r="7" spans="1:32" ht="13.5" thickBot="1" x14ac:dyDescent="0.25">
      <c r="D7" s="280" t="s">
        <v>499</v>
      </c>
      <c r="E7" s="316" t="s">
        <v>500</v>
      </c>
      <c r="F7" s="316" t="s">
        <v>501</v>
      </c>
      <c r="G7" s="317" t="s">
        <v>502</v>
      </c>
      <c r="H7" s="436" t="str">
        <f t="shared" ref="H7:H71" si="1">IF($B$3=$A$3,D7,IF($B$3=$A$4,E7,IF($B$3=$A$5,F7,IF($B$3=$A$6,G7,""))))</f>
        <v xml:space="preserve">Objekt: </v>
      </c>
      <c r="I7" s="445"/>
      <c r="K7" s="280" t="s">
        <v>784</v>
      </c>
      <c r="L7" s="316">
        <v>5.6</v>
      </c>
      <c r="M7" s="316">
        <v>88</v>
      </c>
      <c r="N7" s="316">
        <v>77</v>
      </c>
      <c r="O7" s="316" t="s">
        <v>792</v>
      </c>
      <c r="P7" s="317"/>
      <c r="Q7" s="280" t="s">
        <v>236</v>
      </c>
      <c r="R7" s="316">
        <v>0.34</v>
      </c>
      <c r="S7" s="316">
        <v>0.47</v>
      </c>
      <c r="T7" s="316">
        <v>0.66</v>
      </c>
      <c r="U7" s="317" t="s">
        <v>647</v>
      </c>
      <c r="V7" s="280" t="str">
        <f t="shared" si="0"/>
        <v>SG-74</v>
      </c>
      <c r="W7" s="316">
        <f t="shared" si="0"/>
        <v>5.6</v>
      </c>
      <c r="X7" s="316">
        <f t="shared" si="0"/>
        <v>88</v>
      </c>
      <c r="Y7" s="316">
        <f t="shared" si="0"/>
        <v>77</v>
      </c>
      <c r="Z7" s="316" t="str">
        <f t="shared" si="0"/>
        <v>VSG 8-2 (4/4-2)</v>
      </c>
      <c r="AA7" s="317"/>
      <c r="AB7" s="714"/>
      <c r="AC7" s="453"/>
      <c r="AD7" s="453"/>
      <c r="AE7" s="453"/>
      <c r="AF7" s="439"/>
    </row>
    <row r="8" spans="1:32" x14ac:dyDescent="0.2">
      <c r="B8" s="15" t="s">
        <v>186</v>
      </c>
      <c r="C8" s="17" t="s">
        <v>190</v>
      </c>
      <c r="D8" s="280" t="s">
        <v>184</v>
      </c>
      <c r="E8" s="316" t="s">
        <v>185</v>
      </c>
      <c r="F8" s="316" t="s">
        <v>105</v>
      </c>
      <c r="G8" s="317" t="s">
        <v>106</v>
      </c>
      <c r="H8" s="436" t="str">
        <f t="shared" si="1"/>
        <v>Bestelldatum:</v>
      </c>
      <c r="I8" s="445"/>
      <c r="K8" s="280" t="s">
        <v>785</v>
      </c>
      <c r="L8" s="316">
        <v>5.6</v>
      </c>
      <c r="M8" s="316">
        <v>87</v>
      </c>
      <c r="N8" s="316">
        <v>76</v>
      </c>
      <c r="O8" s="316" t="s">
        <v>791</v>
      </c>
      <c r="P8" s="317"/>
      <c r="Q8" s="280" t="s">
        <v>237</v>
      </c>
      <c r="R8" s="316">
        <v>0.33</v>
      </c>
      <c r="S8" s="316">
        <v>0.46</v>
      </c>
      <c r="T8" s="316">
        <v>0.65</v>
      </c>
      <c r="U8" s="317" t="s">
        <v>648</v>
      </c>
      <c r="V8" s="280" t="str">
        <f t="shared" si="0"/>
        <v>SG-75</v>
      </c>
      <c r="W8" s="316">
        <f t="shared" si="0"/>
        <v>5.6</v>
      </c>
      <c r="X8" s="316">
        <f t="shared" si="0"/>
        <v>87</v>
      </c>
      <c r="Y8" s="316">
        <f t="shared" si="0"/>
        <v>76</v>
      </c>
      <c r="Z8" s="316" t="str">
        <f t="shared" si="0"/>
        <v>VSG 10-2 (6/4-2)</v>
      </c>
      <c r="AA8" s="317"/>
      <c r="AB8" s="714"/>
      <c r="AC8" s="453"/>
      <c r="AD8" s="453"/>
      <c r="AE8" s="453"/>
      <c r="AF8" s="439"/>
    </row>
    <row r="9" spans="1:32" ht="13.5" thickBot="1" x14ac:dyDescent="0.25">
      <c r="B9" s="329" t="s">
        <v>835</v>
      </c>
      <c r="C9" s="362" t="s">
        <v>836</v>
      </c>
      <c r="D9" s="280" t="s">
        <v>2</v>
      </c>
      <c r="E9" s="316" t="s">
        <v>3</v>
      </c>
      <c r="F9" s="316" t="s">
        <v>4</v>
      </c>
      <c r="G9" s="317" t="s">
        <v>107</v>
      </c>
      <c r="H9" s="436" t="str">
        <f t="shared" si="1"/>
        <v>Projekt-Nr.:</v>
      </c>
      <c r="I9" s="445"/>
      <c r="K9" s="280" t="s">
        <v>786</v>
      </c>
      <c r="L9" s="316">
        <v>5.5</v>
      </c>
      <c r="M9" s="316">
        <v>86</v>
      </c>
      <c r="N9" s="316">
        <v>74</v>
      </c>
      <c r="O9" s="316" t="s">
        <v>790</v>
      </c>
      <c r="P9" s="317"/>
      <c r="Q9" s="280">
        <v>0</v>
      </c>
      <c r="R9" s="316">
        <v>0</v>
      </c>
      <c r="S9" s="316">
        <v>0</v>
      </c>
      <c r="T9" s="316">
        <v>0</v>
      </c>
      <c r="U9" s="317" t="str">
        <f>$H$54</f>
        <v>Glastyp wählen</v>
      </c>
      <c r="V9" s="280" t="str">
        <f t="shared" si="0"/>
        <v>SG-76</v>
      </c>
      <c r="W9" s="316">
        <f t="shared" si="0"/>
        <v>5.5</v>
      </c>
      <c r="X9" s="316">
        <f t="shared" si="0"/>
        <v>86</v>
      </c>
      <c r="Y9" s="316">
        <f t="shared" si="0"/>
        <v>74</v>
      </c>
      <c r="Z9" s="316" t="str">
        <f t="shared" si="0"/>
        <v>VSG 12-2 /6/6-2)</v>
      </c>
      <c r="AA9" s="317"/>
      <c r="AB9" s="714"/>
      <c r="AC9" s="453"/>
      <c r="AD9" s="453"/>
      <c r="AE9" s="453"/>
      <c r="AF9" s="439"/>
    </row>
    <row r="10" spans="1:32" x14ac:dyDescent="0.2">
      <c r="A10" s="56" t="s">
        <v>44</v>
      </c>
      <c r="B10" s="456" t="s">
        <v>187</v>
      </c>
      <c r="C10" s="457" t="s">
        <v>191</v>
      </c>
      <c r="D10" s="280" t="s">
        <v>5</v>
      </c>
      <c r="E10" s="316" t="s">
        <v>6</v>
      </c>
      <c r="F10" s="316" t="s">
        <v>7</v>
      </c>
      <c r="G10" s="317" t="s">
        <v>340</v>
      </c>
      <c r="H10" s="436" t="str">
        <f t="shared" si="1"/>
        <v>2-gleisig</v>
      </c>
      <c r="I10" s="458" t="b">
        <v>0</v>
      </c>
      <c r="K10" s="280">
        <v>0</v>
      </c>
      <c r="L10" s="51">
        <v>0</v>
      </c>
      <c r="M10" s="316">
        <v>0</v>
      </c>
      <c r="N10" s="316">
        <v>0</v>
      </c>
      <c r="O10" s="316" t="str">
        <f t="shared" ref="O10:O35" si="2">$H$54</f>
        <v>Glastyp wählen</v>
      </c>
      <c r="P10" s="317"/>
      <c r="Q10" s="280" t="s">
        <v>238</v>
      </c>
      <c r="R10" s="316">
        <v>0.34</v>
      </c>
      <c r="S10" s="316">
        <v>0.41</v>
      </c>
      <c r="T10" s="316">
        <v>0.59</v>
      </c>
      <c r="U10" s="317" t="s">
        <v>642</v>
      </c>
      <c r="V10" s="280">
        <f t="shared" si="0"/>
        <v>0</v>
      </c>
      <c r="W10" s="316">
        <f t="shared" si="0"/>
        <v>0</v>
      </c>
      <c r="X10" s="316">
        <f t="shared" si="0"/>
        <v>0</v>
      </c>
      <c r="Y10" s="316">
        <f t="shared" si="0"/>
        <v>0</v>
      </c>
      <c r="Z10" s="316" t="str">
        <f t="shared" si="0"/>
        <v>Glastyp wählen</v>
      </c>
      <c r="AA10" s="317"/>
      <c r="AB10" s="714"/>
      <c r="AC10" s="453"/>
      <c r="AD10" s="453"/>
      <c r="AE10" s="453"/>
      <c r="AF10" s="439"/>
    </row>
    <row r="11" spans="1:32" x14ac:dyDescent="0.2">
      <c r="A11" s="459"/>
      <c r="B11" s="460" t="s">
        <v>188</v>
      </c>
      <c r="C11" s="461" t="s">
        <v>192</v>
      </c>
      <c r="D11" s="280" t="s">
        <v>8</v>
      </c>
      <c r="E11" s="316" t="s">
        <v>9</v>
      </c>
      <c r="F11" s="316" t="s">
        <v>779</v>
      </c>
      <c r="G11" s="317" t="s">
        <v>341</v>
      </c>
      <c r="H11" s="436" t="str">
        <f t="shared" si="1"/>
        <v>3-gleisig</v>
      </c>
      <c r="I11" s="458" t="b">
        <v>0</v>
      </c>
      <c r="K11" s="280">
        <v>0</v>
      </c>
      <c r="L11" s="316">
        <v>0</v>
      </c>
      <c r="M11" s="316">
        <v>0</v>
      </c>
      <c r="N11" s="316">
        <v>0</v>
      </c>
      <c r="O11" s="316" t="str">
        <f t="shared" si="2"/>
        <v>Glastyp wählen</v>
      </c>
      <c r="P11" s="317"/>
      <c r="Q11" s="280" t="s">
        <v>239</v>
      </c>
      <c r="R11" s="316">
        <v>0.33</v>
      </c>
      <c r="S11" s="316">
        <v>0.4</v>
      </c>
      <c r="T11" s="316">
        <v>0.57999999999999996</v>
      </c>
      <c r="U11" s="317" t="s">
        <v>649</v>
      </c>
      <c r="V11" s="280">
        <f t="shared" si="0"/>
        <v>0</v>
      </c>
      <c r="W11" s="316">
        <f t="shared" si="0"/>
        <v>0</v>
      </c>
      <c r="X11" s="316">
        <f t="shared" si="0"/>
        <v>0</v>
      </c>
      <c r="Y11" s="316">
        <f t="shared" si="0"/>
        <v>0</v>
      </c>
      <c r="Z11" s="316" t="str">
        <f t="shared" si="0"/>
        <v>Glastyp wählen</v>
      </c>
      <c r="AA11" s="317"/>
      <c r="AB11" s="714"/>
      <c r="AC11" s="453"/>
      <c r="AD11" s="453"/>
      <c r="AE11" s="453"/>
      <c r="AF11" s="439"/>
    </row>
    <row r="12" spans="1:32" x14ac:dyDescent="0.2">
      <c r="A12" s="436" t="s">
        <v>180</v>
      </c>
      <c r="B12" s="460" t="s">
        <v>189</v>
      </c>
      <c r="C12" s="461" t="s">
        <v>193</v>
      </c>
      <c r="D12" s="280" t="s">
        <v>10</v>
      </c>
      <c r="E12" s="316" t="s">
        <v>11</v>
      </c>
      <c r="F12" s="316" t="s">
        <v>780</v>
      </c>
      <c r="G12" s="317" t="s">
        <v>342</v>
      </c>
      <c r="H12" s="436" t="str">
        <f t="shared" si="1"/>
        <v>4-gleisig</v>
      </c>
      <c r="I12" s="458" t="b">
        <v>0</v>
      </c>
      <c r="K12" s="280">
        <v>0</v>
      </c>
      <c r="L12" s="316">
        <v>0</v>
      </c>
      <c r="M12" s="316">
        <v>0</v>
      </c>
      <c r="N12" s="316">
        <v>0</v>
      </c>
      <c r="O12" s="316" t="str">
        <f t="shared" si="2"/>
        <v>Glastyp wählen</v>
      </c>
      <c r="P12" s="317"/>
      <c r="Q12" s="280" t="s">
        <v>240</v>
      </c>
      <c r="R12" s="316">
        <v>0.34</v>
      </c>
      <c r="S12" s="316">
        <v>0.4</v>
      </c>
      <c r="T12" s="316">
        <v>0.57999999999999996</v>
      </c>
      <c r="U12" s="317" t="s">
        <v>650</v>
      </c>
      <c r="V12" s="280">
        <f t="shared" si="0"/>
        <v>0</v>
      </c>
      <c r="W12" s="316">
        <f t="shared" si="0"/>
        <v>0</v>
      </c>
      <c r="X12" s="316">
        <f t="shared" si="0"/>
        <v>0</v>
      </c>
      <c r="Y12" s="316">
        <f t="shared" si="0"/>
        <v>0</v>
      </c>
      <c r="Z12" s="316" t="str">
        <f t="shared" si="0"/>
        <v>Glastyp wählen</v>
      </c>
      <c r="AA12" s="317"/>
      <c r="AB12" s="714"/>
      <c r="AC12" s="453"/>
      <c r="AD12" s="453"/>
      <c r="AE12" s="453"/>
      <c r="AF12" s="439"/>
    </row>
    <row r="13" spans="1:32" x14ac:dyDescent="0.2">
      <c r="A13" s="436" t="s">
        <v>225</v>
      </c>
      <c r="B13" s="462" t="s">
        <v>440</v>
      </c>
      <c r="C13" s="463" t="s">
        <v>439</v>
      </c>
      <c r="D13" s="280" t="s">
        <v>12</v>
      </c>
      <c r="E13" s="316" t="s">
        <v>13</v>
      </c>
      <c r="F13" s="316" t="s">
        <v>14</v>
      </c>
      <c r="G13" s="317" t="s">
        <v>108</v>
      </c>
      <c r="H13" s="436" t="str">
        <f t="shared" si="1"/>
        <v>Teilung Achsmasse</v>
      </c>
      <c r="I13" s="445" t="b">
        <v>0</v>
      </c>
      <c r="K13" s="280">
        <v>0</v>
      </c>
      <c r="L13" s="316">
        <v>0</v>
      </c>
      <c r="M13" s="316">
        <v>0</v>
      </c>
      <c r="N13" s="316">
        <v>0</v>
      </c>
      <c r="O13" s="316" t="str">
        <f t="shared" si="2"/>
        <v>Glastyp wählen</v>
      </c>
      <c r="P13" s="317"/>
      <c r="Q13" s="280" t="s">
        <v>241</v>
      </c>
      <c r="R13" s="316">
        <v>0.33</v>
      </c>
      <c r="S13" s="316">
        <v>0.4</v>
      </c>
      <c r="T13" s="316">
        <v>0.57999999999999996</v>
      </c>
      <c r="U13" s="317" t="s">
        <v>651</v>
      </c>
      <c r="V13" s="280">
        <f t="shared" si="0"/>
        <v>0</v>
      </c>
      <c r="W13" s="316">
        <f t="shared" si="0"/>
        <v>0</v>
      </c>
      <c r="X13" s="316">
        <f t="shared" si="0"/>
        <v>0</v>
      </c>
      <c r="Y13" s="316">
        <f t="shared" si="0"/>
        <v>0</v>
      </c>
      <c r="Z13" s="316" t="str">
        <f t="shared" si="0"/>
        <v>Glastyp wählen</v>
      </c>
      <c r="AA13" s="317"/>
      <c r="AB13" s="714"/>
      <c r="AC13" s="453"/>
      <c r="AD13" s="453"/>
      <c r="AE13" s="453"/>
      <c r="AF13" s="439"/>
    </row>
    <row r="14" spans="1:32" ht="13.5" thickBot="1" x14ac:dyDescent="0.25">
      <c r="A14" s="436" t="s">
        <v>224</v>
      </c>
      <c r="B14" s="377" t="s">
        <v>441</v>
      </c>
      <c r="C14" s="464" t="s">
        <v>438</v>
      </c>
      <c r="D14" s="280" t="s">
        <v>110</v>
      </c>
      <c r="E14" s="316" t="s">
        <v>109</v>
      </c>
      <c r="F14" s="5" t="s">
        <v>15</v>
      </c>
      <c r="G14" s="58" t="s">
        <v>365</v>
      </c>
      <c r="H14" s="436" t="str">
        <f t="shared" si="1"/>
        <v>alle Gläser gleiche Breite (Empfehlung)</v>
      </c>
      <c r="I14" s="445" t="b">
        <v>0</v>
      </c>
      <c r="K14" s="280">
        <v>0</v>
      </c>
      <c r="L14" s="316">
        <v>0</v>
      </c>
      <c r="M14" s="316">
        <v>0</v>
      </c>
      <c r="N14" s="316">
        <v>0</v>
      </c>
      <c r="O14" s="316" t="str">
        <f t="shared" si="2"/>
        <v>Glastyp wählen</v>
      </c>
      <c r="P14" s="317"/>
      <c r="Q14" s="280" t="s">
        <v>242</v>
      </c>
      <c r="R14" s="316">
        <v>0.33</v>
      </c>
      <c r="S14" s="316">
        <v>0.39</v>
      </c>
      <c r="T14" s="316">
        <v>0.56999999999999995</v>
      </c>
      <c r="U14" s="317" t="s">
        <v>652</v>
      </c>
      <c r="V14" s="280">
        <f t="shared" si="0"/>
        <v>0</v>
      </c>
      <c r="W14" s="316">
        <f t="shared" si="0"/>
        <v>0</v>
      </c>
      <c r="X14" s="316">
        <f t="shared" si="0"/>
        <v>0</v>
      </c>
      <c r="Y14" s="316">
        <f t="shared" si="0"/>
        <v>0</v>
      </c>
      <c r="Z14" s="316" t="str">
        <f t="shared" si="0"/>
        <v>Glastyp wählen</v>
      </c>
      <c r="AA14" s="317"/>
      <c r="AB14" s="714"/>
      <c r="AC14" s="453"/>
      <c r="AD14" s="453"/>
      <c r="AE14" s="453"/>
      <c r="AF14" s="439"/>
    </row>
    <row r="15" spans="1:32" x14ac:dyDescent="0.2">
      <c r="A15" s="436" t="s">
        <v>226</v>
      </c>
      <c r="B15" s="85" t="s">
        <v>197</v>
      </c>
      <c r="C15" s="34"/>
      <c r="D15" s="280" t="s">
        <v>16</v>
      </c>
      <c r="E15" s="316" t="s">
        <v>16</v>
      </c>
      <c r="F15" s="316" t="s">
        <v>16</v>
      </c>
      <c r="G15" s="317" t="s">
        <v>16</v>
      </c>
      <c r="H15" s="436" t="str">
        <f t="shared" si="1"/>
        <v>Standard</v>
      </c>
      <c r="I15" s="445" t="b">
        <v>0</v>
      </c>
      <c r="K15" s="280">
        <v>0</v>
      </c>
      <c r="L15" s="316">
        <v>0</v>
      </c>
      <c r="M15" s="316">
        <v>0</v>
      </c>
      <c r="N15" s="316">
        <v>0</v>
      </c>
      <c r="O15" s="316" t="str">
        <f t="shared" si="2"/>
        <v>Glastyp wählen</v>
      </c>
      <c r="P15" s="317"/>
      <c r="Q15" s="280" t="s">
        <v>243</v>
      </c>
      <c r="R15" s="316">
        <v>0.33</v>
      </c>
      <c r="S15" s="316">
        <v>0.39</v>
      </c>
      <c r="T15" s="316">
        <v>0.56999999999999995</v>
      </c>
      <c r="U15" s="317" t="s">
        <v>653</v>
      </c>
      <c r="V15" s="280">
        <f t="shared" si="0"/>
        <v>0</v>
      </c>
      <c r="W15" s="316">
        <f t="shared" si="0"/>
        <v>0</v>
      </c>
      <c r="X15" s="316">
        <f t="shared" si="0"/>
        <v>0</v>
      </c>
      <c r="Y15" s="316">
        <f t="shared" si="0"/>
        <v>0</v>
      </c>
      <c r="Z15" s="316" t="str">
        <f t="shared" si="0"/>
        <v>Glastyp wählen</v>
      </c>
      <c r="AA15" s="317"/>
      <c r="AB15" s="714"/>
      <c r="AC15" s="453"/>
      <c r="AD15" s="453"/>
      <c r="AE15" s="453"/>
      <c r="AF15" s="439"/>
    </row>
    <row r="16" spans="1:32" x14ac:dyDescent="0.2">
      <c r="A16" s="436" t="s">
        <v>227</v>
      </c>
      <c r="B16" s="465" t="s">
        <v>198</v>
      </c>
      <c r="C16" s="457">
        <f>IF(AND($I$20=TRUE,OR('Pos. 3'!$F$10='Sprachen &amp; Rückgabewerte(3)'!$B$10,'Pos. 3'!$F$10='Sprachen &amp; Rückgabewerte(3)'!$B$11)),1,0)</f>
        <v>0</v>
      </c>
      <c r="D16" s="280" t="s">
        <v>17</v>
      </c>
      <c r="E16" s="316" t="s">
        <v>18</v>
      </c>
      <c r="F16" s="316" t="s">
        <v>19</v>
      </c>
      <c r="G16" s="317" t="s">
        <v>343</v>
      </c>
      <c r="H16" s="436" t="str">
        <f t="shared" si="1"/>
        <v>Einbruchschutz RC2</v>
      </c>
      <c r="I16" s="445" t="b">
        <v>0</v>
      </c>
      <c r="K16" s="280">
        <v>0</v>
      </c>
      <c r="L16" s="316">
        <v>0</v>
      </c>
      <c r="M16" s="316">
        <v>0</v>
      </c>
      <c r="N16" s="316">
        <v>0</v>
      </c>
      <c r="O16" s="316" t="str">
        <f t="shared" si="2"/>
        <v>Glastyp wählen</v>
      </c>
      <c r="P16" s="317"/>
      <c r="Q16" s="280">
        <v>0</v>
      </c>
      <c r="R16" s="316">
        <v>0</v>
      </c>
      <c r="S16" s="316">
        <v>0</v>
      </c>
      <c r="T16" s="316">
        <v>0</v>
      </c>
      <c r="U16" s="317" t="str">
        <f t="shared" ref="U16:U23" si="3">$H$54</f>
        <v>Glastyp wählen</v>
      </c>
      <c r="V16" s="280">
        <f t="shared" si="0"/>
        <v>0</v>
      </c>
      <c r="W16" s="316">
        <f t="shared" si="0"/>
        <v>0</v>
      </c>
      <c r="X16" s="316">
        <f t="shared" si="0"/>
        <v>0</v>
      </c>
      <c r="Y16" s="316">
        <f t="shared" si="0"/>
        <v>0</v>
      </c>
      <c r="Z16" s="316" t="str">
        <f t="shared" si="0"/>
        <v>Glastyp wählen</v>
      </c>
      <c r="AA16" s="317"/>
      <c r="AB16" s="714"/>
      <c r="AC16" s="453"/>
      <c r="AD16" s="453"/>
      <c r="AE16" s="453"/>
      <c r="AF16" s="439"/>
    </row>
    <row r="17" spans="1:32" x14ac:dyDescent="0.2">
      <c r="A17" s="436" t="s">
        <v>228</v>
      </c>
      <c r="B17" s="460" t="s">
        <v>199</v>
      </c>
      <c r="C17" s="461">
        <f>IF(AND($I$20=TRUE,OR('Pos. 3'!$J$10='Sprachen &amp; Rückgabewerte(3)'!$B$10,'Pos. 3'!$J$10='Sprachen &amp; Rückgabewerte(3)'!$B$11)),1,0)</f>
        <v>0</v>
      </c>
      <c r="D17" s="280" t="s">
        <v>334</v>
      </c>
      <c r="E17" s="316" t="s">
        <v>20</v>
      </c>
      <c r="F17" s="316" t="s">
        <v>21</v>
      </c>
      <c r="G17" s="317" t="s">
        <v>125</v>
      </c>
      <c r="H17" s="436" t="str">
        <f t="shared" si="1"/>
        <v>Positionsüberwachung (P)</v>
      </c>
      <c r="I17" s="445" t="b">
        <v>0</v>
      </c>
      <c r="K17" s="280">
        <v>0</v>
      </c>
      <c r="L17" s="316">
        <v>0</v>
      </c>
      <c r="M17" s="316">
        <v>0</v>
      </c>
      <c r="N17" s="316">
        <v>0</v>
      </c>
      <c r="O17" s="316" t="str">
        <f t="shared" si="2"/>
        <v>Glastyp wählen</v>
      </c>
      <c r="P17" s="317"/>
      <c r="Q17" s="280" t="s">
        <v>244</v>
      </c>
      <c r="R17" s="316">
        <v>0.34</v>
      </c>
      <c r="S17" s="316">
        <v>0.26</v>
      </c>
      <c r="T17" s="316">
        <v>0.53</v>
      </c>
      <c r="U17" s="317" t="s">
        <v>654</v>
      </c>
      <c r="V17" s="280">
        <f t="shared" si="0"/>
        <v>0</v>
      </c>
      <c r="W17" s="316">
        <f t="shared" si="0"/>
        <v>0</v>
      </c>
      <c r="X17" s="316">
        <f t="shared" si="0"/>
        <v>0</v>
      </c>
      <c r="Y17" s="316">
        <f t="shared" si="0"/>
        <v>0</v>
      </c>
      <c r="Z17" s="316" t="str">
        <f t="shared" si="0"/>
        <v>Glastyp wählen</v>
      </c>
      <c r="AA17" s="317"/>
      <c r="AB17" s="714"/>
      <c r="AC17" s="453"/>
      <c r="AD17" s="453"/>
      <c r="AE17" s="453"/>
      <c r="AF17" s="439"/>
    </row>
    <row r="18" spans="1:32" x14ac:dyDescent="0.2">
      <c r="A18" s="436" t="s">
        <v>229</v>
      </c>
      <c r="B18" s="460" t="s">
        <v>200</v>
      </c>
      <c r="C18" s="461">
        <f>IF(AND($I$20=TRUE,OR('Pos. 3'!$N$10='Sprachen &amp; Rückgabewerte(3)'!$B$10,'Pos. 3'!$N$10='Sprachen &amp; Rückgabewerte(3)'!$B$11)),1,0)</f>
        <v>0</v>
      </c>
      <c r="D18" s="280" t="s">
        <v>335</v>
      </c>
      <c r="E18" s="316" t="s">
        <v>22</v>
      </c>
      <c r="F18" s="316" t="s">
        <v>336</v>
      </c>
      <c r="G18" s="317" t="s">
        <v>126</v>
      </c>
      <c r="H18" s="436" t="str">
        <f t="shared" si="1"/>
        <v xml:space="preserve">Riegelüberwachung (R) </v>
      </c>
      <c r="I18" s="445" t="b">
        <v>0</v>
      </c>
      <c r="K18" s="280">
        <v>0</v>
      </c>
      <c r="L18" s="316">
        <v>0</v>
      </c>
      <c r="M18" s="316">
        <v>0</v>
      </c>
      <c r="N18" s="316">
        <v>0</v>
      </c>
      <c r="O18" s="316" t="str">
        <f t="shared" si="2"/>
        <v>Glastyp wählen</v>
      </c>
      <c r="P18" s="317"/>
      <c r="Q18" s="280" t="s">
        <v>245</v>
      </c>
      <c r="R18" s="316">
        <v>0.33</v>
      </c>
      <c r="S18" s="316">
        <v>0.26</v>
      </c>
      <c r="T18" s="316">
        <v>0.52</v>
      </c>
      <c r="U18" s="317" t="s">
        <v>655</v>
      </c>
      <c r="V18" s="280">
        <f t="shared" si="0"/>
        <v>0</v>
      </c>
      <c r="W18" s="316">
        <f t="shared" si="0"/>
        <v>0</v>
      </c>
      <c r="X18" s="316">
        <f t="shared" si="0"/>
        <v>0</v>
      </c>
      <c r="Y18" s="316">
        <f t="shared" si="0"/>
        <v>0</v>
      </c>
      <c r="Z18" s="316" t="str">
        <f t="shared" si="0"/>
        <v>Glastyp wählen</v>
      </c>
      <c r="AA18" s="317"/>
      <c r="AB18" s="714"/>
      <c r="AC18" s="453"/>
      <c r="AD18" s="453"/>
      <c r="AE18" s="453"/>
      <c r="AF18" s="439"/>
    </row>
    <row r="19" spans="1:32" x14ac:dyDescent="0.2">
      <c r="A19" s="436"/>
      <c r="B19" s="460" t="s">
        <v>201</v>
      </c>
      <c r="C19" s="461">
        <f>IF(AND($I$20=TRUE,OR('Pos. 3'!$R$10='Sprachen &amp; Rückgabewerte(3)'!$B$10,'Pos. 3'!$R$10='Sprachen &amp; Rückgabewerte(3)'!$B$11)),1,0)</f>
        <v>0</v>
      </c>
      <c r="D19" s="280" t="s">
        <v>337</v>
      </c>
      <c r="E19" s="316" t="s">
        <v>23</v>
      </c>
      <c r="F19" s="316" t="s">
        <v>24</v>
      </c>
      <c r="G19" s="317" t="s">
        <v>124</v>
      </c>
      <c r="H19" s="436" t="str">
        <f t="shared" si="1"/>
        <v>Glasbruchüberwachung (G)</v>
      </c>
      <c r="I19" s="445" t="b">
        <v>0</v>
      </c>
      <c r="K19" s="280">
        <v>0</v>
      </c>
      <c r="L19" s="316">
        <v>0</v>
      </c>
      <c r="M19" s="316">
        <v>0</v>
      </c>
      <c r="N19" s="316">
        <v>0</v>
      </c>
      <c r="O19" s="316" t="str">
        <f t="shared" si="2"/>
        <v>Glastyp wählen</v>
      </c>
      <c r="P19" s="317"/>
      <c r="Q19" s="280" t="s">
        <v>246</v>
      </c>
      <c r="R19" s="316">
        <v>0.34</v>
      </c>
      <c r="S19" s="316">
        <v>0.26</v>
      </c>
      <c r="T19" s="316">
        <v>0.52</v>
      </c>
      <c r="U19" s="317" t="s">
        <v>656</v>
      </c>
      <c r="V19" s="280">
        <f t="shared" si="0"/>
        <v>0</v>
      </c>
      <c r="W19" s="316">
        <f t="shared" si="0"/>
        <v>0</v>
      </c>
      <c r="X19" s="316">
        <f t="shared" si="0"/>
        <v>0</v>
      </c>
      <c r="Y19" s="316">
        <f t="shared" si="0"/>
        <v>0</v>
      </c>
      <c r="Z19" s="316" t="str">
        <f t="shared" si="0"/>
        <v>Glastyp wählen</v>
      </c>
      <c r="AA19" s="317"/>
      <c r="AB19" s="439"/>
      <c r="AC19" s="439"/>
      <c r="AD19" s="439"/>
      <c r="AE19" s="439"/>
      <c r="AF19" s="439"/>
    </row>
    <row r="20" spans="1:32" x14ac:dyDescent="0.2">
      <c r="A20" s="436" t="s">
        <v>230</v>
      </c>
      <c r="B20" s="460" t="s">
        <v>202</v>
      </c>
      <c r="C20" s="461">
        <f>IF(AND($I$20=TRUE,OR('Pos. 3'!$V$10='Sprachen &amp; Rückgabewerte(3)'!$B$10,'Pos. 3'!$V$10='Sprachen &amp; Rückgabewerte(3)'!$B$11)),1,0)</f>
        <v>0</v>
      </c>
      <c r="D20" s="280" t="s">
        <v>25</v>
      </c>
      <c r="E20" s="316" t="s">
        <v>195</v>
      </c>
      <c r="F20" s="316" t="s">
        <v>26</v>
      </c>
      <c r="G20" s="317" t="s">
        <v>127</v>
      </c>
      <c r="H20" s="436" t="str">
        <f t="shared" si="1"/>
        <v>Elektrischer Antrieb, Anzahl</v>
      </c>
      <c r="I20" s="445" t="b">
        <v>0</v>
      </c>
      <c r="K20" s="280">
        <v>0</v>
      </c>
      <c r="L20" s="316">
        <v>0</v>
      </c>
      <c r="M20" s="316">
        <v>0</v>
      </c>
      <c r="N20" s="316">
        <v>0</v>
      </c>
      <c r="O20" s="316" t="str">
        <f t="shared" si="2"/>
        <v>Glastyp wählen</v>
      </c>
      <c r="P20" s="317"/>
      <c r="Q20" s="280" t="s">
        <v>247</v>
      </c>
      <c r="R20" s="316">
        <v>0.33</v>
      </c>
      <c r="S20" s="316">
        <v>0.26</v>
      </c>
      <c r="T20" s="316">
        <v>0.52</v>
      </c>
      <c r="U20" s="317" t="s">
        <v>657</v>
      </c>
      <c r="V20" s="280">
        <f t="shared" si="0"/>
        <v>0</v>
      </c>
      <c r="W20" s="316">
        <f t="shared" si="0"/>
        <v>0</v>
      </c>
      <c r="X20" s="316">
        <f t="shared" si="0"/>
        <v>0</v>
      </c>
      <c r="Y20" s="316">
        <f t="shared" si="0"/>
        <v>0</v>
      </c>
      <c r="Z20" s="316" t="str">
        <f t="shared" si="0"/>
        <v>Glastyp wählen</v>
      </c>
      <c r="AA20" s="317"/>
      <c r="AB20" s="439"/>
      <c r="AC20" s="439"/>
      <c r="AD20" s="439"/>
      <c r="AE20" s="439"/>
      <c r="AF20" s="439"/>
    </row>
    <row r="21" spans="1:32" x14ac:dyDescent="0.2">
      <c r="A21" s="436" t="s">
        <v>231</v>
      </c>
      <c r="B21" s="460" t="s">
        <v>203</v>
      </c>
      <c r="C21" s="461">
        <f>IF(AND($I$20=TRUE,OR('Pos. 3'!$Z$10='Sprachen &amp; Rückgabewerte(3)'!$B$10,'Pos. 3'!$Z$10='Sprachen &amp; Rückgabewerte(3)'!$B$11)),1,0)</f>
        <v>0</v>
      </c>
      <c r="D21" s="280" t="s">
        <v>27</v>
      </c>
      <c r="E21" s="316" t="s">
        <v>752</v>
      </c>
      <c r="F21" s="316" t="s">
        <v>28</v>
      </c>
      <c r="G21" s="317" t="s">
        <v>128</v>
      </c>
      <c r="H21" s="436" t="str">
        <f t="shared" si="1"/>
        <v>Stk.</v>
      </c>
      <c r="I21" s="445"/>
      <c r="K21" s="280">
        <v>0</v>
      </c>
      <c r="L21" s="316">
        <v>0</v>
      </c>
      <c r="M21" s="316">
        <v>0</v>
      </c>
      <c r="N21" s="316">
        <v>0</v>
      </c>
      <c r="O21" s="316" t="str">
        <f t="shared" si="2"/>
        <v>Glastyp wählen</v>
      </c>
      <c r="P21" s="317"/>
      <c r="Q21" s="280" t="s">
        <v>248</v>
      </c>
      <c r="R21" s="316">
        <v>0.33</v>
      </c>
      <c r="S21" s="316">
        <v>0.26</v>
      </c>
      <c r="T21" s="316">
        <v>0.52</v>
      </c>
      <c r="U21" s="317" t="s">
        <v>658</v>
      </c>
      <c r="V21" s="280">
        <f t="shared" si="0"/>
        <v>0</v>
      </c>
      <c r="W21" s="316">
        <f t="shared" si="0"/>
        <v>0</v>
      </c>
      <c r="X21" s="316">
        <f t="shared" si="0"/>
        <v>0</v>
      </c>
      <c r="Y21" s="316">
        <f t="shared" si="0"/>
        <v>0</v>
      </c>
      <c r="Z21" s="316" t="str">
        <f t="shared" si="0"/>
        <v>Glastyp wählen</v>
      </c>
      <c r="AA21" s="317"/>
      <c r="AB21" s="439"/>
      <c r="AC21" s="439"/>
      <c r="AD21" s="439"/>
      <c r="AE21" s="439"/>
      <c r="AF21" s="439"/>
    </row>
    <row r="22" spans="1:32" x14ac:dyDescent="0.2">
      <c r="A22" s="436"/>
      <c r="B22" s="460" t="s">
        <v>204</v>
      </c>
      <c r="C22" s="461">
        <f>IF(AND($I$20=TRUE,OR('Pos. 3'!$AD$10='Sprachen &amp; Rückgabewerte(3)'!$B$10,'Pos. 3'!$AD$10='Sprachen &amp; Rückgabewerte(3)'!$B$11)),1,0)</f>
        <v>0</v>
      </c>
      <c r="D22" s="280" t="s">
        <v>29</v>
      </c>
      <c r="E22" s="316" t="s">
        <v>333</v>
      </c>
      <c r="F22" s="316" t="s">
        <v>332</v>
      </c>
      <c r="G22" s="317" t="s">
        <v>494</v>
      </c>
      <c r="H22" s="436" t="str">
        <f t="shared" si="1"/>
        <v>geforderte Klassen:</v>
      </c>
      <c r="I22" s="445" t="b">
        <v>0</v>
      </c>
      <c r="K22" s="280">
        <v>0</v>
      </c>
      <c r="L22" s="316">
        <v>0</v>
      </c>
      <c r="M22" s="316">
        <v>0</v>
      </c>
      <c r="N22" s="316">
        <v>0</v>
      </c>
      <c r="O22" s="316" t="str">
        <f t="shared" si="2"/>
        <v>Glastyp wählen</v>
      </c>
      <c r="P22" s="317"/>
      <c r="Q22" s="280" t="s">
        <v>249</v>
      </c>
      <c r="R22" s="316">
        <v>0.33</v>
      </c>
      <c r="S22" s="316">
        <v>0.26</v>
      </c>
      <c r="T22" s="316">
        <v>0.51</v>
      </c>
      <c r="U22" s="317" t="s">
        <v>659</v>
      </c>
      <c r="V22" s="280">
        <f t="shared" si="0"/>
        <v>0</v>
      </c>
      <c r="W22" s="316">
        <f t="shared" si="0"/>
        <v>0</v>
      </c>
      <c r="X22" s="316">
        <f t="shared" si="0"/>
        <v>0</v>
      </c>
      <c r="Y22" s="316">
        <f t="shared" si="0"/>
        <v>0</v>
      </c>
      <c r="Z22" s="316" t="str">
        <f t="shared" si="0"/>
        <v>Glastyp wählen</v>
      </c>
      <c r="AA22" s="317"/>
      <c r="AB22" s="439"/>
      <c r="AC22" s="439"/>
      <c r="AD22" s="439"/>
      <c r="AE22" s="439"/>
      <c r="AF22" s="439"/>
    </row>
    <row r="23" spans="1:32" x14ac:dyDescent="0.2">
      <c r="A23" s="370">
        <v>1</v>
      </c>
      <c r="B23" s="460" t="s">
        <v>205</v>
      </c>
      <c r="C23" s="461">
        <f>IF(AND($I$20=TRUE,OR('Pos. 3'!$AH$10='Sprachen &amp; Rückgabewerte(3)'!$B$10,'Pos. 3'!$AH$10='Sprachen &amp; Rückgabewerte(3)'!$B$11)),1,0)</f>
        <v>0</v>
      </c>
      <c r="D23" s="6" t="s">
        <v>119</v>
      </c>
      <c r="E23" s="7" t="s">
        <v>121</v>
      </c>
      <c r="F23" s="7" t="s">
        <v>122</v>
      </c>
      <c r="G23" s="8" t="s">
        <v>344</v>
      </c>
      <c r="H23" s="436" t="str">
        <f t="shared" si="1"/>
        <v>(Schlagregen, Luftdurchlässigkeit)</v>
      </c>
      <c r="I23" s="445"/>
      <c r="K23" s="280">
        <v>0</v>
      </c>
      <c r="L23" s="316">
        <v>0</v>
      </c>
      <c r="M23" s="316">
        <v>0</v>
      </c>
      <c r="N23" s="316">
        <v>0</v>
      </c>
      <c r="O23" s="316" t="str">
        <f t="shared" si="2"/>
        <v>Glastyp wählen</v>
      </c>
      <c r="P23" s="317"/>
      <c r="Q23" s="280">
        <v>0</v>
      </c>
      <c r="R23" s="316">
        <v>0</v>
      </c>
      <c r="S23" s="316">
        <v>0</v>
      </c>
      <c r="T23" s="316">
        <v>0</v>
      </c>
      <c r="U23" s="317" t="str">
        <f t="shared" si="3"/>
        <v>Glastyp wählen</v>
      </c>
      <c r="V23" s="280">
        <f t="shared" si="0"/>
        <v>0</v>
      </c>
      <c r="W23" s="316">
        <f t="shared" si="0"/>
        <v>0</v>
      </c>
      <c r="X23" s="316">
        <f t="shared" si="0"/>
        <v>0</v>
      </c>
      <c r="Y23" s="316">
        <f t="shared" si="0"/>
        <v>0</v>
      </c>
      <c r="Z23" s="316" t="str">
        <f t="shared" si="0"/>
        <v>Glastyp wählen</v>
      </c>
      <c r="AA23" s="317"/>
      <c r="AB23" s="439"/>
      <c r="AC23" s="439"/>
      <c r="AD23" s="439"/>
      <c r="AE23" s="439"/>
      <c r="AF23" s="439"/>
    </row>
    <row r="24" spans="1:32" ht="13.5" thickBot="1" x14ac:dyDescent="0.25">
      <c r="A24" s="466">
        <v>2</v>
      </c>
      <c r="B24" s="460" t="s">
        <v>206</v>
      </c>
      <c r="C24" s="461">
        <f>IF(AND($I$20=TRUE,OR('Pos. 3'!$AL$10='Sprachen &amp; Rückgabewerte(3)'!$B$10,'Pos. 3'!$AL$10='Sprachen &amp; Rückgabewerte(3)'!$B$11)),1,0)</f>
        <v>0</v>
      </c>
      <c r="D24" s="280" t="s">
        <v>111</v>
      </c>
      <c r="E24" s="316" t="s">
        <v>112</v>
      </c>
      <c r="F24" s="316" t="s">
        <v>113</v>
      </c>
      <c r="G24" s="317" t="s">
        <v>114</v>
      </c>
      <c r="H24" s="436" t="str">
        <f t="shared" si="1"/>
        <v>Speziell:</v>
      </c>
      <c r="I24" s="445"/>
      <c r="K24" s="280">
        <v>0</v>
      </c>
      <c r="L24" s="316">
        <v>0</v>
      </c>
      <c r="M24" s="316">
        <v>0</v>
      </c>
      <c r="N24" s="316">
        <v>0</v>
      </c>
      <c r="O24" s="316" t="str">
        <f t="shared" si="2"/>
        <v>Glastyp wählen</v>
      </c>
      <c r="P24" s="317"/>
      <c r="Q24" s="280" t="s">
        <v>660</v>
      </c>
      <c r="R24" s="316">
        <v>0.34</v>
      </c>
      <c r="S24" s="316">
        <v>0.22</v>
      </c>
      <c r="T24" s="316">
        <v>0.43</v>
      </c>
      <c r="U24" s="317" t="s">
        <v>661</v>
      </c>
      <c r="V24" s="280">
        <f t="shared" si="0"/>
        <v>0</v>
      </c>
      <c r="W24" s="316">
        <f t="shared" si="0"/>
        <v>0</v>
      </c>
      <c r="X24" s="316">
        <f t="shared" si="0"/>
        <v>0</v>
      </c>
      <c r="Y24" s="316">
        <f t="shared" si="0"/>
        <v>0</v>
      </c>
      <c r="Z24" s="316" t="str">
        <f t="shared" si="0"/>
        <v>Glastyp wählen</v>
      </c>
      <c r="AA24" s="317"/>
      <c r="AB24" s="439"/>
      <c r="AC24" s="439"/>
      <c r="AD24" s="439"/>
      <c r="AE24" s="439"/>
      <c r="AF24" s="439"/>
    </row>
    <row r="25" spans="1:32" ht="13.5" thickBot="1" x14ac:dyDescent="0.25">
      <c r="B25" s="467" t="s">
        <v>207</v>
      </c>
      <c r="C25" s="464">
        <f>IF(AND($I$20=TRUE,OR('Pos. 3'!$AP$10='Sprachen &amp; Rückgabewerte(3)'!$B$10,'Pos. 3'!$AP$10='Sprachen &amp; Rückgabewerte(3)'!$B$11)),1,0)</f>
        <v>0</v>
      </c>
      <c r="D25" s="280" t="s">
        <v>30</v>
      </c>
      <c r="E25" s="316" t="s">
        <v>30</v>
      </c>
      <c r="F25" s="316" t="s">
        <v>30</v>
      </c>
      <c r="G25" s="317" t="s">
        <v>30</v>
      </c>
      <c r="H25" s="436" t="str">
        <f t="shared" si="1"/>
        <v>Pool</v>
      </c>
      <c r="I25" s="445" t="b">
        <v>0</v>
      </c>
      <c r="K25" s="280">
        <v>0</v>
      </c>
      <c r="L25" s="316">
        <v>0</v>
      </c>
      <c r="M25" s="316">
        <v>0</v>
      </c>
      <c r="N25" s="316">
        <v>0</v>
      </c>
      <c r="O25" s="316" t="str">
        <f t="shared" si="2"/>
        <v>Glastyp wählen</v>
      </c>
      <c r="P25" s="317"/>
      <c r="Q25" s="280" t="s">
        <v>662</v>
      </c>
      <c r="R25" s="316">
        <v>0.33</v>
      </c>
      <c r="S25" s="316">
        <v>0.22</v>
      </c>
      <c r="T25" s="316">
        <v>0.42</v>
      </c>
      <c r="U25" s="317" t="s">
        <v>663</v>
      </c>
      <c r="V25" s="468">
        <f t="shared" si="0"/>
        <v>0</v>
      </c>
      <c r="W25" s="469">
        <f t="shared" si="0"/>
        <v>0</v>
      </c>
      <c r="X25" s="469">
        <f t="shared" si="0"/>
        <v>0</v>
      </c>
      <c r="Y25" s="469">
        <f t="shared" si="0"/>
        <v>0</v>
      </c>
      <c r="Z25" s="469" t="str">
        <f t="shared" si="0"/>
        <v>Glastyp wählen</v>
      </c>
      <c r="AA25" s="470"/>
      <c r="AB25" s="439"/>
      <c r="AC25" s="439"/>
      <c r="AD25" s="439"/>
      <c r="AE25" s="439"/>
      <c r="AF25" s="439"/>
    </row>
    <row r="26" spans="1:32" ht="13.5" thickBot="1" x14ac:dyDescent="0.25">
      <c r="D26" s="280" t="s">
        <v>115</v>
      </c>
      <c r="E26" s="316" t="s">
        <v>120</v>
      </c>
      <c r="F26" s="316" t="s">
        <v>123</v>
      </c>
      <c r="G26" s="317" t="s">
        <v>345</v>
      </c>
      <c r="H26" s="436" t="str">
        <f t="shared" si="1"/>
        <v>Schallschutz</v>
      </c>
      <c r="I26" s="445"/>
      <c r="K26" s="280">
        <v>0</v>
      </c>
      <c r="L26" s="316">
        <v>0</v>
      </c>
      <c r="M26" s="316">
        <v>0</v>
      </c>
      <c r="N26" s="316">
        <v>0</v>
      </c>
      <c r="O26" s="316" t="str">
        <f t="shared" si="2"/>
        <v>Glastyp wählen</v>
      </c>
      <c r="P26" s="317"/>
      <c r="Q26" s="471" t="s">
        <v>664</v>
      </c>
      <c r="R26" s="472">
        <v>0.34</v>
      </c>
      <c r="S26" s="472">
        <v>0.22</v>
      </c>
      <c r="T26" s="472">
        <v>0.43</v>
      </c>
      <c r="U26" s="317" t="s">
        <v>665</v>
      </c>
      <c r="V26" s="280">
        <f t="shared" ref="V26:Z35" si="4">IF($I$125=TRUE,Q26,K26)</f>
        <v>0</v>
      </c>
      <c r="W26" s="316">
        <f t="shared" si="4"/>
        <v>0</v>
      </c>
      <c r="X26" s="316">
        <f t="shared" si="4"/>
        <v>0</v>
      </c>
      <c r="Y26" s="316">
        <f t="shared" si="4"/>
        <v>0</v>
      </c>
      <c r="Z26" s="316" t="str">
        <f t="shared" si="4"/>
        <v>Glastyp wählen</v>
      </c>
      <c r="AA26" s="317"/>
      <c r="AB26" s="439"/>
      <c r="AC26" s="439"/>
      <c r="AD26" s="439"/>
      <c r="AE26" s="439"/>
      <c r="AF26" s="439"/>
    </row>
    <row r="27" spans="1:32" x14ac:dyDescent="0.2">
      <c r="A27" s="56" t="s">
        <v>860</v>
      </c>
      <c r="B27" s="33" t="s">
        <v>208</v>
      </c>
      <c r="C27" s="438"/>
      <c r="D27" s="280" t="s">
        <v>116</v>
      </c>
      <c r="E27" s="316" t="s">
        <v>116</v>
      </c>
      <c r="F27" s="316" t="s">
        <v>116</v>
      </c>
      <c r="G27" s="317" t="s">
        <v>116</v>
      </c>
      <c r="H27" s="436" t="str">
        <f t="shared" si="1"/>
        <v>MINERGIE Modul</v>
      </c>
      <c r="I27" s="445"/>
      <c r="K27" s="280">
        <v>0</v>
      </c>
      <c r="L27" s="316">
        <v>0</v>
      </c>
      <c r="M27" s="316">
        <v>0</v>
      </c>
      <c r="N27" s="316">
        <v>0</v>
      </c>
      <c r="O27" s="316" t="str">
        <f t="shared" si="2"/>
        <v>Glastyp wählen</v>
      </c>
      <c r="P27" s="317"/>
      <c r="Q27" s="471" t="s">
        <v>666</v>
      </c>
      <c r="R27" s="472">
        <v>0.33</v>
      </c>
      <c r="S27" s="472">
        <v>0.22</v>
      </c>
      <c r="T27" s="472">
        <v>0.42</v>
      </c>
      <c r="U27" s="317" t="s">
        <v>667</v>
      </c>
      <c r="V27" s="280">
        <f t="shared" si="4"/>
        <v>0</v>
      </c>
      <c r="W27" s="316">
        <f t="shared" si="4"/>
        <v>0</v>
      </c>
      <c r="X27" s="316">
        <f t="shared" si="4"/>
        <v>0</v>
      </c>
      <c r="Y27" s="316">
        <f t="shared" si="4"/>
        <v>0</v>
      </c>
      <c r="Z27" s="316" t="str">
        <f t="shared" si="4"/>
        <v>Glastyp wählen</v>
      </c>
      <c r="AA27" s="317"/>
      <c r="AB27" s="439"/>
      <c r="AC27" s="439"/>
      <c r="AD27" s="439"/>
      <c r="AE27" s="439"/>
      <c r="AF27" s="439"/>
    </row>
    <row r="28" spans="1:32" x14ac:dyDescent="0.2">
      <c r="A28" s="369"/>
      <c r="B28" s="329" t="s">
        <v>209</v>
      </c>
      <c r="C28" s="362" t="str">
        <f>IF($I$17=TRUE,"P","")</f>
        <v/>
      </c>
      <c r="D28" s="280" t="s">
        <v>117</v>
      </c>
      <c r="E28" s="316" t="s">
        <v>117</v>
      </c>
      <c r="F28" s="316" t="s">
        <v>117</v>
      </c>
      <c r="G28" s="317" t="s">
        <v>117</v>
      </c>
      <c r="H28" s="436" t="str">
        <f t="shared" si="1"/>
        <v>MINERGIE-P Modul</v>
      </c>
      <c r="I28" s="445"/>
      <c r="K28" s="280">
        <v>0</v>
      </c>
      <c r="L28" s="316">
        <v>0</v>
      </c>
      <c r="M28" s="316">
        <v>0</v>
      </c>
      <c r="N28" s="316">
        <v>0</v>
      </c>
      <c r="O28" s="316" t="str">
        <f t="shared" si="2"/>
        <v>Glastyp wählen</v>
      </c>
      <c r="P28" s="317"/>
      <c r="Q28" s="471" t="s">
        <v>668</v>
      </c>
      <c r="R28" s="472">
        <v>0.33</v>
      </c>
      <c r="S28" s="472">
        <v>0.22</v>
      </c>
      <c r="T28" s="472">
        <v>0.42</v>
      </c>
      <c r="U28" s="317" t="s">
        <v>669</v>
      </c>
      <c r="V28" s="280">
        <f t="shared" si="4"/>
        <v>0</v>
      </c>
      <c r="W28" s="316">
        <f t="shared" si="4"/>
        <v>0</v>
      </c>
      <c r="X28" s="316">
        <f t="shared" si="4"/>
        <v>0</v>
      </c>
      <c r="Y28" s="316">
        <f t="shared" si="4"/>
        <v>0</v>
      </c>
      <c r="Z28" s="316" t="str">
        <f t="shared" si="4"/>
        <v>Glastyp wählen</v>
      </c>
      <c r="AA28" s="317"/>
      <c r="AB28" s="439"/>
      <c r="AC28" s="439"/>
      <c r="AD28" s="439"/>
      <c r="AE28" s="439"/>
      <c r="AF28" s="439"/>
    </row>
    <row r="29" spans="1:32" x14ac:dyDescent="0.2">
      <c r="A29" s="370" t="s">
        <v>862</v>
      </c>
      <c r="B29" s="280" t="s">
        <v>210</v>
      </c>
      <c r="C29" s="461" t="str">
        <f>IF($I$18=TRUE,"R","")</f>
        <v/>
      </c>
      <c r="D29" s="280" t="s">
        <v>118</v>
      </c>
      <c r="E29" s="316" t="s">
        <v>118</v>
      </c>
      <c r="F29" s="316" t="s">
        <v>118</v>
      </c>
      <c r="G29" s="317" t="s">
        <v>118</v>
      </c>
      <c r="H29" s="436" t="str">
        <f t="shared" si="1"/>
        <v>Gun</v>
      </c>
      <c r="I29" s="445"/>
      <c r="K29" s="280">
        <v>0</v>
      </c>
      <c r="L29" s="316">
        <v>0</v>
      </c>
      <c r="M29" s="316">
        <v>0</v>
      </c>
      <c r="N29" s="316">
        <v>0</v>
      </c>
      <c r="O29" s="316" t="str">
        <f t="shared" si="2"/>
        <v>Glastyp wählen</v>
      </c>
      <c r="P29" s="317"/>
      <c r="Q29" s="471" t="s">
        <v>670</v>
      </c>
      <c r="R29" s="472">
        <v>0.33</v>
      </c>
      <c r="S29" s="472">
        <v>0.22</v>
      </c>
      <c r="T29" s="472">
        <v>0.42</v>
      </c>
      <c r="U29" s="317" t="s">
        <v>671</v>
      </c>
      <c r="V29" s="280">
        <f t="shared" si="4"/>
        <v>0</v>
      </c>
      <c r="W29" s="316">
        <f t="shared" si="4"/>
        <v>0</v>
      </c>
      <c r="X29" s="316">
        <f t="shared" si="4"/>
        <v>0</v>
      </c>
      <c r="Y29" s="316">
        <f t="shared" si="4"/>
        <v>0</v>
      </c>
      <c r="Z29" s="316" t="str">
        <f t="shared" si="4"/>
        <v>Glastyp wählen</v>
      </c>
      <c r="AA29" s="317"/>
      <c r="AB29" s="439"/>
      <c r="AC29" s="439"/>
      <c r="AD29" s="439"/>
      <c r="AE29" s="439"/>
      <c r="AF29" s="439"/>
    </row>
    <row r="30" spans="1:32" ht="13.5" thickBot="1" x14ac:dyDescent="0.25">
      <c r="A30" s="371" t="s">
        <v>861</v>
      </c>
      <c r="B30" s="467" t="s">
        <v>211</v>
      </c>
      <c r="C30" s="464" t="str">
        <f>IF($I$19=TRUE,"G","")</f>
        <v/>
      </c>
      <c r="D30" s="280" t="s">
        <v>31</v>
      </c>
      <c r="E30" s="316" t="s">
        <v>32</v>
      </c>
      <c r="F30" s="316" t="s">
        <v>33</v>
      </c>
      <c r="G30" s="317" t="s">
        <v>686</v>
      </c>
      <c r="H30" s="436" t="str">
        <f t="shared" si="1"/>
        <v>nach rechts</v>
      </c>
      <c r="I30" s="445" t="b">
        <v>0</v>
      </c>
      <c r="K30" s="280">
        <v>0</v>
      </c>
      <c r="L30" s="316">
        <v>0</v>
      </c>
      <c r="M30" s="316">
        <v>0</v>
      </c>
      <c r="N30" s="316">
        <v>0</v>
      </c>
      <c r="O30" s="316" t="str">
        <f t="shared" si="2"/>
        <v>Glastyp wählen</v>
      </c>
      <c r="P30" s="317"/>
      <c r="Q30" s="280">
        <v>0</v>
      </c>
      <c r="R30" s="316">
        <v>0</v>
      </c>
      <c r="S30" s="316">
        <v>0</v>
      </c>
      <c r="T30" s="316">
        <v>0</v>
      </c>
      <c r="U30" s="317" t="str">
        <f t="shared" ref="U30" si="5">$H$54</f>
        <v>Glastyp wählen</v>
      </c>
      <c r="V30" s="280">
        <f t="shared" si="4"/>
        <v>0</v>
      </c>
      <c r="W30" s="316">
        <f t="shared" si="4"/>
        <v>0</v>
      </c>
      <c r="X30" s="316">
        <f t="shared" si="4"/>
        <v>0</v>
      </c>
      <c r="Y30" s="316">
        <f t="shared" si="4"/>
        <v>0</v>
      </c>
      <c r="Z30" s="316" t="str">
        <f t="shared" si="4"/>
        <v>Glastyp wählen</v>
      </c>
      <c r="AA30" s="317"/>
      <c r="AB30" s="439"/>
      <c r="AC30" s="439"/>
      <c r="AD30" s="439"/>
      <c r="AE30" s="439"/>
      <c r="AF30" s="439"/>
    </row>
    <row r="31" spans="1:32" ht="13.5" thickBot="1" x14ac:dyDescent="0.25">
      <c r="B31" s="439"/>
      <c r="C31" s="473"/>
      <c r="D31" s="460" t="s">
        <v>34</v>
      </c>
      <c r="E31" s="316" t="s">
        <v>35</v>
      </c>
      <c r="F31" s="316" t="s">
        <v>36</v>
      </c>
      <c r="G31" s="317" t="s">
        <v>687</v>
      </c>
      <c r="H31" s="436" t="str">
        <f t="shared" si="1"/>
        <v>nach links</v>
      </c>
      <c r="I31" s="445" t="b">
        <v>0</v>
      </c>
      <c r="K31" s="280">
        <v>0</v>
      </c>
      <c r="L31" s="316">
        <v>0</v>
      </c>
      <c r="M31" s="316">
        <v>0</v>
      </c>
      <c r="N31" s="316">
        <v>0</v>
      </c>
      <c r="O31" s="316" t="str">
        <f t="shared" si="2"/>
        <v>Glastyp wählen</v>
      </c>
      <c r="P31" s="317"/>
      <c r="Q31" s="471" t="s">
        <v>672</v>
      </c>
      <c r="R31" s="472">
        <v>0.33</v>
      </c>
      <c r="S31" s="472">
        <v>0.46</v>
      </c>
      <c r="T31" s="472">
        <v>0.66</v>
      </c>
      <c r="U31" s="317" t="s">
        <v>676</v>
      </c>
      <c r="V31" s="280">
        <f t="shared" si="4"/>
        <v>0</v>
      </c>
      <c r="W31" s="316">
        <f t="shared" si="4"/>
        <v>0</v>
      </c>
      <c r="X31" s="316">
        <f t="shared" si="4"/>
        <v>0</v>
      </c>
      <c r="Y31" s="316">
        <f t="shared" si="4"/>
        <v>0</v>
      </c>
      <c r="Z31" s="316" t="str">
        <f t="shared" si="4"/>
        <v>Glastyp wählen</v>
      </c>
      <c r="AA31" s="317"/>
      <c r="AB31" s="439"/>
      <c r="AC31" s="439"/>
      <c r="AD31" s="439"/>
      <c r="AE31" s="439"/>
      <c r="AF31" s="439"/>
    </row>
    <row r="32" spans="1:32" x14ac:dyDescent="0.2">
      <c r="B32" s="33" t="s">
        <v>217</v>
      </c>
      <c r="C32" s="33"/>
      <c r="D32" s="460" t="s">
        <v>37</v>
      </c>
      <c r="E32" s="316" t="s">
        <v>38</v>
      </c>
      <c r="F32" s="316" t="s">
        <v>39</v>
      </c>
      <c r="G32" s="317" t="s">
        <v>129</v>
      </c>
      <c r="H32" s="436" t="str">
        <f t="shared" si="1"/>
        <v>Breite =</v>
      </c>
      <c r="I32" s="445"/>
      <c r="K32" s="280">
        <v>0</v>
      </c>
      <c r="L32" s="316">
        <v>0</v>
      </c>
      <c r="M32" s="316">
        <v>0</v>
      </c>
      <c r="N32" s="316">
        <v>0</v>
      </c>
      <c r="O32" s="316" t="str">
        <f t="shared" si="2"/>
        <v>Glastyp wählen</v>
      </c>
      <c r="P32" s="317"/>
      <c r="Q32" s="471" t="s">
        <v>673</v>
      </c>
      <c r="R32" s="472">
        <v>0.32</v>
      </c>
      <c r="S32" s="472">
        <v>0.39</v>
      </c>
      <c r="T32" s="472">
        <v>0.57999999999999996</v>
      </c>
      <c r="U32" s="317" t="s">
        <v>677</v>
      </c>
      <c r="V32" s="280">
        <f t="shared" si="4"/>
        <v>0</v>
      </c>
      <c r="W32" s="316">
        <f t="shared" si="4"/>
        <v>0</v>
      </c>
      <c r="X32" s="316">
        <f t="shared" si="4"/>
        <v>0</v>
      </c>
      <c r="Y32" s="316">
        <f t="shared" si="4"/>
        <v>0</v>
      </c>
      <c r="Z32" s="316" t="str">
        <f t="shared" si="4"/>
        <v>Glastyp wählen</v>
      </c>
      <c r="AA32" s="317"/>
      <c r="AB32" s="439"/>
      <c r="AC32" s="439"/>
      <c r="AD32" s="439"/>
      <c r="AE32" s="439"/>
      <c r="AF32" s="439"/>
    </row>
    <row r="33" spans="1:32" x14ac:dyDescent="0.2">
      <c r="B33" s="329"/>
      <c r="C33" s="446"/>
      <c r="D33" s="280" t="s">
        <v>132</v>
      </c>
      <c r="E33" s="316" t="s">
        <v>131</v>
      </c>
      <c r="F33" s="316" t="s">
        <v>40</v>
      </c>
      <c r="G33" s="317" t="s">
        <v>130</v>
      </c>
      <c r="H33" s="436" t="str">
        <f t="shared" si="1"/>
        <v>Griffhöhe:</v>
      </c>
      <c r="I33" s="445"/>
      <c r="K33" s="280">
        <v>0</v>
      </c>
      <c r="L33" s="316">
        <v>0</v>
      </c>
      <c r="M33" s="316">
        <v>0</v>
      </c>
      <c r="N33" s="316">
        <v>0</v>
      </c>
      <c r="O33" s="316" t="str">
        <f t="shared" si="2"/>
        <v>Glastyp wählen</v>
      </c>
      <c r="P33" s="317"/>
      <c r="Q33" s="471" t="s">
        <v>674</v>
      </c>
      <c r="R33" s="472">
        <v>0.32</v>
      </c>
      <c r="S33" s="472">
        <v>0.26</v>
      </c>
      <c r="T33" s="472">
        <v>0.52</v>
      </c>
      <c r="U33" s="317" t="s">
        <v>675</v>
      </c>
      <c r="V33" s="280">
        <f t="shared" si="4"/>
        <v>0</v>
      </c>
      <c r="W33" s="316">
        <f t="shared" si="4"/>
        <v>0</v>
      </c>
      <c r="X33" s="316">
        <f t="shared" si="4"/>
        <v>0</v>
      </c>
      <c r="Y33" s="316">
        <f t="shared" si="4"/>
        <v>0</v>
      </c>
      <c r="Z33" s="316" t="str">
        <f t="shared" si="4"/>
        <v>Glastyp wählen</v>
      </c>
      <c r="AA33" s="317"/>
      <c r="AB33" s="439"/>
      <c r="AC33" s="439"/>
      <c r="AD33" s="439"/>
      <c r="AE33" s="439"/>
      <c r="AF33" s="439"/>
    </row>
    <row r="34" spans="1:32" ht="13.5" thickBot="1" x14ac:dyDescent="0.25">
      <c r="B34" s="474" t="s">
        <v>218</v>
      </c>
      <c r="C34" s="475"/>
      <c r="D34" s="280" t="s">
        <v>41</v>
      </c>
      <c r="E34" s="316" t="s">
        <v>42</v>
      </c>
      <c r="F34" s="316" t="s">
        <v>43</v>
      </c>
      <c r="G34" s="317" t="s">
        <v>133</v>
      </c>
      <c r="H34" s="436" t="str">
        <f t="shared" si="1"/>
        <v xml:space="preserve">Höhe = </v>
      </c>
      <c r="I34" s="445"/>
      <c r="K34" s="280">
        <v>0</v>
      </c>
      <c r="L34" s="316">
        <v>0</v>
      </c>
      <c r="M34" s="316">
        <v>0</v>
      </c>
      <c r="N34" s="316">
        <v>0</v>
      </c>
      <c r="O34" s="316" t="str">
        <f t="shared" si="2"/>
        <v>Glastyp wählen</v>
      </c>
      <c r="P34" s="228"/>
      <c r="Q34" s="280">
        <v>0</v>
      </c>
      <c r="R34" s="316">
        <v>0</v>
      </c>
      <c r="S34" s="316">
        <v>0</v>
      </c>
      <c r="T34" s="316">
        <v>0</v>
      </c>
      <c r="U34" s="317" t="str">
        <f t="shared" ref="U34" si="6">$H$54</f>
        <v>Glastyp wählen</v>
      </c>
      <c r="V34" s="280">
        <f t="shared" si="4"/>
        <v>0</v>
      </c>
      <c r="W34" s="316">
        <f t="shared" si="4"/>
        <v>0</v>
      </c>
      <c r="X34" s="316">
        <f t="shared" si="4"/>
        <v>0</v>
      </c>
      <c r="Y34" s="316">
        <f t="shared" si="4"/>
        <v>0</v>
      </c>
      <c r="Z34" s="316" t="str">
        <f t="shared" si="4"/>
        <v>Glastyp wählen</v>
      </c>
      <c r="AA34" s="317"/>
      <c r="AB34" s="439"/>
      <c r="AC34" s="439"/>
      <c r="AD34" s="439"/>
      <c r="AE34" s="439"/>
      <c r="AF34" s="439"/>
    </row>
    <row r="35" spans="1:32" ht="13.5" thickBot="1" x14ac:dyDescent="0.25">
      <c r="D35" s="280" t="s">
        <v>44</v>
      </c>
      <c r="E35" s="316" t="s">
        <v>45</v>
      </c>
      <c r="F35" s="316" t="s">
        <v>45</v>
      </c>
      <c r="G35" s="317" t="s">
        <v>134</v>
      </c>
      <c r="H35" s="436" t="str">
        <f t="shared" si="1"/>
        <v>Oberfläche:</v>
      </c>
      <c r="I35" s="445"/>
      <c r="K35" s="467">
        <v>0</v>
      </c>
      <c r="L35" s="476">
        <v>0</v>
      </c>
      <c r="M35" s="476">
        <v>0</v>
      </c>
      <c r="N35" s="476">
        <v>0</v>
      </c>
      <c r="O35" s="476" t="str">
        <f t="shared" si="2"/>
        <v>Glastyp wählen</v>
      </c>
      <c r="P35" s="475"/>
      <c r="Q35" s="477" t="s">
        <v>678</v>
      </c>
      <c r="R35" s="478">
        <v>0.32</v>
      </c>
      <c r="S35" s="478">
        <v>0.22</v>
      </c>
      <c r="T35" s="478">
        <v>0.42</v>
      </c>
      <c r="U35" s="475" t="s">
        <v>679</v>
      </c>
      <c r="V35" s="467">
        <f t="shared" si="4"/>
        <v>0</v>
      </c>
      <c r="W35" s="476">
        <f t="shared" si="4"/>
        <v>0</v>
      </c>
      <c r="X35" s="476">
        <f t="shared" si="4"/>
        <v>0</v>
      </c>
      <c r="Y35" s="476">
        <f t="shared" si="4"/>
        <v>0</v>
      </c>
      <c r="Z35" s="476" t="str">
        <f t="shared" si="4"/>
        <v>Glastyp wählen</v>
      </c>
      <c r="AA35" s="475"/>
      <c r="AB35" s="439"/>
      <c r="AC35" s="439"/>
      <c r="AD35" s="439"/>
      <c r="AE35" s="439"/>
      <c r="AF35" s="439"/>
    </row>
    <row r="36" spans="1:32" x14ac:dyDescent="0.2">
      <c r="B36" s="33" t="s">
        <v>219</v>
      </c>
      <c r="C36" s="33"/>
      <c r="D36" s="280" t="s">
        <v>46</v>
      </c>
      <c r="E36" s="316" t="s">
        <v>47</v>
      </c>
      <c r="F36" s="316" t="s">
        <v>136</v>
      </c>
      <c r="G36" s="317" t="s">
        <v>135</v>
      </c>
      <c r="H36" s="436" t="str">
        <f t="shared" si="1"/>
        <v>eloxiert (Qualanod):</v>
      </c>
      <c r="I36" s="445" t="b">
        <v>0</v>
      </c>
      <c r="AB36" s="439"/>
      <c r="AC36" s="439"/>
      <c r="AD36" s="439"/>
      <c r="AE36" s="439"/>
      <c r="AF36" s="439"/>
    </row>
    <row r="37" spans="1:32" x14ac:dyDescent="0.2">
      <c r="B37" s="329" t="s">
        <v>221</v>
      </c>
      <c r="C37" s="446" t="b">
        <v>1</v>
      </c>
      <c r="D37" s="280" t="s">
        <v>48</v>
      </c>
      <c r="E37" s="316" t="s">
        <v>137</v>
      </c>
      <c r="F37" s="316" t="s">
        <v>137</v>
      </c>
      <c r="G37" s="317" t="s">
        <v>137</v>
      </c>
      <c r="H37" s="436" t="str">
        <f t="shared" si="1"/>
        <v>20 my (Standard)</v>
      </c>
      <c r="I37" s="445"/>
    </row>
    <row r="38" spans="1:32" x14ac:dyDescent="0.2">
      <c r="B38" s="280" t="s">
        <v>220</v>
      </c>
      <c r="C38" s="317" t="b">
        <v>1</v>
      </c>
      <c r="D38" s="280" t="s">
        <v>49</v>
      </c>
      <c r="E38" s="316" t="s">
        <v>50</v>
      </c>
      <c r="F38" s="316" t="s">
        <v>51</v>
      </c>
      <c r="G38" s="317" t="s">
        <v>346</v>
      </c>
      <c r="H38" s="436" t="str">
        <f t="shared" si="1"/>
        <v>25 my (Pool/Meer)</v>
      </c>
      <c r="I38" s="445"/>
    </row>
    <row r="39" spans="1:32" ht="13.5" thickBot="1" x14ac:dyDescent="0.25">
      <c r="B39" s="280" t="s">
        <v>222</v>
      </c>
      <c r="C39" s="317" t="b">
        <v>0</v>
      </c>
      <c r="D39" s="280" t="s">
        <v>369</v>
      </c>
      <c r="E39" s="316" t="s">
        <v>370</v>
      </c>
      <c r="F39" s="316" t="s">
        <v>371</v>
      </c>
      <c r="G39" s="317" t="s">
        <v>372</v>
      </c>
      <c r="H39" s="436" t="str">
        <f t="shared" si="1"/>
        <v>pulverbeschichtet:</v>
      </c>
      <c r="I39" s="445" t="b">
        <v>0</v>
      </c>
    </row>
    <row r="40" spans="1:32" x14ac:dyDescent="0.2">
      <c r="A40" s="281" t="s">
        <v>744</v>
      </c>
      <c r="B40" s="280" t="s">
        <v>223</v>
      </c>
      <c r="C40" s="317" t="b">
        <v>0</v>
      </c>
      <c r="D40" s="280" t="s">
        <v>850</v>
      </c>
      <c r="E40" s="316" t="s">
        <v>851</v>
      </c>
      <c r="F40" s="316" t="s">
        <v>852</v>
      </c>
      <c r="G40" s="317" t="s">
        <v>858</v>
      </c>
      <c r="H40" s="436" t="str">
        <f t="shared" si="1"/>
        <v>Vorbehandlung:</v>
      </c>
      <c r="I40" s="445"/>
      <c r="K40" s="56" t="s">
        <v>454</v>
      </c>
      <c r="L40" s="437"/>
      <c r="M40" s="438"/>
      <c r="N40" s="534" t="s">
        <v>606</v>
      </c>
      <c r="O40" s="535"/>
      <c r="P40" s="536"/>
      <c r="Q40" s="56" t="s">
        <v>309</v>
      </c>
      <c r="R40" s="56" t="s">
        <v>514</v>
      </c>
      <c r="S40" s="56" t="s">
        <v>518</v>
      </c>
      <c r="U40" s="33" t="s">
        <v>742</v>
      </c>
      <c r="V40" s="34"/>
    </row>
    <row r="41" spans="1:32" x14ac:dyDescent="0.2">
      <c r="A41" s="459" t="b">
        <f>IF(C41=FALSE,TRUE,(IF(AND(C41=TRUE,'Pos. 3'!F72=""),FALSE,TRUE)))</f>
        <v>1</v>
      </c>
      <c r="B41" s="280" t="s">
        <v>376</v>
      </c>
      <c r="C41" s="317" t="b">
        <v>0</v>
      </c>
      <c r="D41" s="367" t="s">
        <v>52</v>
      </c>
      <c r="E41" s="368" t="s">
        <v>53</v>
      </c>
      <c r="F41" s="368" t="s">
        <v>54</v>
      </c>
      <c r="G41" s="366" t="s">
        <v>138</v>
      </c>
      <c r="H41" s="436" t="str">
        <f t="shared" si="1"/>
        <v>+Voranodisieren</v>
      </c>
      <c r="I41" s="445"/>
      <c r="K41" s="479" t="s">
        <v>455</v>
      </c>
      <c r="L41" s="283">
        <f>IF(OR($I$5=TRUE,$I$6=TRUE),1,0)</f>
        <v>0</v>
      </c>
      <c r="M41" s="480"/>
      <c r="N41" s="192" t="str">
        <f>CONCATENATE("Pos. ",'Pos. 3'!$B$2,".1")</f>
        <v>Pos. 3.1</v>
      </c>
      <c r="O41" s="193" t="b">
        <f>IF(AND('Pos. 3'!AW32&lt;&gt;"",'Pos. 3'!AX32&lt;&gt;""),TRUE,FALSE)</f>
        <v>0</v>
      </c>
      <c r="P41" s="194"/>
      <c r="Q41" s="369"/>
      <c r="R41" s="369"/>
      <c r="S41" s="279">
        <f>COUNTA('Pos. 3'!G20:AP20)</f>
        <v>0</v>
      </c>
      <c r="U41" s="481" t="b">
        <f>IF(L41=0,FALSE,TRUE)</f>
        <v>0</v>
      </c>
      <c r="V41" s="482">
        <f>IF(U41=FALSE,1,0)</f>
        <v>1</v>
      </c>
    </row>
    <row r="42" spans="1:32" x14ac:dyDescent="0.2">
      <c r="A42" s="436" t="b">
        <f>IF(C42=FALSE,TRUE,(IF(AND(C42=TRUE,'Pos. 3'!L72=""),FALSE,TRUE)))</f>
        <v>1</v>
      </c>
      <c r="B42" s="280" t="s">
        <v>377</v>
      </c>
      <c r="C42" s="317" t="b">
        <v>0</v>
      </c>
      <c r="D42" s="280" t="s">
        <v>55</v>
      </c>
      <c r="E42" s="316" t="s">
        <v>56</v>
      </c>
      <c r="F42" s="316" t="s">
        <v>57</v>
      </c>
      <c r="G42" s="317" t="s">
        <v>139</v>
      </c>
      <c r="H42" s="436" t="str">
        <f t="shared" si="1"/>
        <v>Glas-Typ: SG = "Sky-Glass"</v>
      </c>
      <c r="I42" s="445"/>
      <c r="K42" s="310" t="s">
        <v>456</v>
      </c>
      <c r="L42" s="286">
        <f>IF(AND('Pos. 3'!$Y$5&lt;&gt;"",'Pos. 3'!$Y$7&lt;&gt;"",'Pos. 3'!$Y$6&lt;&gt;""),1,0)</f>
        <v>0</v>
      </c>
      <c r="M42" s="483"/>
      <c r="N42" s="192" t="str">
        <f>CONCATENATE("Pos. ",'Pos. 3'!$B$2,".2")</f>
        <v>Pos. 3.2</v>
      </c>
      <c r="O42" s="193" t="b">
        <f>IF(AND('Pos. 3'!AW33&lt;&gt;"",'Pos. 3'!AX33&lt;&gt;""),TRUE,FALSE)</f>
        <v>0</v>
      </c>
      <c r="P42" s="196"/>
      <c r="Q42" s="484">
        <v>1</v>
      </c>
      <c r="R42" s="485" t="s">
        <v>512</v>
      </c>
      <c r="U42" s="310" t="b">
        <f t="shared" ref="U42:U47" si="7">IF(L42=0,FALSE,TRUE)</f>
        <v>0</v>
      </c>
      <c r="V42" s="486">
        <f t="shared" ref="V42:V79" si="8">IF(U42=FALSE,1,0)</f>
        <v>1</v>
      </c>
    </row>
    <row r="43" spans="1:32" x14ac:dyDescent="0.2">
      <c r="A43" s="436" t="b">
        <f>IF(C43=FALSE,TRUE,(IF(AND(C43=TRUE,'Pos. 3'!R72=""),FALSE,TRUE)))</f>
        <v>1</v>
      </c>
      <c r="B43" s="280" t="s">
        <v>378</v>
      </c>
      <c r="C43" s="317" t="b">
        <v>0</v>
      </c>
      <c r="D43" s="280" t="s">
        <v>58</v>
      </c>
      <c r="E43" s="316" t="s">
        <v>59</v>
      </c>
      <c r="F43" s="316" t="s">
        <v>60</v>
      </c>
      <c r="G43" s="317" t="s">
        <v>140</v>
      </c>
      <c r="H43" s="436" t="str">
        <f t="shared" si="1"/>
        <v>Swisspacer-U schwarz</v>
      </c>
      <c r="I43" s="445" t="b">
        <v>0</v>
      </c>
      <c r="K43" s="310" t="s">
        <v>457</v>
      </c>
      <c r="L43" s="286">
        <f>IF(AND('Pos. 3'!$AJ$5&lt;&gt;"",'Pos. 3'!$AJ$6&lt;&gt;"",'Pos. 3'!$AJ$7&lt;&gt;""),1,0)</f>
        <v>0</v>
      </c>
      <c r="M43" s="483"/>
      <c r="N43" s="192" t="str">
        <f>CONCATENATE("Pos. ",'Pos. 3'!$B$2,".3")</f>
        <v>Pos. 3.3</v>
      </c>
      <c r="O43" s="193" t="b">
        <f>IF(AND('Pos. 3'!AW34&lt;&gt;"",'Pos. 3'!AX34&lt;&gt;""),TRUE,FALSE)</f>
        <v>0</v>
      </c>
      <c r="P43" s="196"/>
      <c r="Q43" s="370">
        <v>2</v>
      </c>
      <c r="R43" s="485" t="s">
        <v>513</v>
      </c>
      <c r="U43" s="310" t="b">
        <f t="shared" si="7"/>
        <v>0</v>
      </c>
      <c r="V43" s="486">
        <f t="shared" si="8"/>
        <v>1</v>
      </c>
    </row>
    <row r="44" spans="1:32" x14ac:dyDescent="0.2">
      <c r="A44" s="436" t="b">
        <f>IF(C44=FALSE,TRUE,(IF(AND(C44=TRUE,'Pos. 3'!X72=""),FALSE,TRUE)))</f>
        <v>1</v>
      </c>
      <c r="B44" s="280" t="str">
        <f>IF('Pos. 3'!AB62="","121101/121101","121401/121401")</f>
        <v>121101/121101</v>
      </c>
      <c r="C44" s="317" t="b">
        <v>0</v>
      </c>
      <c r="D44" s="280" t="s">
        <v>61</v>
      </c>
      <c r="E44" s="316" t="s">
        <v>62</v>
      </c>
      <c r="F44" s="316" t="s">
        <v>63</v>
      </c>
      <c r="G44" s="317" t="s">
        <v>141</v>
      </c>
      <c r="H44" s="436" t="str">
        <f t="shared" si="1"/>
        <v>Swisspacer-U grau</v>
      </c>
      <c r="I44" s="445" t="b">
        <v>0</v>
      </c>
      <c r="K44" s="310" t="s">
        <v>458</v>
      </c>
      <c r="L44" s="286">
        <f>IF(OR($I$10=TRUE,$I$11=TRUE,$I$12=TRUE),1,0)</f>
        <v>0</v>
      </c>
      <c r="M44" s="483"/>
      <c r="N44" s="192" t="str">
        <f>CONCATENATE("Pos. ",'Pos. 3'!$B$2,".4")</f>
        <v>Pos. 3.4</v>
      </c>
      <c r="O44" s="193" t="b">
        <f>IF(AND('Pos. 3'!AW35&lt;&gt;"",'Pos. 3'!AX35&lt;&gt;""),TRUE,FALSE)</f>
        <v>0</v>
      </c>
      <c r="P44" s="196"/>
      <c r="Q44" s="370">
        <v>3</v>
      </c>
      <c r="U44" s="310" t="b">
        <f t="shared" si="7"/>
        <v>0</v>
      </c>
      <c r="V44" s="486">
        <f t="shared" si="8"/>
        <v>1</v>
      </c>
    </row>
    <row r="45" spans="1:32" x14ac:dyDescent="0.2">
      <c r="A45" s="436" t="b">
        <f>IF(C45=FALSE,TRUE,(IF(AND(C45=TRUE,'Pos. 3'!H85=""),FALSE,TRUE)))</f>
        <v>1</v>
      </c>
      <c r="B45" s="280" t="s">
        <v>393</v>
      </c>
      <c r="C45" s="317" t="b">
        <v>0</v>
      </c>
      <c r="D45" s="280" t="s">
        <v>111</v>
      </c>
      <c r="E45" s="316" t="s">
        <v>112</v>
      </c>
      <c r="F45" s="316" t="s">
        <v>113</v>
      </c>
      <c r="G45" s="317" t="s">
        <v>114</v>
      </c>
      <c r="H45" s="436" t="str">
        <f t="shared" si="1"/>
        <v>Speziell:</v>
      </c>
      <c r="I45" s="445" t="b">
        <v>0</v>
      </c>
      <c r="K45" s="310" t="s">
        <v>459</v>
      </c>
      <c r="L45" s="286">
        <f>IF(AND('Pos. 3'!$F$10&lt;&gt;"",OR('Pos. 3'!$E$23&lt;&gt;"",'Pos. 3'!$E$24&lt;&gt;"",'Pos. 3'!$E$25&lt;&gt;"",'Pos. 3'!$E$26&lt;&gt;"")),1,0)</f>
        <v>0</v>
      </c>
      <c r="M45" s="483"/>
      <c r="N45" s="192" t="str">
        <f>CONCATENATE("Pos. ",'Pos. 3'!$B$2,".5")</f>
        <v>Pos. 3.5</v>
      </c>
      <c r="O45" s="193" t="b">
        <f>IF(AND('Pos. 3'!AW36&lt;&gt;"",'Pos. 3'!AX36&lt;&gt;""),TRUE,FALSE)</f>
        <v>0</v>
      </c>
      <c r="P45" s="196"/>
      <c r="Q45" s="370">
        <v>4</v>
      </c>
      <c r="U45" s="310" t="b">
        <f t="shared" si="7"/>
        <v>0</v>
      </c>
      <c r="V45" s="486">
        <f t="shared" si="8"/>
        <v>1</v>
      </c>
    </row>
    <row r="46" spans="1:32" x14ac:dyDescent="0.2">
      <c r="A46" s="436" t="b">
        <f>IF(C46=FALSE,TRUE,(IF(AND(C46=TRUE,'Pos. 3'!O85=""),FALSE,TRUE)))</f>
        <v>1</v>
      </c>
      <c r="B46" s="280" t="s">
        <v>394</v>
      </c>
      <c r="C46" s="317" t="b">
        <v>0</v>
      </c>
      <c r="D46" s="280" t="s">
        <v>64</v>
      </c>
      <c r="E46" s="316" t="s">
        <v>65</v>
      </c>
      <c r="F46" s="316" t="s">
        <v>66</v>
      </c>
      <c r="G46" s="317" t="s">
        <v>142</v>
      </c>
      <c r="H46" s="436" t="str">
        <f t="shared" si="1"/>
        <v>Statik:</v>
      </c>
      <c r="I46" s="445"/>
      <c r="K46" s="310" t="s">
        <v>460</v>
      </c>
      <c r="L46" s="286">
        <f>IF(AND($I$13=TRUE,'Pos. 3'!$E$28=""),0,1)</f>
        <v>1</v>
      </c>
      <c r="M46" s="483"/>
      <c r="N46" s="192" t="str">
        <f>CONCATENATE("Pos. ",'Pos. 3'!$B$2,".6")</f>
        <v>Pos. 3.6</v>
      </c>
      <c r="O46" s="193" t="b">
        <f>IF(AND('Pos. 3'!AW37&lt;&gt;"",'Pos. 3'!AX37&lt;&gt;""),TRUE,FALSE)</f>
        <v>0</v>
      </c>
      <c r="P46" s="196"/>
      <c r="Q46" s="370">
        <v>5</v>
      </c>
      <c r="U46" s="310" t="b">
        <f t="shared" si="7"/>
        <v>1</v>
      </c>
      <c r="V46" s="486">
        <f t="shared" si="8"/>
        <v>0</v>
      </c>
    </row>
    <row r="47" spans="1:32" x14ac:dyDescent="0.2">
      <c r="A47" s="436" t="b">
        <f>IF(C47=FALSE,TRUE,(IF(AND(C47=TRUE,'Pos. 3'!V85=""),FALSE,TRUE)))</f>
        <v>1</v>
      </c>
      <c r="B47" s="280" t="str">
        <f>IF('Pos. 3'!AB73="","322301/322301","400419/400419")</f>
        <v>322301/322301</v>
      </c>
      <c r="C47" s="317" t="b">
        <v>0</v>
      </c>
      <c r="D47" s="280" t="s">
        <v>67</v>
      </c>
      <c r="E47" s="316" t="s">
        <v>68</v>
      </c>
      <c r="F47" s="316" t="s">
        <v>69</v>
      </c>
      <c r="G47" s="317" t="s">
        <v>347</v>
      </c>
      <c r="H47" s="436" t="str">
        <f t="shared" si="1"/>
        <v>Windlast:</v>
      </c>
      <c r="I47" s="445"/>
      <c r="K47" s="310" t="s">
        <v>461</v>
      </c>
      <c r="L47" s="288">
        <f>IF(AND($I$13=FALSE,$I$14=FALSE),0,1)</f>
        <v>0</v>
      </c>
      <c r="M47" s="483"/>
      <c r="N47" s="192" t="str">
        <f>CONCATENATE("Pos. ",'Pos. 3'!$B$2,".7")</f>
        <v>Pos. 3.7</v>
      </c>
      <c r="O47" s="193" t="b">
        <f>IF(AND('Pos. 3'!AW38&lt;&gt;"",'Pos. 3'!AX38&lt;&gt;""),TRUE,FALSE)</f>
        <v>0</v>
      </c>
      <c r="P47" s="196"/>
      <c r="Q47" s="370">
        <v>6</v>
      </c>
      <c r="U47" s="310" t="b">
        <f t="shared" si="7"/>
        <v>0</v>
      </c>
      <c r="V47" s="486">
        <f t="shared" si="8"/>
        <v>1</v>
      </c>
    </row>
    <row r="48" spans="1:32" x14ac:dyDescent="0.2">
      <c r="A48" s="436" t="b">
        <f>IF(C48=FALSE,TRUE,(IF(AND(C48=TRUE,'Pos. 3'!H96=""),FALSE,TRUE)))</f>
        <v>1</v>
      </c>
      <c r="B48" s="280" t="s">
        <v>406</v>
      </c>
      <c r="C48" s="317" t="b">
        <v>0</v>
      </c>
      <c r="D48" s="280" t="s">
        <v>70</v>
      </c>
      <c r="E48" s="316" t="s">
        <v>71</v>
      </c>
      <c r="F48" s="316" t="s">
        <v>72</v>
      </c>
      <c r="G48" s="317" t="s">
        <v>348</v>
      </c>
      <c r="H48" s="436" t="str">
        <f t="shared" si="1"/>
        <v>Bemerkung:</v>
      </c>
      <c r="I48" s="445"/>
      <c r="K48" s="310" t="s">
        <v>463</v>
      </c>
      <c r="L48" s="487">
        <f>IF(OR(AND($C$37=FALSE,$C$39=FALSE),(AND($C$38=FALSE,$C$40=FALSE))),0,1)</f>
        <v>1</v>
      </c>
      <c r="M48" s="488">
        <f>IF($L$49=0,0,L48)</f>
        <v>0</v>
      </c>
      <c r="N48" s="192" t="str">
        <f>CONCATENATE("Pos. ",'Pos. 3'!$B$2,".8")</f>
        <v>Pos. 3.8</v>
      </c>
      <c r="O48" s="193" t="b">
        <f>IF(AND('Pos. 3'!AW39&lt;&gt;"",'Pos. 3'!AX39&lt;&gt;""),TRUE,FALSE)</f>
        <v>0</v>
      </c>
      <c r="P48" s="196"/>
      <c r="Q48" s="370">
        <v>7</v>
      </c>
      <c r="U48" s="310" t="b">
        <f>IF(M49=0,FALSE,TRUE)</f>
        <v>0</v>
      </c>
      <c r="V48" s="486">
        <f t="shared" si="8"/>
        <v>1</v>
      </c>
    </row>
    <row r="49" spans="1:22" ht="13.5" thickBot="1" x14ac:dyDescent="0.25">
      <c r="A49" s="489" t="b">
        <f>IF(C49=FALSE,TRUE,(IF(AND(C49=TRUE,'Pos. 3'!O96=""),FALSE,TRUE)))</f>
        <v>1</v>
      </c>
      <c r="B49" s="280" t="s">
        <v>407</v>
      </c>
      <c r="C49" s="317" t="b">
        <v>0</v>
      </c>
      <c r="D49" s="280" t="s">
        <v>73</v>
      </c>
      <c r="E49" s="316" t="s">
        <v>74</v>
      </c>
      <c r="F49" s="316" t="s">
        <v>331</v>
      </c>
      <c r="G49" s="317" t="s">
        <v>349</v>
      </c>
      <c r="H49" s="436" t="str">
        <f t="shared" si="1"/>
        <v>Zubehör:</v>
      </c>
      <c r="I49" s="445"/>
      <c r="K49" s="310" t="s">
        <v>462</v>
      </c>
      <c r="L49" s="490">
        <f>IF(L48=0,0,IF('Pos. 3'!$I$49&gt;0,1,0))</f>
        <v>0</v>
      </c>
      <c r="M49" s="292">
        <f>SUM(L49,M48)</f>
        <v>0</v>
      </c>
      <c r="N49" s="192" t="str">
        <f>CONCATENATE("Pos. ",'Pos. 3'!$B$2,".9")</f>
        <v>Pos. 3.9</v>
      </c>
      <c r="O49" s="193" t="b">
        <f>IF(AND('Pos. 3'!AW40&lt;&gt;"",'Pos. 3'!AX40&lt;&gt;""),TRUE,FALSE)</f>
        <v>0</v>
      </c>
      <c r="P49" s="196"/>
      <c r="Q49" s="370">
        <v>8</v>
      </c>
      <c r="T49" s="315" t="s">
        <v>845</v>
      </c>
      <c r="U49" s="310" t="b">
        <f>IF(AND(L44=1,AND('Pos. 3'!E23="",'Pos. 3'!E24="",'Pos. 3'!E25="")),FALSE,TRUE)</f>
        <v>1</v>
      </c>
      <c r="V49" s="486">
        <f t="shared" si="8"/>
        <v>0</v>
      </c>
    </row>
    <row r="50" spans="1:22" x14ac:dyDescent="0.2">
      <c r="A50" s="279">
        <f>COUNTIF(A41:A49,FALSE)</f>
        <v>0</v>
      </c>
      <c r="B50" s="280" t="s">
        <v>395</v>
      </c>
      <c r="C50" s="317" t="b">
        <v>0</v>
      </c>
      <c r="D50" s="280" t="s">
        <v>730</v>
      </c>
      <c r="E50" s="316" t="s">
        <v>731</v>
      </c>
      <c r="F50" s="316" t="s">
        <v>733</v>
      </c>
      <c r="G50" s="317" t="s">
        <v>732</v>
      </c>
      <c r="H50" s="436" t="str">
        <f t="shared" si="1"/>
        <v>Rinne (siehe unten)</v>
      </c>
      <c r="I50" s="445" t="b">
        <v>0</v>
      </c>
      <c r="K50" s="310" t="s">
        <v>464</v>
      </c>
      <c r="L50" s="293">
        <f>IF(AND(OR($C$53=TRUE,$C$54=TRUE),'Pos. 3'!$Z$42&lt;&gt;"",'Pos. 3'!$T$45&lt;&gt;""),1,0)</f>
        <v>0</v>
      </c>
      <c r="M50" s="483"/>
      <c r="N50" s="192" t="str">
        <f>CONCATENATE("Pos. ",'Pos. 3'!$B$2,".10")</f>
        <v>Pos. 3.10</v>
      </c>
      <c r="O50" s="193" t="b">
        <f>IF(AND('Pos. 3'!AW41&lt;&gt;"",'Pos. 3'!AX41&lt;&gt;""),TRUE,FALSE)</f>
        <v>0</v>
      </c>
      <c r="P50" s="196"/>
      <c r="Q50" s="370">
        <v>9</v>
      </c>
      <c r="U50" s="310" t="b">
        <f>IF(L50=0,FALSE,TRUE)</f>
        <v>0</v>
      </c>
      <c r="V50" s="486">
        <f t="shared" si="8"/>
        <v>1</v>
      </c>
    </row>
    <row r="51" spans="1:22" ht="13.5" thickBot="1" x14ac:dyDescent="0.25">
      <c r="B51" s="280" t="s">
        <v>416</v>
      </c>
      <c r="C51" s="317" t="b">
        <v>0</v>
      </c>
      <c r="D51" s="280" t="s">
        <v>327</v>
      </c>
      <c r="E51" s="316" t="s">
        <v>328</v>
      </c>
      <c r="F51" s="316" t="s">
        <v>329</v>
      </c>
      <c r="G51" s="317" t="s">
        <v>350</v>
      </c>
      <c r="H51" s="436" t="str">
        <f t="shared" si="1"/>
        <v>Wetterschenkel</v>
      </c>
      <c r="I51" s="445" t="b">
        <v>0</v>
      </c>
      <c r="K51" s="310" t="s">
        <v>465</v>
      </c>
      <c r="L51" s="286">
        <f>IF(OR($I$15=TRUE,$I$16=TRUE,$I$17=TRUE,$I$18=TRUE,$I$19=TRUE,$I$20=TRUE,$I$22=TRUE,$I$25=TRUE,$I$125=TRUE),1,0)</f>
        <v>0</v>
      </c>
      <c r="M51" s="483"/>
      <c r="N51" s="195" t="s">
        <v>607</v>
      </c>
      <c r="O51" s="197">
        <f>IF(P51=O52,1,0)</f>
        <v>0</v>
      </c>
      <c r="P51" s="198" t="str">
        <f>CONCATENATE("(",COUNTBLANK('Pos. 3'!AW32:AW41),")")</f>
        <v>(10)</v>
      </c>
      <c r="Q51" s="466">
        <v>10</v>
      </c>
      <c r="U51" s="310" t="b">
        <f t="shared" ref="U51:U55" si="9">IF(L51=0,FALSE,TRUE)</f>
        <v>0</v>
      </c>
      <c r="V51" s="486">
        <f t="shared" si="8"/>
        <v>1</v>
      </c>
    </row>
    <row r="52" spans="1:22" ht="13.5" thickBot="1" x14ac:dyDescent="0.25">
      <c r="B52" s="280"/>
      <c r="C52" s="317"/>
      <c r="D52" s="280" t="s">
        <v>319</v>
      </c>
      <c r="E52" s="316" t="s">
        <v>320</v>
      </c>
      <c r="F52" s="316" t="s">
        <v>321</v>
      </c>
      <c r="G52" s="317" t="s">
        <v>351</v>
      </c>
      <c r="H52" s="436" t="str">
        <f t="shared" si="1"/>
        <v>Standardgrundplatten:</v>
      </c>
      <c r="I52" s="445" t="b">
        <v>0</v>
      </c>
      <c r="K52" s="310" t="s">
        <v>466</v>
      </c>
      <c r="L52" s="286">
        <f>IF(OR(AND($I$36=TRUE,'Pos. 3'!$AM$43&lt;&gt;0,'Pos. 3'!$AR$43&lt;&gt;0,'Pos. 3'!$AM$49&lt;&gt;""),AND($I$39=TRUE,'Pos. 3'!$AM$45&lt;&gt;"",'Pos. 3'!$AM$49&lt;&gt;"",'Pos. 3'!$AM$46&lt;&gt;"",'Pos. 3'!$AM$47&lt;&gt;"")),1,0)</f>
        <v>0</v>
      </c>
      <c r="M52" s="483"/>
      <c r="N52" s="199"/>
      <c r="O52" s="200" t="str">
        <f>CONCATENATE("(",IF(I19=TRUE,COUNTIF(O41:O50,FALSE),""),")")</f>
        <v>()</v>
      </c>
      <c r="P52" s="201"/>
      <c r="U52" s="310" t="b">
        <f t="shared" si="9"/>
        <v>0</v>
      </c>
      <c r="V52" s="486">
        <f t="shared" si="8"/>
        <v>1</v>
      </c>
    </row>
    <row r="53" spans="1:22" x14ac:dyDescent="0.2">
      <c r="B53" s="280" t="s">
        <v>427</v>
      </c>
      <c r="C53" s="317" t="b">
        <v>0</v>
      </c>
      <c r="D53" s="280" t="s">
        <v>75</v>
      </c>
      <c r="E53" s="316" t="s">
        <v>75</v>
      </c>
      <c r="F53" s="316" t="s">
        <v>75</v>
      </c>
      <c r="G53" s="317" t="s">
        <v>75</v>
      </c>
      <c r="H53" s="436" t="str">
        <f t="shared" si="1"/>
        <v>Sun-Box</v>
      </c>
      <c r="I53" s="445"/>
      <c r="K53" s="310" t="s">
        <v>470</v>
      </c>
      <c r="L53" s="286">
        <f>IF('Pos. 3'!AT52=1,1,IF('Pos. 3'!$AE$53&lt;&gt;0,1,0))</f>
        <v>0</v>
      </c>
      <c r="M53" s="483"/>
      <c r="U53" s="310" t="b">
        <f t="shared" si="9"/>
        <v>0</v>
      </c>
      <c r="V53" s="486">
        <f t="shared" si="8"/>
        <v>1</v>
      </c>
    </row>
    <row r="54" spans="1:22" x14ac:dyDescent="0.2">
      <c r="B54" s="280" t="s">
        <v>428</v>
      </c>
      <c r="C54" s="317" t="b">
        <v>0</v>
      </c>
      <c r="D54" s="280" t="s">
        <v>76</v>
      </c>
      <c r="E54" s="316" t="s">
        <v>77</v>
      </c>
      <c r="F54" s="316" t="s">
        <v>78</v>
      </c>
      <c r="G54" s="317" t="s">
        <v>352</v>
      </c>
      <c r="H54" s="436" t="str">
        <f t="shared" si="1"/>
        <v>Glastyp wählen</v>
      </c>
      <c r="I54" s="445"/>
      <c r="K54" s="310" t="s">
        <v>471</v>
      </c>
      <c r="L54" s="286">
        <f>SUM(IF(AND('Pos. 3'!$AE$70&lt;&gt;"",'Pos. 3'!$AN$70&lt;&gt;"",OR($C$60=TRUE,$C$61=TRUE,$C$62=TRUE,$C$63=TRUE)),1,0),M54)</f>
        <v>1</v>
      </c>
      <c r="M54" s="483">
        <f>IF(AND(OR('Pos. 3'!F10="F",'Pos. 3'!F10=""),OR('Pos. 3'!N10="F",'Pos. 3'!N10=""),OR('Pos. 3'!R10="F",'Pos. 3'!R10=""),OR('Pos. 3'!V10="F",'Pos. 3'!V10=""),OR('Pos. 3'!Z10="F",'Pos. 3'!Z10=""),OR('Pos. 3'!AD10="F",'Pos. 3'!AD10=""),OR('Pos. 3'!AH10="F",'Pos. 3'!AH10=""),OR('Pos. 3'!AL10="F",'Pos. 3'!AL10=""),OR('Pos. 3'!AP10="F",'Pos. 3'!AP10="")),1,0)</f>
        <v>1</v>
      </c>
      <c r="U54" s="310" t="b">
        <f t="shared" si="9"/>
        <v>1</v>
      </c>
      <c r="V54" s="486">
        <f t="shared" si="8"/>
        <v>0</v>
      </c>
    </row>
    <row r="55" spans="1:22" x14ac:dyDescent="0.2">
      <c r="B55" s="280" t="s">
        <v>479</v>
      </c>
      <c r="C55" s="317" t="b">
        <v>0</v>
      </c>
      <c r="D55" s="280" t="s">
        <v>79</v>
      </c>
      <c r="E55" s="316" t="s">
        <v>80</v>
      </c>
      <c r="F55" s="316" t="s">
        <v>79</v>
      </c>
      <c r="G55" s="317" t="s">
        <v>79</v>
      </c>
      <c r="H55" s="436" t="str">
        <f t="shared" si="1"/>
        <v>Pos:</v>
      </c>
      <c r="I55" s="445"/>
      <c r="K55" s="310" t="s">
        <v>472</v>
      </c>
      <c r="L55" s="288">
        <f>IF(AND('Pos. 3'!$AM$88&lt;&gt;"",'Pos. 3'!$AE$84&lt;&gt;"",'Pos. 3'!$AM$87&lt;&gt;""),1,0)</f>
        <v>0</v>
      </c>
      <c r="M55" s="483"/>
      <c r="U55" s="310" t="b">
        <f t="shared" si="9"/>
        <v>0</v>
      </c>
      <c r="V55" s="486">
        <f t="shared" si="8"/>
        <v>1</v>
      </c>
    </row>
    <row r="56" spans="1:22" ht="15" customHeight="1" thickBot="1" x14ac:dyDescent="0.25">
      <c r="B56" s="280" t="s">
        <v>480</v>
      </c>
      <c r="C56" s="317" t="b">
        <v>0</v>
      </c>
      <c r="D56" s="280" t="s">
        <v>81</v>
      </c>
      <c r="E56" s="316" t="s">
        <v>82</v>
      </c>
      <c r="F56" s="316" t="s">
        <v>83</v>
      </c>
      <c r="G56" s="317" t="s">
        <v>150</v>
      </c>
      <c r="H56" s="436" t="str">
        <f t="shared" si="1"/>
        <v>Stück:</v>
      </c>
      <c r="I56" s="445"/>
      <c r="K56" s="310" t="s">
        <v>477</v>
      </c>
      <c r="L56" s="487">
        <f>IF(OR($C$41=TRUE,$C$43=TRUE,$C$44=TRUE,AND('Pos. 3'!F10="F",'Pos. 3'!J10="")),1,0)</f>
        <v>0</v>
      </c>
      <c r="M56" s="294">
        <f>SUM(L56:L57)</f>
        <v>0</v>
      </c>
      <c r="U56" s="310" t="b">
        <f>IF(M56=0,FALSE,TRUE)</f>
        <v>0</v>
      </c>
      <c r="V56" s="486">
        <f t="shared" si="8"/>
        <v>1</v>
      </c>
    </row>
    <row r="57" spans="1:22" x14ac:dyDescent="0.2">
      <c r="B57" s="280" t="s">
        <v>481</v>
      </c>
      <c r="C57" s="317" t="b">
        <v>0</v>
      </c>
      <c r="D57" s="280" t="s">
        <v>84</v>
      </c>
      <c r="E57" s="316" t="s">
        <v>85</v>
      </c>
      <c r="F57" s="316" t="s">
        <v>85</v>
      </c>
      <c r="G57" s="317" t="s">
        <v>196</v>
      </c>
      <c r="H57" s="436" t="str">
        <f t="shared" si="1"/>
        <v>Seite:</v>
      </c>
      <c r="I57" s="445"/>
      <c r="K57" s="310" t="s">
        <v>478</v>
      </c>
      <c r="L57" s="490">
        <f>IF(AND($C$42=TRUE,OR($C$55=TRUE,$C$56=TRUE)),1,0)</f>
        <v>0</v>
      </c>
      <c r="M57" s="295"/>
      <c r="O57" s="33" t="s">
        <v>865</v>
      </c>
      <c r="P57" s="437"/>
      <c r="Q57" s="437"/>
      <c r="R57" s="438"/>
      <c r="T57" s="315"/>
      <c r="U57" s="310"/>
      <c r="V57" s="486"/>
    </row>
    <row r="58" spans="1:22" x14ac:dyDescent="0.2">
      <c r="B58" s="280" t="s">
        <v>482</v>
      </c>
      <c r="C58" s="317" t="b">
        <v>0</v>
      </c>
      <c r="D58" s="280" t="s">
        <v>449</v>
      </c>
      <c r="E58" s="316" t="s">
        <v>450</v>
      </c>
      <c r="F58" s="316" t="s">
        <v>451</v>
      </c>
      <c r="G58" s="317" t="s">
        <v>452</v>
      </c>
      <c r="H58" s="436" t="str">
        <f t="shared" si="1"/>
        <v>Achsmass →</v>
      </c>
      <c r="I58" s="445"/>
      <c r="K58" s="310" t="s">
        <v>483</v>
      </c>
      <c r="L58" s="293">
        <f>IF(AND('Pos. 3'!$G$20=0,'Pos. 3'!$K$20=0,'Pos. 3'!$O$20=0,'Pos. 3'!$S$20=0,'Pos. 3'!$W$20=0,'Pos. 3'!$AA$20=0,'Pos. 3'!$AE$20=0,'Pos. 3'!$AI$20=0,'Pos. 3'!$AM$20=0),1,0)</f>
        <v>1</v>
      </c>
      <c r="M58" s="483"/>
      <c r="O58" s="374" t="s">
        <v>866</v>
      </c>
      <c r="P58" s="375" t="s">
        <v>867</v>
      </c>
      <c r="Q58" s="375" t="s">
        <v>869</v>
      </c>
      <c r="R58" s="376" t="s">
        <v>868</v>
      </c>
      <c r="T58" s="315" t="s">
        <v>750</v>
      </c>
      <c r="U58" s="310" t="b">
        <f>IF(AND(L62=1,'Pos. 3'!C11&gt;35),FALSE,TRUE)</f>
        <v>1</v>
      </c>
      <c r="V58" s="486">
        <f t="shared" si="8"/>
        <v>0</v>
      </c>
    </row>
    <row r="59" spans="1:22" x14ac:dyDescent="0.2">
      <c r="B59" s="280"/>
      <c r="C59" s="317"/>
      <c r="D59" s="280" t="s">
        <v>86</v>
      </c>
      <c r="E59" s="316" t="s">
        <v>87</v>
      </c>
      <c r="F59" s="316" t="s">
        <v>88</v>
      </c>
      <c r="G59" s="317" t="s">
        <v>149</v>
      </c>
      <c r="H59" s="436" t="str">
        <f t="shared" si="1"/>
        <v>VSG mit P4A</v>
      </c>
      <c r="I59" s="445"/>
      <c r="K59" s="310" t="s">
        <v>484</v>
      </c>
      <c r="L59" s="491">
        <f>IF(AND($C$49=FALSE,$C$50=FALSE,$C$51=FALSE),0,1)</f>
        <v>0</v>
      </c>
      <c r="M59" s="297">
        <f>SUM(L58:L59)</f>
        <v>1</v>
      </c>
      <c r="O59" s="329" t="s">
        <v>198</v>
      </c>
      <c r="P59" s="492">
        <f>IF(OR('Pos. 3'!$F$10='Sprachen &amp; Rückgabewerte(3)'!$B$10,'Pos. 3'!$F$10='Sprachen &amp; Rückgabewerte(3)'!B11),1,0)</f>
        <v>0</v>
      </c>
      <c r="Q59" s="330">
        <f>IF(P59=1,0,1)</f>
        <v>1</v>
      </c>
      <c r="R59" s="446">
        <f>IF(AND(P59=1,'Pos. 3'!$F$16=""),1,0)</f>
        <v>0</v>
      </c>
      <c r="U59" s="310" t="b">
        <f>IF(M59=0,FALSE,TRUE)</f>
        <v>1</v>
      </c>
      <c r="V59" s="486">
        <f t="shared" si="8"/>
        <v>0</v>
      </c>
    </row>
    <row r="60" spans="1:22" ht="15" customHeight="1" x14ac:dyDescent="0.2">
      <c r="B60" s="280" t="s">
        <v>250</v>
      </c>
      <c r="C60" s="317" t="b">
        <v>0</v>
      </c>
      <c r="D60" s="280" t="s">
        <v>89</v>
      </c>
      <c r="E60" s="316" t="s">
        <v>90</v>
      </c>
      <c r="F60" s="316" t="s">
        <v>310</v>
      </c>
      <c r="G60" s="317" t="s">
        <v>353</v>
      </c>
      <c r="H60" s="436" t="str">
        <f t="shared" si="1"/>
        <v>Insektenschutz</v>
      </c>
      <c r="I60" s="445"/>
      <c r="K60" s="310" t="s">
        <v>485</v>
      </c>
      <c r="L60" s="487">
        <f>IF(AND($C$46=TRUE,OR($C$57=TRUE,$C$58=TRUE)),1,0)</f>
        <v>0</v>
      </c>
      <c r="M60" s="538">
        <f>SUM(L60:L61)</f>
        <v>1</v>
      </c>
      <c r="O60" s="280" t="s">
        <v>199</v>
      </c>
      <c r="P60" s="493">
        <f>IF(OR('Pos. 3'!$J$10='Sprachen &amp; Rückgabewerte(3)'!$B$10,'Pos. 3'!$J$10='Sprachen &amp; Rückgabewerte(3)'!B11),1,0)</f>
        <v>0</v>
      </c>
      <c r="Q60" s="316">
        <f t="shared" ref="Q60:Q68" si="10">IF(P60=1,0,1)</f>
        <v>1</v>
      </c>
      <c r="R60" s="317">
        <f>IF(AND(P60=1,'Pos. 3'!$J$16=""),1,0)</f>
        <v>0</v>
      </c>
      <c r="U60" s="310" t="b">
        <f>IF(M60=0,FALSE,TRUE)</f>
        <v>1</v>
      </c>
      <c r="V60" s="486">
        <f t="shared" si="8"/>
        <v>0</v>
      </c>
    </row>
    <row r="61" spans="1:22" ht="12.75" customHeight="1" x14ac:dyDescent="0.2">
      <c r="B61" s="280" t="s">
        <v>251</v>
      </c>
      <c r="C61" s="317" t="b">
        <v>0</v>
      </c>
      <c r="D61" s="334" t="s">
        <v>148</v>
      </c>
      <c r="E61" s="494" t="s">
        <v>148</v>
      </c>
      <c r="F61" s="494" t="s">
        <v>148</v>
      </c>
      <c r="G61" s="495" t="s">
        <v>148</v>
      </c>
      <c r="H61" s="436" t="str">
        <f t="shared" si="1"/>
        <v>Standard = 1050mm</v>
      </c>
      <c r="I61" s="445"/>
      <c r="K61" s="310"/>
      <c r="L61" s="490">
        <f>IF(C46=FALSE,1,0)</f>
        <v>1</v>
      </c>
      <c r="M61" s="539"/>
      <c r="O61" s="280" t="s">
        <v>200</v>
      </c>
      <c r="P61" s="493">
        <f>IF(OR('Pos. 3'!$N$10='Sprachen &amp; Rückgabewerte(3)'!$B$10,'Pos. 3'!$N$10='Sprachen &amp; Rückgabewerte(3)'!B11),1,0)</f>
        <v>0</v>
      </c>
      <c r="Q61" s="316">
        <f t="shared" si="10"/>
        <v>1</v>
      </c>
      <c r="R61" s="317">
        <f>IF(AND(P61=1,'Pos. 3'!$N$16=""),1,0)</f>
        <v>0</v>
      </c>
      <c r="U61" s="310"/>
      <c r="V61" s="486"/>
    </row>
    <row r="62" spans="1:22" x14ac:dyDescent="0.2">
      <c r="B62" s="280" t="s">
        <v>252</v>
      </c>
      <c r="C62" s="317" t="b">
        <v>0</v>
      </c>
      <c r="D62" s="280" t="s">
        <v>143</v>
      </c>
      <c r="E62" s="316" t="s">
        <v>144</v>
      </c>
      <c r="F62" s="316" t="s">
        <v>145</v>
      </c>
      <c r="G62" s="317" t="s">
        <v>146</v>
      </c>
      <c r="H62" s="436" t="str">
        <f t="shared" si="1"/>
        <v>RC2: zwingend 1050mm</v>
      </c>
      <c r="I62" s="445"/>
      <c r="K62" s="310" t="s">
        <v>510</v>
      </c>
      <c r="L62" s="487">
        <f>IF(OR(AND('Pos. 3'!$F$10="L",'Pos. 3'!$J$10="R"),AND('Pos. 3'!$J$10="L",'Pos. 3'!$N$10="R"),AND('Pos. 3'!$N$10="L",'Pos. 3'!$R$10="R"),AND('Pos. 3'!$R$10="L",'Pos. 3'!$V$10="R"),AND('Pos. 3'!$V$10="L",'Pos. 3'!$Z$10="R"),AND('Pos. 3'!$Z$10="L",'Pos. 3'!$AD$10="R"),AND('Pos. 3'!$AD$10="L",'Pos. 3'!$AH$10="R"),AND('Pos. 3'!$AH$10="L",'Pos. 3'!$AL$10="R"),AND('Pos. 3'!$AL$10="L",'Pos. 3'!$AP$10="R"),AND('Pos. 3'!F10="F",'Pos. 3'!J10="R"),AND('Pos. 3'!J10="F",'Pos. 3'!N10="R"),AND('Pos. 3'!N10="F",'Pos. 3'!R10="R"),AND('Pos. 3'!R10="F",'Pos. 3'!V10="R"),AND('Pos. 3'!V10="F",'Pos. 3'!Z10="R"),AND('Pos. 3'!Z10="F",'Pos. 3'!AD10="R"),AND('Pos. 3'!AD10="F",'Pos. 3'!AH10="R"),AND('Pos. 3'!AH10="F",'Pos. 3'!AL10="R"),AND('Pos. 3'!AL10="F",'Pos. 3'!AP10="R"),AND('Pos. 3'!F10="L",'Pos. 3'!J10="F"),AND('Pos. 3'!J10="L",'Pos. 3'!N10="F"),AND('Pos. 3'!N10="L",'Pos. 3'!R10="F"),AND('Pos. 3'!R10="L",'Pos. 3'!V10="F"),AND('Pos. 3'!V10="L",'Pos. 3'!Z10="F"),AND('Pos. 3'!Z10="L",'Pos. 3'!AD10="F"),AND('Pos. 3'!AD10="L",'Pos. 3'!AH10="F"),AND('Pos. 3'!AH10="L",'Pos. 3'!AL10="F"),AND('Pos. 3'!AL10="L",'Pos. 3'!AP10="F")),1,0)</f>
        <v>0</v>
      </c>
      <c r="M62" s="294">
        <f>IF(AND(L58=0,SUM(L62:L65)=2),0,SUM(L62:L65))</f>
        <v>1</v>
      </c>
      <c r="O62" s="280" t="s">
        <v>201</v>
      </c>
      <c r="P62" s="493">
        <f>IF(OR('Pos. 3'!$R$10='Sprachen &amp; Rückgabewerte(3)'!$B$10,'Pos. 3'!$R$10='Sprachen &amp; Rückgabewerte(3)'!B11),1,0)</f>
        <v>0</v>
      </c>
      <c r="Q62" s="316">
        <f t="shared" si="10"/>
        <v>1</v>
      </c>
      <c r="R62" s="317">
        <f>IF(AND(P62=1,'Pos. 3'!$R$16=""),1,0)</f>
        <v>0</v>
      </c>
      <c r="U62" s="310" t="b">
        <f>IF(OR(M62=2,M62=3),FALSE,TRUE)</f>
        <v>1</v>
      </c>
      <c r="V62" s="486">
        <f t="shared" si="8"/>
        <v>0</v>
      </c>
    </row>
    <row r="63" spans="1:22" ht="15.75" customHeight="1" thickBot="1" x14ac:dyDescent="0.25">
      <c r="B63" s="467" t="s">
        <v>253</v>
      </c>
      <c r="C63" s="475" t="b">
        <v>0</v>
      </c>
      <c r="D63" s="280" t="s">
        <v>147</v>
      </c>
      <c r="E63" s="316" t="s">
        <v>147</v>
      </c>
      <c r="F63" s="316" t="s">
        <v>147</v>
      </c>
      <c r="G63" s="317" t="s">
        <v>147</v>
      </c>
      <c r="H63" s="436" t="str">
        <f t="shared" si="1"/>
        <v>min: RV=200 MVv=750</v>
      </c>
      <c r="I63" s="445"/>
      <c r="K63" s="310"/>
      <c r="L63" s="496">
        <f>IF(AND('Pos. 3'!G20="",'Pos. 3'!K20="",'Pos. 3'!O20="",'Pos. 3'!S20="",'Pos. 3'!W20="",'Pos. 3'!AA20="",'Pos. 3'!AE20="",'Pos. 3'!AI20="",'Pos. 3'!AM20=""),1,2)</f>
        <v>1</v>
      </c>
      <c r="M63" s="299"/>
      <c r="O63" s="280" t="s">
        <v>202</v>
      </c>
      <c r="P63" s="493">
        <f>IF(OR('Pos. 3'!$V$10='Sprachen &amp; Rückgabewerte(3)'!$B$10,'Pos. 3'!$V$10='Sprachen &amp; Rückgabewerte(3)'!B11),1,0)</f>
        <v>0</v>
      </c>
      <c r="Q63" s="316">
        <f t="shared" si="10"/>
        <v>1</v>
      </c>
      <c r="R63" s="317">
        <f>IF(AND(P63=1,'Pos. 3'!$V$16=""),1,0)</f>
        <v>0</v>
      </c>
      <c r="T63" s="315" t="s">
        <v>758</v>
      </c>
      <c r="U63" s="310" t="b">
        <f>IF('Pos. 3'!AX25="",FALSE,TRUE)</f>
        <v>0</v>
      </c>
      <c r="V63" s="486">
        <f>IF(U63=FALSE,1,0)</f>
        <v>1</v>
      </c>
    </row>
    <row r="64" spans="1:22" ht="15" customHeight="1" x14ac:dyDescent="0.2">
      <c r="B64" s="497" t="s">
        <v>575</v>
      </c>
      <c r="C64" s="498">
        <f>IF(OR($C$60=TRUE,$C$61=TRUE,$C$62=TRUE,$C$63=TRUE),1,0)</f>
        <v>0</v>
      </c>
      <c r="D64" s="280" t="s">
        <v>151</v>
      </c>
      <c r="E64" s="316" t="s">
        <v>255</v>
      </c>
      <c r="F64" s="316" t="s">
        <v>279</v>
      </c>
      <c r="G64" s="317" t="s">
        <v>293</v>
      </c>
      <c r="H64" s="436" t="str">
        <f t="shared" si="1"/>
        <v>Verschlussgriffe:</v>
      </c>
      <c r="I64" s="445"/>
      <c r="K64" s="310"/>
      <c r="L64" s="496">
        <f>IF(AND($C$45=FALSE,$C$46=FALSE,$C$47=FALSE,$C$48=FALSE),0,1)</f>
        <v>0</v>
      </c>
      <c r="M64" s="299"/>
      <c r="O64" s="280" t="s">
        <v>203</v>
      </c>
      <c r="P64" s="493">
        <f>IF(OR('Pos. 3'!$Z$10='Sprachen &amp; Rückgabewerte(3)'!$B$10,'Pos. 3'!$Z$10='Sprachen &amp; Rückgabewerte(3)'!B11),1,0)</f>
        <v>0</v>
      </c>
      <c r="Q64" s="316">
        <f t="shared" si="10"/>
        <v>1</v>
      </c>
      <c r="R64" s="317">
        <f>IF(AND(P64=1,'Pos. 3'!$Z$16=""),1,0)</f>
        <v>0</v>
      </c>
      <c r="T64" s="315" t="s">
        <v>765</v>
      </c>
      <c r="U64" s="310" t="b">
        <f>IF('Pos. 3'!AM87="",FALSE,TRUE)</f>
        <v>0</v>
      </c>
      <c r="V64" s="486">
        <f>IF(U64=FALSE,1,0)</f>
        <v>1</v>
      </c>
    </row>
    <row r="65" spans="2:23" ht="15.75" customHeight="1" thickBot="1" x14ac:dyDescent="0.25">
      <c r="B65" s="89"/>
      <c r="C65" s="499"/>
      <c r="D65" s="280" t="s">
        <v>155</v>
      </c>
      <c r="E65" s="316" t="s">
        <v>256</v>
      </c>
      <c r="F65" s="316" t="s">
        <v>311</v>
      </c>
      <c r="G65" s="317" t="s">
        <v>793</v>
      </c>
      <c r="H65" s="436" t="str">
        <f t="shared" si="1"/>
        <v>mit Verschlussraster (Druckknopf)</v>
      </c>
      <c r="I65" s="445"/>
      <c r="K65" s="310"/>
      <c r="L65" s="490">
        <f>IF(AND('Pos. 3'!H11="",'Pos. 3'!I11="",'Pos. 3'!L11="",'Pos. 3'!M11="",'Pos. 3'!P11="",'Pos. 3'!Q11="",'Pos. 3'!T11="",'Pos. 3'!U11="",'Pos. 3'!X11="",'Pos. 3'!Y11="",'Pos. 3'!AB11="",'Pos. 3'!AC11="",'Pos. 3'!AF11="",'Pos. 3'!AG11="",'Pos. 3'!AJ11="",'Pos. 3'!AK11="",'Pos. 3'!AN11="",'Pos. 3'!AO11=""),0,1)</f>
        <v>0</v>
      </c>
      <c r="M65" s="295"/>
      <c r="O65" s="280" t="s">
        <v>204</v>
      </c>
      <c r="P65" s="493">
        <f>IF(OR('Pos. 3'!$AD$10='Sprachen &amp; Rückgabewerte(3)'!$B$10,'Pos. 3'!$AD$10='Sprachen &amp; Rückgabewerte(3)'!B11),1,0)</f>
        <v>0</v>
      </c>
      <c r="Q65" s="316">
        <f t="shared" si="10"/>
        <v>1</v>
      </c>
      <c r="R65" s="317">
        <f>IF(AND(P65=1,'Pos. 3'!$AD$16=""),1,0)</f>
        <v>0</v>
      </c>
      <c r="U65" s="310"/>
      <c r="V65" s="486"/>
    </row>
    <row r="66" spans="2:23" ht="25.5" x14ac:dyDescent="0.2">
      <c r="B66" s="187" t="s">
        <v>576</v>
      </c>
      <c r="C66" s="499"/>
      <c r="D66" s="280" t="s">
        <v>430</v>
      </c>
      <c r="E66" s="316" t="s">
        <v>431</v>
      </c>
      <c r="F66" s="316" t="s">
        <v>433</v>
      </c>
      <c r="G66" s="317" t="s">
        <v>432</v>
      </c>
      <c r="H66" s="436" t="str">
        <f t="shared" si="1"/>
        <v>mit Verschlussraster (Zylinder)</v>
      </c>
      <c r="I66" s="445"/>
      <c r="K66" s="304" t="s">
        <v>579</v>
      </c>
      <c r="L66" s="487" t="b">
        <f>IF(AND($I$71=TRUE,'Pos. 3'!$AP$74="",'Pos. 3'!$AP$75="",'Pos. 3'!$AP$76=""),FALSE,TRUE)</f>
        <v>1</v>
      </c>
      <c r="M66" s="294" t="b">
        <f>IF(OR($L$66=FALSE,$L$67=FALSE,$L$68=FALSE,L69=FALSE),FALSE,TRUE)</f>
        <v>0</v>
      </c>
      <c r="O66" s="280" t="s">
        <v>205</v>
      </c>
      <c r="P66" s="493">
        <f>IF(OR('Pos. 3'!$AH$10='Sprachen &amp; Rückgabewerte(3)'!$B$10,'Pos. 3'!$AH$10='Sprachen &amp; Rückgabewerte(3)'!B11),1,0)</f>
        <v>0</v>
      </c>
      <c r="Q66" s="316">
        <f t="shared" si="10"/>
        <v>1</v>
      </c>
      <c r="R66" s="317">
        <f>IF(AND(P66=1,'Pos. 3'!$AH$16=""),1,0)</f>
        <v>0</v>
      </c>
      <c r="U66" s="310" t="b">
        <f>M66</f>
        <v>0</v>
      </c>
      <c r="V66" s="486">
        <f t="shared" si="8"/>
        <v>1</v>
      </c>
    </row>
    <row r="67" spans="2:23" ht="15" customHeight="1" x14ac:dyDescent="0.2">
      <c r="B67" s="500"/>
      <c r="C67" s="499"/>
      <c r="D67" s="280" t="s">
        <v>152</v>
      </c>
      <c r="E67" s="316" t="s">
        <v>257</v>
      </c>
      <c r="F67" s="316" t="s">
        <v>312</v>
      </c>
      <c r="G67" s="317" t="s">
        <v>354</v>
      </c>
      <c r="H67" s="436" t="str">
        <f t="shared" si="1"/>
        <v>ohne Verschlussraster</v>
      </c>
      <c r="I67" s="445"/>
      <c r="K67" s="304" t="s">
        <v>580</v>
      </c>
      <c r="L67" s="501" t="b">
        <f>IF('Pos. 3'!AN78="",FALSE,TRUE)</f>
        <v>0</v>
      </c>
      <c r="M67" s="299"/>
      <c r="O67" s="280" t="s">
        <v>206</v>
      </c>
      <c r="P67" s="493">
        <f>IF(OR('Pos. 3'!$AL$10='Sprachen &amp; Rückgabewerte(3)'!$B$10,'Pos. 3'!$AL$10='Sprachen &amp; Rückgabewerte(3)'!B11),1,0)</f>
        <v>0</v>
      </c>
      <c r="Q67" s="316">
        <f t="shared" si="10"/>
        <v>1</v>
      </c>
      <c r="R67" s="317">
        <f>IF(AND(P67=1,'Pos. 3'!$AL$16=""),1,0)</f>
        <v>0</v>
      </c>
      <c r="T67" s="315" t="s">
        <v>864</v>
      </c>
      <c r="U67" s="310" t="b">
        <f>IF(R69&gt;0,FALSE,TRUE)</f>
        <v>1</v>
      </c>
      <c r="V67" s="486">
        <f>IF(U67=FALSE,1,0)</f>
        <v>0</v>
      </c>
      <c r="W67" s="502"/>
    </row>
    <row r="68" spans="2:23" ht="15" customHeight="1" x14ac:dyDescent="0.2">
      <c r="B68" s="436" t="str">
        <f>$H$112</f>
        <v>mit CFK</v>
      </c>
      <c r="C68" s="499"/>
      <c r="D68" s="280" t="s">
        <v>153</v>
      </c>
      <c r="E68" s="316" t="s">
        <v>258</v>
      </c>
      <c r="F68" s="316" t="s">
        <v>281</v>
      </c>
      <c r="G68" s="317" t="s">
        <v>355</v>
      </c>
      <c r="H68" s="436" t="str">
        <f t="shared" si="1"/>
        <v>2-Punkt Verriegelung</v>
      </c>
      <c r="I68" s="445"/>
      <c r="J68" s="279" t="str">
        <f>H68</f>
        <v>2-Punkt Verriegelung</v>
      </c>
      <c r="K68" s="304" t="s">
        <v>581</v>
      </c>
      <c r="L68" s="501" t="b">
        <f>IF('Pos. 3'!AN79="",FALSE,TRUE)</f>
        <v>0</v>
      </c>
      <c r="M68" s="299"/>
      <c r="O68" s="280" t="s">
        <v>207</v>
      </c>
      <c r="P68" s="493">
        <f>IF(OR('Pos. 3'!$AP$10='Sprachen &amp; Rückgabewerte(3)'!$B$10,'Pos. 3'!$AP$10='Sprachen &amp; Rückgabewerte(3)'!B11),1,0)</f>
        <v>0</v>
      </c>
      <c r="Q68" s="316">
        <f t="shared" si="10"/>
        <v>1</v>
      </c>
      <c r="R68" s="317">
        <f>IF(AND(P68=1,'Pos. 3'!$AP$16=""),1,0)</f>
        <v>0</v>
      </c>
      <c r="T68" s="315" t="s">
        <v>910</v>
      </c>
      <c r="U68" s="310" t="b">
        <f>IF('Pos. 3'!AQ96="",FALSE,TRUE)</f>
        <v>0</v>
      </c>
      <c r="V68" s="486">
        <f t="shared" ref="V68:V69" si="11">IF(U68=FALSE,1,0)</f>
        <v>1</v>
      </c>
      <c r="W68" s="502">
        <f>SUM(V68:V69)</f>
        <v>1</v>
      </c>
    </row>
    <row r="69" spans="2:23" ht="15" customHeight="1" thickBot="1" x14ac:dyDescent="0.25">
      <c r="B69" s="436" t="str">
        <f>$H$113</f>
        <v>ohne CFK</v>
      </c>
      <c r="C69" s="499"/>
      <c r="D69" s="280" t="s">
        <v>154</v>
      </c>
      <c r="E69" s="316" t="s">
        <v>259</v>
      </c>
      <c r="F69" s="316" t="s">
        <v>280</v>
      </c>
      <c r="G69" s="317" t="s">
        <v>356</v>
      </c>
      <c r="H69" s="436" t="str">
        <f t="shared" si="1"/>
        <v>3-Punkt Verriegelung</v>
      </c>
      <c r="I69" s="445"/>
      <c r="J69" s="279" t="str">
        <f>H69</f>
        <v>3-Punkt Verriegelung</v>
      </c>
      <c r="K69" s="304" t="s">
        <v>582</v>
      </c>
      <c r="L69" s="503" t="b">
        <f>IF('Pos. 3'!$AN$80&lt;&gt;"",TRUE,FALSE)</f>
        <v>0</v>
      </c>
      <c r="M69" s="295"/>
      <c r="O69" s="377"/>
      <c r="P69" s="504"/>
      <c r="Q69" s="378" t="s">
        <v>870</v>
      </c>
      <c r="R69" s="475">
        <f>IF(I20=TRUE,SUM(R59:R68),0)</f>
        <v>0</v>
      </c>
      <c r="T69" s="315" t="s">
        <v>911</v>
      </c>
      <c r="U69" s="310" t="b">
        <f>IF(AND('Pos. 3'!AQ96='Sprachen &amp; Rückgabewerte(3)'!H95,'Pos. 3'!AW96=""),FALSE,TRUE)</f>
        <v>1</v>
      </c>
      <c r="V69" s="486">
        <f t="shared" si="11"/>
        <v>0</v>
      </c>
    </row>
    <row r="70" spans="2:23" x14ac:dyDescent="0.2">
      <c r="B70" s="436"/>
      <c r="C70" s="499"/>
      <c r="D70" s="280" t="s">
        <v>254</v>
      </c>
      <c r="E70" s="316" t="s">
        <v>260</v>
      </c>
      <c r="F70" s="316" t="s">
        <v>282</v>
      </c>
      <c r="G70" s="317" t="s">
        <v>294</v>
      </c>
      <c r="H70" s="436" t="str">
        <f t="shared" si="1"/>
        <v>Befestigung:</v>
      </c>
      <c r="I70" s="445"/>
      <c r="K70" s="310" t="s">
        <v>605</v>
      </c>
      <c r="L70" s="505">
        <f>IF(AND(I19=TRUE,O51=1),1,0)</f>
        <v>0</v>
      </c>
      <c r="M70" s="297"/>
      <c r="U70" s="310" t="b">
        <f>IF(AND(I19=TRUE,O51&lt;&gt;1),FALSE,TRUE)</f>
        <v>1</v>
      </c>
      <c r="V70" s="486">
        <f t="shared" si="8"/>
        <v>0</v>
      </c>
    </row>
    <row r="71" spans="2:23" x14ac:dyDescent="0.2">
      <c r="B71" s="436" t="str">
        <f>$H$114</f>
        <v>mit Stahl</v>
      </c>
      <c r="C71" s="499"/>
      <c r="D71" s="280" t="s">
        <v>306</v>
      </c>
      <c r="E71" s="316" t="s">
        <v>307</v>
      </c>
      <c r="F71" s="316" t="s">
        <v>308</v>
      </c>
      <c r="G71" s="317" t="s">
        <v>295</v>
      </c>
      <c r="H71" s="436" t="str">
        <f t="shared" si="1"/>
        <v>Universalschrauben (A2):</v>
      </c>
      <c r="I71" s="445" t="b">
        <v>0</v>
      </c>
      <c r="K71" s="310" t="s">
        <v>683</v>
      </c>
      <c r="L71" s="505">
        <f>IF(OR('Pos. 3'!$F$10='Sprachen &amp; Rückgabewerte(3)'!$B$14,'Pos. 3'!$J$10='Sprachen &amp; Rückgabewerte(3)'!$B$14,'Pos. 3'!$N$10='Sprachen &amp; Rückgabewerte(3)'!B14,'Pos. 3'!$R$10='Sprachen &amp; Rückgabewerte(3)'!$B$14,'Pos. 3'!$V$10='Sprachen &amp; Rückgabewerte(3)'!$B$14,'Pos. 3'!$Z$10='Sprachen &amp; Rückgabewerte(3)'!$B$14,'Pos. 3'!$AD$10='Sprachen &amp; Rückgabewerte(3)'!$B$14,'Pos. 3'!$AH$10='Sprachen &amp; Rückgabewerte(3)'!$B$14,'Pos. 3'!$AL$10='Sprachen &amp; Rückgabewerte(3)'!$B$14,'Pos. 3'!$AP$10='Sprachen &amp; Rückgabewerte(3)'!$B$14),0,1)</f>
        <v>1</v>
      </c>
      <c r="M71" s="297">
        <f>IF(AND(L71=0,'Pos. 3'!AW48=""),0,1)</f>
        <v>1</v>
      </c>
      <c r="U71" s="310" t="b">
        <f>IF(M71=1,TRUE,FALSE)</f>
        <v>1</v>
      </c>
      <c r="V71" s="486">
        <f t="shared" si="8"/>
        <v>0</v>
      </c>
    </row>
    <row r="72" spans="2:23" x14ac:dyDescent="0.2">
      <c r="B72" s="436" t="str">
        <f>$H$115</f>
        <v>ohne Stahl</v>
      </c>
      <c r="C72" s="499"/>
      <c r="D72" s="280" t="s">
        <v>156</v>
      </c>
      <c r="E72" s="316" t="s">
        <v>156</v>
      </c>
      <c r="F72" s="316" t="s">
        <v>156</v>
      </c>
      <c r="G72" s="316" t="s">
        <v>156</v>
      </c>
      <c r="H72" s="436" t="str">
        <f t="shared" ref="H72:H88" si="12">IF($B$3=$A$3,D72,IF($B$3=$A$4,E72,IF($B$3=$A$5,F72,IF($B$3=$A$6,G72,""))))</f>
        <v>L=52mm</v>
      </c>
      <c r="I72" s="445"/>
      <c r="J72" s="279" t="str">
        <f>H72</f>
        <v>L=52mm</v>
      </c>
      <c r="K72" s="304" t="s">
        <v>743</v>
      </c>
      <c r="L72" s="305">
        <f>C95</f>
        <v>6</v>
      </c>
      <c r="M72" s="486"/>
      <c r="U72" s="310" t="b">
        <f>IF(AND(L72&gt;0,I50=TRUE),FALSE,TRUE)</f>
        <v>1</v>
      </c>
      <c r="V72" s="486">
        <f t="shared" si="8"/>
        <v>0</v>
      </c>
    </row>
    <row r="73" spans="2:23" x14ac:dyDescent="0.2">
      <c r="B73" s="436"/>
      <c r="C73" s="499"/>
      <c r="D73" s="280" t="s">
        <v>157</v>
      </c>
      <c r="E73" s="316" t="s">
        <v>157</v>
      </c>
      <c r="F73" s="316" t="s">
        <v>157</v>
      </c>
      <c r="G73" s="316" t="s">
        <v>157</v>
      </c>
      <c r="H73" s="436" t="str">
        <f t="shared" si="12"/>
        <v>L=82mm</v>
      </c>
      <c r="I73" s="445"/>
      <c r="J73" s="279" t="str">
        <f>H73</f>
        <v>L=82mm</v>
      </c>
      <c r="K73" s="304" t="s">
        <v>745</v>
      </c>
      <c r="L73" s="305">
        <f>A50</f>
        <v>0</v>
      </c>
      <c r="M73" s="486"/>
      <c r="U73" s="310" t="b">
        <f>IF(L73=0,TRUE,FALSE)</f>
        <v>1</v>
      </c>
      <c r="V73" s="486">
        <f t="shared" si="8"/>
        <v>0</v>
      </c>
    </row>
    <row r="74" spans="2:23" x14ac:dyDescent="0.2">
      <c r="B74" s="436" t="str">
        <f>$H$120</f>
        <v>mit AL.</v>
      </c>
      <c r="C74" s="499"/>
      <c r="D74" s="280" t="s">
        <v>158</v>
      </c>
      <c r="E74" s="316" t="s">
        <v>158</v>
      </c>
      <c r="F74" s="316" t="s">
        <v>158</v>
      </c>
      <c r="G74" s="316" t="s">
        <v>158</v>
      </c>
      <c r="H74" s="436" t="str">
        <f t="shared" si="12"/>
        <v>L=112mm</v>
      </c>
      <c r="I74" s="445"/>
      <c r="J74" s="279" t="str">
        <f>H74</f>
        <v>L=112mm</v>
      </c>
      <c r="K74" s="304" t="s">
        <v>327</v>
      </c>
      <c r="L74" s="305" t="b">
        <f>IF(AND(I51=TRUE,'Pos. 3'!AP86=""),FALSE,TRUE)</f>
        <v>1</v>
      </c>
      <c r="M74" s="486"/>
      <c r="U74" s="310" t="b">
        <f>L74</f>
        <v>1</v>
      </c>
      <c r="V74" s="486">
        <f t="shared" si="8"/>
        <v>0</v>
      </c>
    </row>
    <row r="75" spans="2:23" x14ac:dyDescent="0.2">
      <c r="B75" s="436" t="str">
        <f>$H$121</f>
        <v>ohne AL.</v>
      </c>
      <c r="C75" s="499"/>
      <c r="D75" s="280" t="s">
        <v>871</v>
      </c>
      <c r="E75" s="316" t="s">
        <v>872</v>
      </c>
      <c r="F75" s="316" t="s">
        <v>873</v>
      </c>
      <c r="G75" s="317" t="s">
        <v>874</v>
      </c>
      <c r="H75" s="436" t="str">
        <f t="shared" si="12"/>
        <v>(VE à 100 Stk.)</v>
      </c>
      <c r="I75" s="445"/>
      <c r="K75" s="304" t="s">
        <v>746</v>
      </c>
      <c r="L75" s="305" t="b">
        <f>IF(AND(I22=TRUE,'Pos. 3'!AL39=""),FALSE,TRUE)</f>
        <v>1</v>
      </c>
      <c r="M75" s="486"/>
      <c r="U75" s="310" t="b">
        <f>L75</f>
        <v>1</v>
      </c>
      <c r="V75" s="486">
        <f t="shared" si="8"/>
        <v>0</v>
      </c>
    </row>
    <row r="76" spans="2:23" x14ac:dyDescent="0.2">
      <c r="B76" s="436"/>
      <c r="D76" s="280" t="s">
        <v>159</v>
      </c>
      <c r="E76" s="316" t="s">
        <v>261</v>
      </c>
      <c r="F76" s="316" t="s">
        <v>283</v>
      </c>
      <c r="G76" s="317" t="s">
        <v>296</v>
      </c>
      <c r="H76" s="436" t="str">
        <f t="shared" si="12"/>
        <v>Sockelbefestigung:</v>
      </c>
      <c r="I76" s="445"/>
      <c r="K76" s="304" t="s">
        <v>747</v>
      </c>
      <c r="L76" s="305" t="b">
        <f>IF(AND(I45=TRUE,'Pos. 3'!AI57=""),FALSE,TRUE)</f>
        <v>1</v>
      </c>
      <c r="M76" s="486"/>
      <c r="U76" s="310" t="b">
        <f t="shared" ref="U76:U77" si="13">L76</f>
        <v>1</v>
      </c>
      <c r="V76" s="486">
        <f t="shared" si="8"/>
        <v>0</v>
      </c>
    </row>
    <row r="77" spans="2:23" ht="13.5" thickBot="1" x14ac:dyDescent="0.25">
      <c r="B77" s="436" t="str">
        <f>$H$122</f>
        <v>mit Stahl (&gt;2.5m)</v>
      </c>
      <c r="D77" s="280" t="s">
        <v>160</v>
      </c>
      <c r="E77" s="316" t="s">
        <v>262</v>
      </c>
      <c r="F77" s="316" t="s">
        <v>284</v>
      </c>
      <c r="G77" s="317" t="s">
        <v>297</v>
      </c>
      <c r="H77" s="436" t="str">
        <f t="shared" si="12"/>
        <v>Verstellschrauben M10 x</v>
      </c>
      <c r="I77" s="445"/>
      <c r="J77" s="279" t="str">
        <f>H80</f>
        <v>ohne</v>
      </c>
      <c r="K77" s="307" t="s">
        <v>748</v>
      </c>
      <c r="L77" s="308" t="b">
        <f>IF(OR('Pos. 3'!AE84='Sprachen &amp; Rückgabewerte(3)'!H88,AND('Pos. 3'!AE84='Sprachen &amp; Rückgabewerte(3)'!H89,'Pos. 3'!AE85&lt;&gt;"")),TRUE,FALSE)</f>
        <v>0</v>
      </c>
      <c r="M77" s="506"/>
      <c r="U77" s="310" t="b">
        <f t="shared" si="13"/>
        <v>0</v>
      </c>
      <c r="V77" s="486">
        <f t="shared" si="8"/>
        <v>1</v>
      </c>
    </row>
    <row r="78" spans="2:23" ht="13.5" thickBot="1" x14ac:dyDescent="0.25">
      <c r="B78" s="489" t="str">
        <f>$H$123</f>
        <v>ohne Stahl (&lt;2.5m)</v>
      </c>
      <c r="D78" s="280" t="s">
        <v>161</v>
      </c>
      <c r="E78" s="316" t="s">
        <v>161</v>
      </c>
      <c r="F78" s="316" t="s">
        <v>161</v>
      </c>
      <c r="G78" s="316" t="s">
        <v>161</v>
      </c>
      <c r="H78" s="436" t="str">
        <f t="shared" si="12"/>
        <v>L=70mm</v>
      </c>
      <c r="I78" s="445"/>
      <c r="J78" s="279" t="str">
        <f>H78</f>
        <v>L=70mm</v>
      </c>
      <c r="K78" s="33" t="s">
        <v>429</v>
      </c>
      <c r="L78" s="437"/>
      <c r="M78" s="437"/>
      <c r="N78" s="437"/>
      <c r="O78" s="438"/>
      <c r="T78" s="315" t="s">
        <v>935</v>
      </c>
      <c r="U78" s="310" t="b">
        <f>IF('Pos. 3'!AZ9="",FALSE,TRUE)</f>
        <v>0</v>
      </c>
      <c r="V78" s="486">
        <f t="shared" si="8"/>
        <v>1</v>
      </c>
      <c r="W78" s="502">
        <f>SUM(V78:V79)</f>
        <v>2</v>
      </c>
    </row>
    <row r="79" spans="2:23" ht="13.5" thickBot="1" x14ac:dyDescent="0.25">
      <c r="D79" s="280" t="s">
        <v>162</v>
      </c>
      <c r="E79" s="316" t="s">
        <v>162</v>
      </c>
      <c r="F79" s="316" t="s">
        <v>162</v>
      </c>
      <c r="G79" s="316" t="s">
        <v>162</v>
      </c>
      <c r="H79" s="436" t="str">
        <f t="shared" si="12"/>
        <v>L=100mm</v>
      </c>
      <c r="I79" s="445"/>
      <c r="J79" s="279" t="str">
        <f>H79</f>
        <v>L=100mm</v>
      </c>
      <c r="K79" s="507" t="str">
        <f>H65</f>
        <v>mit Verschlussraster (Druckknopf)</v>
      </c>
      <c r="L79" s="508"/>
      <c r="M79" s="509"/>
      <c r="N79" s="510" t="str">
        <f>IF(OR(C62=TRUE,C63=TRUE),K81,K79)</f>
        <v>mit Verschlussraster (Druckknopf)</v>
      </c>
      <c r="O79" s="511"/>
      <c r="T79" s="315" t="s">
        <v>936</v>
      </c>
      <c r="U79" s="310" t="b">
        <f>IF('Pos. 3'!AZ10="",FALSE,TRUE)</f>
        <v>0</v>
      </c>
      <c r="V79" s="486">
        <f t="shared" si="8"/>
        <v>1</v>
      </c>
    </row>
    <row r="80" spans="2:23" ht="13.5" thickBot="1" x14ac:dyDescent="0.25">
      <c r="B80" s="56" t="s">
        <v>604</v>
      </c>
      <c r="D80" s="280" t="s">
        <v>163</v>
      </c>
      <c r="E80" s="316" t="s">
        <v>263</v>
      </c>
      <c r="F80" s="316" t="s">
        <v>285</v>
      </c>
      <c r="G80" s="317" t="s">
        <v>298</v>
      </c>
      <c r="H80" s="436" t="str">
        <f t="shared" si="12"/>
        <v>ohne</v>
      </c>
      <c r="I80" s="445"/>
      <c r="J80" s="279" t="str">
        <f>H80</f>
        <v>ohne</v>
      </c>
      <c r="K80" s="512" t="str">
        <f>H67</f>
        <v>ohne Verschlussraster</v>
      </c>
      <c r="L80" s="513"/>
      <c r="M80" s="460"/>
      <c r="N80" s="514" t="str">
        <f>IF(OR(C62=TRUE,C63=TRUE),K82,K80)</f>
        <v>ohne Verschlussraster</v>
      </c>
      <c r="O80" s="450"/>
      <c r="U80" s="310"/>
      <c r="V80" s="486"/>
    </row>
    <row r="81" spans="1:22" ht="13.5" thickBot="1" x14ac:dyDescent="0.25">
      <c r="A81" s="515">
        <v>280</v>
      </c>
      <c r="B81" s="516" t="str">
        <f>""</f>
        <v/>
      </c>
      <c r="C81" s="517">
        <v>214</v>
      </c>
      <c r="D81" s="280" t="s">
        <v>164</v>
      </c>
      <c r="E81" s="316" t="s">
        <v>264</v>
      </c>
      <c r="F81" s="316" t="s">
        <v>286</v>
      </c>
      <c r="G81" s="317" t="s">
        <v>299</v>
      </c>
      <c r="H81" s="436" t="str">
        <f t="shared" si="12"/>
        <v>inklusive</v>
      </c>
      <c r="I81" s="445"/>
      <c r="J81" s="279" t="str">
        <f>H81</f>
        <v>inklusive</v>
      </c>
      <c r="K81" s="377" t="str">
        <f>H66</f>
        <v>mit Verschlussraster (Zylinder)</v>
      </c>
      <c r="L81" s="504"/>
      <c r="M81" s="378"/>
      <c r="N81" s="518"/>
      <c r="O81" s="455"/>
      <c r="U81" s="310"/>
      <c r="V81" s="486"/>
    </row>
    <row r="82" spans="1:22" x14ac:dyDescent="0.2">
      <c r="A82" s="519">
        <v>254</v>
      </c>
      <c r="B82" s="520">
        <v>85</v>
      </c>
      <c r="C82" s="521">
        <f>IF('Pos. 3'!$T$114='Sprachen &amp; Rückgabewerte(3)'!$J$146,130,144)</f>
        <v>144</v>
      </c>
      <c r="D82" s="280" t="s">
        <v>265</v>
      </c>
      <c r="E82" s="316" t="s">
        <v>266</v>
      </c>
      <c r="F82" s="316" t="s">
        <v>287</v>
      </c>
      <c r="G82" s="317" t="s">
        <v>266</v>
      </c>
      <c r="H82" s="436" t="str">
        <f t="shared" si="12"/>
        <v>Sockel 75</v>
      </c>
      <c r="I82" s="445"/>
      <c r="J82" s="279" t="str">
        <f>H82</f>
        <v>Sockel 75</v>
      </c>
      <c r="K82" s="279" t="str">
        <f>H161</f>
        <v>ohne Verschlussraster (Zylinder)</v>
      </c>
      <c r="U82" s="310"/>
      <c r="V82" s="486"/>
    </row>
    <row r="83" spans="1:22" ht="13.5" thickBot="1" x14ac:dyDescent="0.25">
      <c r="A83" s="519">
        <v>254</v>
      </c>
      <c r="B83" s="520">
        <v>105</v>
      </c>
      <c r="C83" s="521">
        <f>IF('Pos. 3'!$T$114='Sprachen &amp; Rückgabewerte(3)'!$J$146,158,172)</f>
        <v>172</v>
      </c>
      <c r="D83" s="280" t="s">
        <v>163</v>
      </c>
      <c r="E83" s="316" t="s">
        <v>263</v>
      </c>
      <c r="F83" s="316" t="s">
        <v>285</v>
      </c>
      <c r="G83" s="317" t="s">
        <v>298</v>
      </c>
      <c r="H83" s="436" t="str">
        <f t="shared" si="12"/>
        <v>ohne</v>
      </c>
      <c r="I83" s="445"/>
      <c r="S83" s="279" t="s">
        <v>934</v>
      </c>
      <c r="T83" s="314" t="s">
        <v>749</v>
      </c>
      <c r="U83" s="311" t="b">
        <f>IF(V83&gt;0,FALSE,TRUE)</f>
        <v>0</v>
      </c>
      <c r="V83" s="506">
        <f>SUM(V41:V82)</f>
        <v>20</v>
      </c>
    </row>
    <row r="84" spans="1:22" ht="13.5" thickBot="1" x14ac:dyDescent="0.25">
      <c r="A84" s="522">
        <v>228</v>
      </c>
      <c r="B84" s="523">
        <v>110</v>
      </c>
      <c r="C84" s="524">
        <f>IF('Pos. 3'!$T$114='Sprachen &amp; Rückgabewerte(3)'!$J$146,186,200)</f>
        <v>200</v>
      </c>
      <c r="D84" s="280" t="s">
        <v>165</v>
      </c>
      <c r="E84" s="316" t="s">
        <v>267</v>
      </c>
      <c r="F84" s="316" t="s">
        <v>288</v>
      </c>
      <c r="G84" s="317" t="s">
        <v>300</v>
      </c>
      <c r="H84" s="436" t="str">
        <f t="shared" si="12"/>
        <v>Rahmenzusammenbau:</v>
      </c>
      <c r="I84" s="445"/>
    </row>
    <row r="85" spans="1:22" x14ac:dyDescent="0.2">
      <c r="D85" s="280" t="s">
        <v>166</v>
      </c>
      <c r="E85" s="316" t="s">
        <v>268</v>
      </c>
      <c r="F85" s="316" t="s">
        <v>289</v>
      </c>
      <c r="G85" s="317" t="s">
        <v>301</v>
      </c>
      <c r="H85" s="436" t="str">
        <f t="shared" si="12"/>
        <v>Gehrungsstoss (A)</v>
      </c>
      <c r="I85" s="445"/>
      <c r="J85" s="279" t="str">
        <f>H85</f>
        <v>Gehrungsstoss (A)</v>
      </c>
      <c r="L85" s="542" t="s">
        <v>696</v>
      </c>
      <c r="M85" s="543"/>
    </row>
    <row r="86" spans="1:22" ht="13.5" thickBot="1" x14ac:dyDescent="0.25">
      <c r="D86" s="280" t="s">
        <v>322</v>
      </c>
      <c r="E86" s="316" t="s">
        <v>269</v>
      </c>
      <c r="F86" s="316" t="s">
        <v>290</v>
      </c>
      <c r="G86" s="317" t="s">
        <v>493</v>
      </c>
      <c r="H86" s="436" t="str">
        <f t="shared" si="12"/>
        <v>Montagestoss (B)</v>
      </c>
      <c r="I86" s="445"/>
      <c r="J86" s="279" t="str">
        <f>H86</f>
        <v>Montagestoss (B)</v>
      </c>
      <c r="L86" s="525"/>
      <c r="M86" s="446"/>
    </row>
    <row r="87" spans="1:22" x14ac:dyDescent="0.2">
      <c r="B87" s="540" t="s">
        <v>634</v>
      </c>
      <c r="C87" s="541"/>
      <c r="D87" s="280" t="s">
        <v>167</v>
      </c>
      <c r="E87" s="316" t="s">
        <v>270</v>
      </c>
      <c r="F87" s="316" t="s">
        <v>330</v>
      </c>
      <c r="G87" s="317" t="s">
        <v>302</v>
      </c>
      <c r="H87" s="436" t="str">
        <f t="shared" si="12"/>
        <v>Logistik:</v>
      </c>
      <c r="I87" s="445"/>
      <c r="L87" s="526">
        <v>1</v>
      </c>
      <c r="M87" s="317" t="str">
        <f>CONCATENATE($H$154," ",L87)</f>
        <v>Kalenderwoche 1</v>
      </c>
    </row>
    <row r="88" spans="1:22" x14ac:dyDescent="0.2">
      <c r="B88" s="329" t="s">
        <v>635</v>
      </c>
      <c r="C88" s="362">
        <f>IF(AND(I50=TRUE,'Pos. 3'!T104&lt;&gt;""),0,1)</f>
        <v>1</v>
      </c>
      <c r="D88" s="280" t="s">
        <v>323</v>
      </c>
      <c r="E88" s="316" t="s">
        <v>753</v>
      </c>
      <c r="F88" s="316" t="s">
        <v>324</v>
      </c>
      <c r="G88" s="317" t="s">
        <v>508</v>
      </c>
      <c r="H88" s="436" t="str">
        <f t="shared" si="12"/>
        <v>ohne Glas-Sortierung</v>
      </c>
      <c r="I88" s="445"/>
      <c r="J88" s="279" t="str">
        <f>H88</f>
        <v>ohne Glas-Sortierung</v>
      </c>
      <c r="L88" s="526">
        <v>2</v>
      </c>
      <c r="M88" s="317" t="str">
        <f t="shared" ref="M88:M138" si="14">CONCATENATE($H$154," ",L88)</f>
        <v>Kalenderwoche 2</v>
      </c>
    </row>
    <row r="89" spans="1:22" x14ac:dyDescent="0.2">
      <c r="B89" s="280" t="s">
        <v>636</v>
      </c>
      <c r="C89" s="461">
        <f>IF(AND(I50=TRUE,'Pos. 3'!T106&lt;&gt;""),0,1)</f>
        <v>1</v>
      </c>
      <c r="D89" s="280" t="s">
        <v>168</v>
      </c>
      <c r="E89" s="316" t="s">
        <v>325</v>
      </c>
      <c r="F89" s="316" t="s">
        <v>326</v>
      </c>
      <c r="G89" s="317" t="s">
        <v>509</v>
      </c>
      <c r="H89" s="436" t="str">
        <f>IF($B$3=$A$3,D89,IF($B$3=$A$4,E89,IF($B$3=$A$5,F89,IF($B$3=$A$6,$G$89,""))))</f>
        <v>nach Stockwerk:</v>
      </c>
      <c r="I89" s="445"/>
      <c r="J89" s="279" t="str">
        <f>H89</f>
        <v>nach Stockwerk:</v>
      </c>
      <c r="L89" s="526">
        <v>3</v>
      </c>
      <c r="M89" s="317" t="str">
        <f t="shared" si="14"/>
        <v>Kalenderwoche 3</v>
      </c>
    </row>
    <row r="90" spans="1:22" x14ac:dyDescent="0.2">
      <c r="B90" s="280" t="s">
        <v>637</v>
      </c>
      <c r="C90" s="461">
        <f>IF(AND(I50=TRUE,'Pos. 3'!T108&lt;&gt;""),0,1)</f>
        <v>1</v>
      </c>
      <c r="D90" s="280" t="s">
        <v>272</v>
      </c>
      <c r="E90" s="316" t="s">
        <v>271</v>
      </c>
      <c r="F90" s="316" t="s">
        <v>291</v>
      </c>
      <c r="G90" s="317" t="s">
        <v>357</v>
      </c>
      <c r="H90" s="436" t="str">
        <f>IF($B$3=$A$3,D90,IF($B$3=$A$4,E90,IF($B$3=$A$5,F90,IF($B$3=$A$6,G90,""))))</f>
        <v>Wunschtermin:</v>
      </c>
      <c r="I90" s="445"/>
      <c r="L90" s="526">
        <v>4</v>
      </c>
      <c r="M90" s="317" t="str">
        <f t="shared" si="14"/>
        <v>Kalenderwoche 4</v>
      </c>
    </row>
    <row r="91" spans="1:22" x14ac:dyDescent="0.2">
      <c r="B91" s="280" t="s">
        <v>638</v>
      </c>
      <c r="C91" s="461">
        <f>IF(AND(I50=TRUE,'Pos. 3'!T110&lt;&gt;""),0,1)</f>
        <v>1</v>
      </c>
      <c r="D91" s="280" t="s">
        <v>373</v>
      </c>
      <c r="E91" s="316" t="s">
        <v>273</v>
      </c>
      <c r="F91" s="316" t="s">
        <v>374</v>
      </c>
      <c r="G91" s="317" t="s">
        <v>375</v>
      </c>
      <c r="H91" s="436" t="str">
        <f t="shared" ref="H91:H111" si="15">IF($B$3=$A$3,D91,IF($B$3=$A$4,E91,IF($B$3=$A$5,F91,IF($B$3=$A$6,G91,""))))</f>
        <v>Farbe Laufschiene + Schraubenarretierungen:</v>
      </c>
      <c r="I91" s="445"/>
      <c r="L91" s="526">
        <v>5</v>
      </c>
      <c r="M91" s="317" t="str">
        <f t="shared" si="14"/>
        <v>Kalenderwoche 5</v>
      </c>
    </row>
    <row r="92" spans="1:22" x14ac:dyDescent="0.2">
      <c r="B92" s="280" t="s">
        <v>639</v>
      </c>
      <c r="C92" s="461">
        <f>IF(AND(I50=TRUE,'Pos. 3'!T112&lt;&gt;""),0,1)</f>
        <v>1</v>
      </c>
      <c r="D92" s="280" t="s">
        <v>421</v>
      </c>
      <c r="E92" s="316" t="s">
        <v>422</v>
      </c>
      <c r="F92" s="316" t="s">
        <v>423</v>
      </c>
      <c r="G92" s="317" t="s">
        <v>424</v>
      </c>
      <c r="H92" s="436" t="str">
        <f t="shared" si="15"/>
        <v>Silber</v>
      </c>
      <c r="I92" s="445"/>
      <c r="J92" s="279" t="str">
        <f>H92</f>
        <v>Silber</v>
      </c>
      <c r="L92" s="526">
        <v>6</v>
      </c>
      <c r="M92" s="317" t="str">
        <f t="shared" si="14"/>
        <v>Kalenderwoche 6</v>
      </c>
    </row>
    <row r="93" spans="1:22" x14ac:dyDescent="0.2">
      <c r="B93" s="280" t="s">
        <v>640</v>
      </c>
      <c r="C93" s="461">
        <f>IF(AND(I50=TRUE,'Pos. 3'!T114&lt;&gt;""),0,1)</f>
        <v>1</v>
      </c>
      <c r="D93" s="280" t="s">
        <v>169</v>
      </c>
      <c r="E93" s="316" t="s">
        <v>274</v>
      </c>
      <c r="F93" s="316" t="s">
        <v>292</v>
      </c>
      <c r="G93" s="317" t="s">
        <v>303</v>
      </c>
      <c r="H93" s="436" t="str">
        <f t="shared" si="15"/>
        <v>Schwarz</v>
      </c>
      <c r="I93" s="445"/>
      <c r="J93" s="279" t="str">
        <f>H93</f>
        <v>Schwarz</v>
      </c>
      <c r="L93" s="526">
        <v>7</v>
      </c>
      <c r="M93" s="317" t="str">
        <f t="shared" si="14"/>
        <v>Kalenderwoche 7</v>
      </c>
      <c r="N93" s="527"/>
    </row>
    <row r="94" spans="1:22" x14ac:dyDescent="0.2">
      <c r="B94" s="280"/>
      <c r="C94" s="317"/>
      <c r="D94" s="280" t="s">
        <v>367</v>
      </c>
      <c r="E94" s="316" t="s">
        <v>578</v>
      </c>
      <c r="F94" s="316" t="s">
        <v>366</v>
      </c>
      <c r="G94" s="317" t="s">
        <v>368</v>
      </c>
      <c r="H94" s="436" t="str">
        <f t="shared" si="15"/>
        <v>Druckausgleichsventile :</v>
      </c>
      <c r="I94" s="445"/>
      <c r="L94" s="526">
        <v>8</v>
      </c>
      <c r="M94" s="317" t="str">
        <f t="shared" si="14"/>
        <v>Kalenderwoche 8</v>
      </c>
    </row>
    <row r="95" spans="1:22" ht="13.5" thickBot="1" x14ac:dyDescent="0.25">
      <c r="B95" s="225" t="s">
        <v>641</v>
      </c>
      <c r="C95" s="226">
        <f>SUM(C88:C93)</f>
        <v>6</v>
      </c>
      <c r="D95" s="280" t="s">
        <v>170</v>
      </c>
      <c r="E95" s="316" t="s">
        <v>175</v>
      </c>
      <c r="F95" s="316" t="s">
        <v>313</v>
      </c>
      <c r="G95" s="317" t="s">
        <v>304</v>
      </c>
      <c r="H95" s="436" t="str">
        <f t="shared" si="15"/>
        <v>Ja</v>
      </c>
      <c r="I95" s="445"/>
      <c r="J95" s="279" t="str">
        <f>H95</f>
        <v>Ja</v>
      </c>
      <c r="L95" s="526">
        <v>9</v>
      </c>
      <c r="M95" s="317" t="str">
        <f t="shared" si="14"/>
        <v>Kalenderwoche 9</v>
      </c>
    </row>
    <row r="96" spans="1:22" x14ac:dyDescent="0.2">
      <c r="D96" s="280" t="s">
        <v>171</v>
      </c>
      <c r="E96" s="316" t="s">
        <v>176</v>
      </c>
      <c r="F96" s="316" t="s">
        <v>798</v>
      </c>
      <c r="G96" s="317" t="s">
        <v>176</v>
      </c>
      <c r="H96" s="436" t="str">
        <f t="shared" si="15"/>
        <v>Nein</v>
      </c>
      <c r="I96" s="445"/>
      <c r="J96" s="279" t="str">
        <f>H96</f>
        <v>Nein</v>
      </c>
      <c r="L96" s="526">
        <v>10</v>
      </c>
      <c r="M96" s="317" t="str">
        <f t="shared" si="14"/>
        <v>Kalenderwoche 10</v>
      </c>
    </row>
    <row r="97" spans="4:14" x14ac:dyDescent="0.2">
      <c r="D97" s="280" t="s">
        <v>172</v>
      </c>
      <c r="E97" s="316" t="s">
        <v>177</v>
      </c>
      <c r="F97" s="316" t="s">
        <v>314</v>
      </c>
      <c r="G97" s="317" t="s">
        <v>305</v>
      </c>
      <c r="H97" s="436" t="str">
        <f t="shared" si="15"/>
        <v>Digitale Unterschrift:</v>
      </c>
      <c r="I97" s="445"/>
      <c r="L97" s="526">
        <v>11</v>
      </c>
      <c r="M97" s="317" t="str">
        <f t="shared" si="14"/>
        <v>Kalenderwoche 11</v>
      </c>
    </row>
    <row r="98" spans="4:14" x14ac:dyDescent="0.2">
      <c r="D98" s="280" t="s">
        <v>174</v>
      </c>
      <c r="E98" s="316" t="s">
        <v>275</v>
      </c>
      <c r="F98" s="316" t="s">
        <v>315</v>
      </c>
      <c r="G98" s="317" t="s">
        <v>358</v>
      </c>
      <c r="H98" s="436" t="str">
        <f t="shared" si="15"/>
        <v>Bestellung an:</v>
      </c>
      <c r="I98" s="445"/>
      <c r="L98" s="526">
        <v>12</v>
      </c>
      <c r="M98" s="317" t="str">
        <f t="shared" si="14"/>
        <v>Kalenderwoche 12</v>
      </c>
    </row>
    <row r="99" spans="4:14" x14ac:dyDescent="0.2">
      <c r="D99" s="280" t="s">
        <v>173</v>
      </c>
      <c r="E99" s="316" t="s">
        <v>173</v>
      </c>
      <c r="F99" s="316" t="s">
        <v>173</v>
      </c>
      <c r="G99" s="317" t="s">
        <v>173</v>
      </c>
      <c r="H99" s="436" t="str">
        <f t="shared" si="15"/>
        <v>orders@sky-frame.ch</v>
      </c>
      <c r="I99" s="445"/>
      <c r="L99" s="526">
        <v>13</v>
      </c>
      <c r="M99" s="317" t="str">
        <f t="shared" si="14"/>
        <v>Kalenderwoche 13</v>
      </c>
    </row>
    <row r="100" spans="4:14" x14ac:dyDescent="0.2">
      <c r="D100" s="280"/>
      <c r="E100" s="316"/>
      <c r="F100" s="316"/>
      <c r="G100" s="317"/>
      <c r="H100" s="436">
        <f t="shared" si="15"/>
        <v>0</v>
      </c>
      <c r="I100" s="445"/>
      <c r="L100" s="526">
        <v>14</v>
      </c>
      <c r="M100" s="317" t="str">
        <f t="shared" si="14"/>
        <v>Kalenderwoche 14</v>
      </c>
    </row>
    <row r="101" spans="4:14" x14ac:dyDescent="0.2">
      <c r="D101" s="280"/>
      <c r="E101" s="316"/>
      <c r="F101" s="316"/>
      <c r="G101" s="317"/>
      <c r="H101" s="436">
        <f t="shared" si="15"/>
        <v>0</v>
      </c>
      <c r="I101" s="445"/>
      <c r="L101" s="526">
        <v>15</v>
      </c>
      <c r="M101" s="317" t="str">
        <f t="shared" si="14"/>
        <v>Kalenderwoche 15</v>
      </c>
    </row>
    <row r="102" spans="4:14" ht="51" x14ac:dyDescent="0.2">
      <c r="D102" s="334" t="s">
        <v>496</v>
      </c>
      <c r="E102" s="494" t="s">
        <v>276</v>
      </c>
      <c r="F102" s="494" t="s">
        <v>734</v>
      </c>
      <c r="G102" s="495" t="s">
        <v>417</v>
      </c>
      <c r="H102" s="528" t="str">
        <f t="shared" si="15"/>
        <v>Diese Bestellung ist verbindlich und muss komplett ausgefüllt werden. Änderungen werden als Mehraufwand verrechnet.</v>
      </c>
      <c r="I102" s="445"/>
      <c r="L102" s="526">
        <v>16</v>
      </c>
      <c r="M102" s="317" t="str">
        <f t="shared" si="14"/>
        <v>Kalenderwoche 16</v>
      </c>
    </row>
    <row r="103" spans="4:14" ht="12.75" customHeight="1" x14ac:dyDescent="0.2">
      <c r="D103" s="334"/>
      <c r="E103" s="316"/>
      <c r="F103" s="316"/>
      <c r="G103" s="317"/>
      <c r="H103" s="436"/>
      <c r="I103" s="445"/>
      <c r="L103" s="526">
        <v>17</v>
      </c>
      <c r="M103" s="317" t="str">
        <f t="shared" si="14"/>
        <v>Kalenderwoche 17</v>
      </c>
      <c r="N103" s="527"/>
    </row>
    <row r="104" spans="4:14" ht="12.75" customHeight="1" x14ac:dyDescent="0.2">
      <c r="D104" s="280" t="s">
        <v>212</v>
      </c>
      <c r="E104" s="316" t="s">
        <v>741</v>
      </c>
      <c r="F104" s="316" t="s">
        <v>316</v>
      </c>
      <c r="G104" s="317" t="s">
        <v>359</v>
      </c>
      <c r="H104" s="436" t="str">
        <f t="shared" si="15"/>
        <v>A-Ecke 90°</v>
      </c>
      <c r="I104" s="445"/>
      <c r="L104" s="526">
        <v>18</v>
      </c>
      <c r="M104" s="317" t="str">
        <f t="shared" si="14"/>
        <v>Kalenderwoche 18</v>
      </c>
    </row>
    <row r="105" spans="4:14" ht="12.75" customHeight="1" x14ac:dyDescent="0.2">
      <c r="D105" s="280" t="s">
        <v>213</v>
      </c>
      <c r="E105" s="316" t="s">
        <v>740</v>
      </c>
      <c r="F105" s="316" t="s">
        <v>447</v>
      </c>
      <c r="G105" s="317" t="s">
        <v>360</v>
      </c>
      <c r="H105" s="436" t="str">
        <f t="shared" si="15"/>
        <v>I-Ecke 90°</v>
      </c>
      <c r="I105" s="445"/>
      <c r="L105" s="526">
        <v>19</v>
      </c>
      <c r="M105" s="317" t="str">
        <f t="shared" si="14"/>
        <v>Kalenderwoche 19</v>
      </c>
    </row>
    <row r="106" spans="4:14" ht="12.75" customHeight="1" x14ac:dyDescent="0.2">
      <c r="D106" s="280" t="s">
        <v>215</v>
      </c>
      <c r="E106" s="316" t="s">
        <v>739</v>
      </c>
      <c r="F106" s="316" t="s">
        <v>317</v>
      </c>
      <c r="G106" s="317" t="s">
        <v>361</v>
      </c>
      <c r="H106" s="436" t="str">
        <f t="shared" si="15"/>
        <v>A-Ecke≠90°</v>
      </c>
      <c r="I106" s="445"/>
      <c r="L106" s="526">
        <v>20</v>
      </c>
      <c r="M106" s="317" t="str">
        <f t="shared" si="14"/>
        <v>Kalenderwoche 20</v>
      </c>
    </row>
    <row r="107" spans="4:14" ht="12.75" customHeight="1" x14ac:dyDescent="0.2">
      <c r="D107" s="280" t="s">
        <v>216</v>
      </c>
      <c r="E107" s="316" t="s">
        <v>738</v>
      </c>
      <c r="F107" s="316" t="s">
        <v>448</v>
      </c>
      <c r="G107" s="317" t="s">
        <v>362</v>
      </c>
      <c r="H107" s="436" t="str">
        <f t="shared" si="15"/>
        <v>I-Ecke≠90°</v>
      </c>
      <c r="I107" s="445"/>
      <c r="L107" s="526">
        <v>21</v>
      </c>
      <c r="M107" s="317" t="str">
        <f t="shared" si="14"/>
        <v>Kalenderwoche 21</v>
      </c>
    </row>
    <row r="108" spans="4:14" ht="12.75" customHeight="1" x14ac:dyDescent="0.2">
      <c r="D108" s="280" t="s">
        <v>434</v>
      </c>
      <c r="E108" s="316" t="s">
        <v>435</v>
      </c>
      <c r="F108" s="316" t="s">
        <v>436</v>
      </c>
      <c r="G108" s="317" t="s">
        <v>437</v>
      </c>
      <c r="H108" s="436" t="str">
        <f t="shared" si="15"/>
        <v>Wert:</v>
      </c>
      <c r="I108" s="445"/>
      <c r="L108" s="526">
        <v>22</v>
      </c>
      <c r="M108" s="317" t="str">
        <f t="shared" si="14"/>
        <v>Kalenderwoche 22</v>
      </c>
    </row>
    <row r="109" spans="4:14" ht="12.75" customHeight="1" x14ac:dyDescent="0.2">
      <c r="D109" s="280" t="s">
        <v>278</v>
      </c>
      <c r="E109" s="316" t="s">
        <v>277</v>
      </c>
      <c r="F109" s="316" t="s">
        <v>318</v>
      </c>
      <c r="G109" s="316" t="s">
        <v>363</v>
      </c>
      <c r="H109" s="436" t="str">
        <f t="shared" si="15"/>
        <v>Bitte auswählen:</v>
      </c>
      <c r="I109" s="445"/>
      <c r="L109" s="526">
        <v>23</v>
      </c>
      <c r="M109" s="317" t="str">
        <f t="shared" si="14"/>
        <v>Kalenderwoche 23</v>
      </c>
    </row>
    <row r="110" spans="4:14" ht="12.75" customHeight="1" x14ac:dyDescent="0.2">
      <c r="D110" s="280" t="s">
        <v>338</v>
      </c>
      <c r="E110" s="316" t="s">
        <v>338</v>
      </c>
      <c r="F110" s="316" t="s">
        <v>338</v>
      </c>
      <c r="G110" s="316" t="s">
        <v>338</v>
      </c>
      <c r="H110" s="436" t="str">
        <f t="shared" si="15"/>
        <v>KABA (22)</v>
      </c>
      <c r="I110" s="445" t="b">
        <v>0</v>
      </c>
      <c r="L110" s="526">
        <v>24</v>
      </c>
      <c r="M110" s="317" t="str">
        <f t="shared" si="14"/>
        <v>Kalenderwoche 24</v>
      </c>
    </row>
    <row r="111" spans="4:14" ht="12.75" customHeight="1" x14ac:dyDescent="0.2">
      <c r="D111" s="280" t="s">
        <v>339</v>
      </c>
      <c r="E111" s="316" t="s">
        <v>339</v>
      </c>
      <c r="F111" s="316" t="s">
        <v>339</v>
      </c>
      <c r="G111" s="317" t="s">
        <v>339</v>
      </c>
      <c r="H111" s="436" t="str">
        <f t="shared" si="15"/>
        <v>PZ / Euro (17)</v>
      </c>
      <c r="I111" s="445" t="b">
        <v>0</v>
      </c>
      <c r="L111" s="526">
        <v>25</v>
      </c>
      <c r="M111" s="317" t="str">
        <f t="shared" si="14"/>
        <v>Kalenderwoche 25</v>
      </c>
    </row>
    <row r="112" spans="4:14" x14ac:dyDescent="0.2">
      <c r="D112" s="280" t="s">
        <v>379</v>
      </c>
      <c r="E112" s="316" t="s">
        <v>380</v>
      </c>
      <c r="F112" s="316" t="s">
        <v>381</v>
      </c>
      <c r="G112" s="317" t="s">
        <v>382</v>
      </c>
      <c r="H112" s="436" t="str">
        <f>IF($B$3=$A$3,D112,IF($B$3=$A$4,E112,IF($B$3=$A$5,F112,IF($B$3=$A$6,G112,""))))</f>
        <v>mit CFK</v>
      </c>
      <c r="I112" s="445"/>
      <c r="L112" s="526">
        <v>26</v>
      </c>
      <c r="M112" s="317" t="str">
        <f t="shared" si="14"/>
        <v>Kalenderwoche 26</v>
      </c>
    </row>
    <row r="113" spans="4:14" x14ac:dyDescent="0.2">
      <c r="D113" s="280" t="s">
        <v>383</v>
      </c>
      <c r="E113" s="316" t="s">
        <v>384</v>
      </c>
      <c r="F113" s="316" t="s">
        <v>385</v>
      </c>
      <c r="G113" s="317" t="s">
        <v>386</v>
      </c>
      <c r="H113" s="436" t="str">
        <f>IF($B$3=$A$3,D113,IF($B$3=$A$4,E113,IF($B$3=$A$5,F113,IF($B$3=$A$6,G113,""))))</f>
        <v>ohne CFK</v>
      </c>
      <c r="I113" s="445"/>
      <c r="L113" s="526">
        <v>27</v>
      </c>
      <c r="M113" s="317" t="str">
        <f t="shared" si="14"/>
        <v>Kalenderwoche 27</v>
      </c>
      <c r="N113" s="527"/>
    </row>
    <row r="114" spans="4:14" x14ac:dyDescent="0.2">
      <c r="D114" s="280" t="s">
        <v>387</v>
      </c>
      <c r="E114" s="316" t="s">
        <v>389</v>
      </c>
      <c r="F114" s="316" t="s">
        <v>391</v>
      </c>
      <c r="G114" s="317" t="s">
        <v>425</v>
      </c>
      <c r="H114" s="436" t="str">
        <f>IF($B$3=$A$3,D114,IF($B$3=$A$4,E114,IF($B$3=$A$5,F114,IF($B$3=$A$6,G114,""))))</f>
        <v>mit Stahl</v>
      </c>
      <c r="I114" s="445"/>
      <c r="L114" s="526">
        <v>28</v>
      </c>
      <c r="M114" s="317" t="str">
        <f t="shared" si="14"/>
        <v>Kalenderwoche 28</v>
      </c>
    </row>
    <row r="115" spans="4:14" x14ac:dyDescent="0.2">
      <c r="D115" s="280" t="s">
        <v>388</v>
      </c>
      <c r="E115" s="316" t="s">
        <v>390</v>
      </c>
      <c r="F115" s="316" t="s">
        <v>392</v>
      </c>
      <c r="G115" s="317" t="s">
        <v>426</v>
      </c>
      <c r="H115" s="436" t="str">
        <f>IF($B$3=$A$3,D115,IF($B$3=$A$4,E115,IF($B$3=$A$5,F115,IF($B$3=$A$6,G115,""))))</f>
        <v>ohne Stahl</v>
      </c>
      <c r="I115" s="445"/>
      <c r="L115" s="526">
        <v>29</v>
      </c>
      <c r="M115" s="317" t="str">
        <f t="shared" si="14"/>
        <v>Kalenderwoche 29</v>
      </c>
    </row>
    <row r="116" spans="4:14" x14ac:dyDescent="0.2">
      <c r="D116" s="280" t="s">
        <v>395</v>
      </c>
      <c r="E116" s="316" t="s">
        <v>398</v>
      </c>
      <c r="F116" s="316" t="s">
        <v>400</v>
      </c>
      <c r="G116" s="317" t="s">
        <v>403</v>
      </c>
      <c r="H116" s="436" t="str">
        <f>IF($B$3=$A$3,D116,IF($B$3=$A$4,E116,IF($B$3=$A$5,F116,IF($B$3=$A$6,G116,""))))</f>
        <v>Ganzglas-Ecke</v>
      </c>
      <c r="I116" s="445"/>
      <c r="L116" s="526">
        <v>30</v>
      </c>
      <c r="M116" s="317" t="str">
        <f t="shared" si="14"/>
        <v>Kalenderwoche 30</v>
      </c>
    </row>
    <row r="117" spans="4:14" x14ac:dyDescent="0.2">
      <c r="D117" s="280" t="s">
        <v>396</v>
      </c>
      <c r="E117" s="316" t="s">
        <v>737</v>
      </c>
      <c r="F117" s="316" t="s">
        <v>401</v>
      </c>
      <c r="G117" s="317" t="s">
        <v>404</v>
      </c>
      <c r="H117" s="436" t="str">
        <f t="shared" ref="H117:H180" si="16">IF($B$3=$A$3,D117,IF($B$3=$A$4,E117,IF($B$3=$A$5,F117,IF($B$3=$A$6,G117,""))))</f>
        <v>Ecke RC2 (WK2)</v>
      </c>
      <c r="I117" s="445"/>
      <c r="L117" s="526">
        <v>31</v>
      </c>
      <c r="M117" s="317" t="str">
        <f t="shared" si="14"/>
        <v>Kalenderwoche 31</v>
      </c>
    </row>
    <row r="118" spans="4:14" x14ac:dyDescent="0.2">
      <c r="D118" s="280" t="s">
        <v>397</v>
      </c>
      <c r="E118" s="316" t="s">
        <v>399</v>
      </c>
      <c r="F118" s="316" t="s">
        <v>402</v>
      </c>
      <c r="G118" s="317" t="s">
        <v>405</v>
      </c>
      <c r="H118" s="436" t="str">
        <f t="shared" si="16"/>
        <v>Standard (RC2 in Anlehnung)</v>
      </c>
      <c r="I118" s="445"/>
      <c r="L118" s="526">
        <v>32</v>
      </c>
      <c r="M118" s="317" t="str">
        <f t="shared" si="14"/>
        <v>Kalenderwoche 32</v>
      </c>
    </row>
    <row r="119" spans="4:14" x14ac:dyDescent="0.2">
      <c r="D119" s="280" t="s">
        <v>968</v>
      </c>
      <c r="E119" s="316" t="s">
        <v>969</v>
      </c>
      <c r="F119" s="316" t="s">
        <v>970</v>
      </c>
      <c r="G119" s="317" t="s">
        <v>971</v>
      </c>
      <c r="H119" s="436" t="str">
        <f t="shared" si="16"/>
        <v>RC2 mit Blech</v>
      </c>
      <c r="I119" s="445"/>
      <c r="L119" s="526">
        <v>33</v>
      </c>
      <c r="M119" s="317" t="str">
        <f t="shared" si="14"/>
        <v>Kalenderwoche 33</v>
      </c>
    </row>
    <row r="120" spans="4:14" x14ac:dyDescent="0.2">
      <c r="D120" s="280" t="s">
        <v>408</v>
      </c>
      <c r="E120" s="316" t="s">
        <v>411</v>
      </c>
      <c r="F120" s="316" t="s">
        <v>412</v>
      </c>
      <c r="G120" s="317" t="s">
        <v>414</v>
      </c>
      <c r="H120" s="436" t="str">
        <f t="shared" si="16"/>
        <v>mit AL.</v>
      </c>
      <c r="I120" s="445"/>
      <c r="L120" s="526">
        <v>34</v>
      </c>
      <c r="M120" s="317" t="str">
        <f t="shared" si="14"/>
        <v>Kalenderwoche 34</v>
      </c>
    </row>
    <row r="121" spans="4:14" x14ac:dyDescent="0.2">
      <c r="D121" s="280" t="s">
        <v>409</v>
      </c>
      <c r="E121" s="316" t="s">
        <v>410</v>
      </c>
      <c r="F121" s="316" t="s">
        <v>413</v>
      </c>
      <c r="G121" s="317" t="s">
        <v>415</v>
      </c>
      <c r="H121" s="436" t="str">
        <f t="shared" si="16"/>
        <v>ohne AL.</v>
      </c>
      <c r="I121" s="445"/>
      <c r="L121" s="526">
        <v>35</v>
      </c>
      <c r="M121" s="317" t="str">
        <f t="shared" si="14"/>
        <v>Kalenderwoche 35</v>
      </c>
    </row>
    <row r="122" spans="4:14" x14ac:dyDescent="0.2">
      <c r="D122" s="280" t="s">
        <v>837</v>
      </c>
      <c r="E122" s="316" t="s">
        <v>839</v>
      </c>
      <c r="F122" s="316" t="s">
        <v>841</v>
      </c>
      <c r="G122" s="317" t="s">
        <v>843</v>
      </c>
      <c r="H122" s="436" t="str">
        <f t="shared" si="16"/>
        <v>mit Stahl (&gt;2.5m)</v>
      </c>
      <c r="I122" s="445"/>
      <c r="L122" s="526">
        <v>36</v>
      </c>
      <c r="M122" s="317" t="str">
        <f t="shared" si="14"/>
        <v>Kalenderwoche 36</v>
      </c>
    </row>
    <row r="123" spans="4:14" x14ac:dyDescent="0.2">
      <c r="D123" s="280" t="s">
        <v>838</v>
      </c>
      <c r="E123" s="316" t="s">
        <v>840</v>
      </c>
      <c r="F123" s="316" t="s">
        <v>842</v>
      </c>
      <c r="G123" s="317" t="s">
        <v>844</v>
      </c>
      <c r="H123" s="436" t="str">
        <f t="shared" si="16"/>
        <v>ohne Stahl (&lt;2.5m)</v>
      </c>
      <c r="I123" s="445"/>
      <c r="L123" s="526">
        <v>37</v>
      </c>
      <c r="M123" s="317" t="str">
        <f t="shared" si="14"/>
        <v>Kalenderwoche 37</v>
      </c>
    </row>
    <row r="124" spans="4:14" x14ac:dyDescent="0.2">
      <c r="D124" s="280" t="s">
        <v>418</v>
      </c>
      <c r="E124" s="316" t="s">
        <v>736</v>
      </c>
      <c r="F124" s="316" t="s">
        <v>419</v>
      </c>
      <c r="G124" s="317" t="s">
        <v>420</v>
      </c>
      <c r="H124" s="436" t="str">
        <f t="shared" si="16"/>
        <v>Ecke:</v>
      </c>
      <c r="I124" s="445"/>
      <c r="L124" s="526">
        <v>38</v>
      </c>
      <c r="M124" s="317" t="str">
        <f t="shared" si="14"/>
        <v>Kalenderwoche 38</v>
      </c>
    </row>
    <row r="125" spans="4:14" x14ac:dyDescent="0.2">
      <c r="D125" s="280" t="s">
        <v>442</v>
      </c>
      <c r="E125" s="316" t="s">
        <v>442</v>
      </c>
      <c r="F125" s="316" t="s">
        <v>442</v>
      </c>
      <c r="G125" s="317" t="s">
        <v>442</v>
      </c>
      <c r="H125" s="436" t="str">
        <f t="shared" si="16"/>
        <v>NFRC (USA)</v>
      </c>
      <c r="I125" s="445" t="b">
        <v>0</v>
      </c>
      <c r="L125" s="526">
        <v>39</v>
      </c>
      <c r="M125" s="317" t="str">
        <f t="shared" si="14"/>
        <v>Kalenderwoche 39</v>
      </c>
    </row>
    <row r="126" spans="4:14" x14ac:dyDescent="0.2">
      <c r="D126" s="280" t="s">
        <v>453</v>
      </c>
      <c r="E126" s="316" t="s">
        <v>487</v>
      </c>
      <c r="F126" s="316" t="s">
        <v>490</v>
      </c>
      <c r="G126" s="317" t="s">
        <v>474</v>
      </c>
      <c r="H126" s="436" t="str">
        <f t="shared" si="16"/>
        <v>Bestellung vollständig ausfüllen.</v>
      </c>
      <c r="I126" s="445"/>
      <c r="L126" s="526">
        <v>40</v>
      </c>
      <c r="M126" s="317" t="str">
        <f t="shared" si="14"/>
        <v>Kalenderwoche 40</v>
      </c>
    </row>
    <row r="127" spans="4:14" x14ac:dyDescent="0.2">
      <c r="D127" s="280" t="s">
        <v>468</v>
      </c>
      <c r="E127" s="316" t="s">
        <v>488</v>
      </c>
      <c r="F127" s="316" t="s">
        <v>492</v>
      </c>
      <c r="G127" s="317" t="s">
        <v>475</v>
      </c>
      <c r="H127" s="436" t="str">
        <f t="shared" si="16"/>
        <v>Überprüfen ob keine roten Rahmen aufleuchten.</v>
      </c>
      <c r="I127" s="445"/>
      <c r="L127" s="526">
        <v>41</v>
      </c>
      <c r="M127" s="317" t="str">
        <f t="shared" si="14"/>
        <v>Kalenderwoche 41</v>
      </c>
    </row>
    <row r="128" spans="4:14" x14ac:dyDescent="0.2">
      <c r="D128" s="280" t="s">
        <v>469</v>
      </c>
      <c r="E128" s="316" t="s">
        <v>489</v>
      </c>
      <c r="F128" s="316" t="s">
        <v>491</v>
      </c>
      <c r="G128" s="317" t="s">
        <v>476</v>
      </c>
      <c r="H128" s="436" t="str">
        <f t="shared" si="16"/>
        <v>Bestellung senden an:</v>
      </c>
      <c r="I128" s="445"/>
      <c r="L128" s="526">
        <v>42</v>
      </c>
      <c r="M128" s="317" t="str">
        <f t="shared" si="14"/>
        <v>Kalenderwoche 42</v>
      </c>
    </row>
    <row r="129" spans="4:13" x14ac:dyDescent="0.2">
      <c r="D129" s="280" t="s">
        <v>467</v>
      </c>
      <c r="E129" s="316" t="s">
        <v>486</v>
      </c>
      <c r="F129" s="316" t="s">
        <v>486</v>
      </c>
      <c r="G129" s="317" t="s">
        <v>473</v>
      </c>
      <c r="H129" s="436" t="str">
        <f t="shared" si="16"/>
        <v>Anleitung:</v>
      </c>
      <c r="I129" s="445"/>
      <c r="L129" s="526">
        <v>43</v>
      </c>
      <c r="M129" s="317" t="str">
        <f t="shared" si="14"/>
        <v>Kalenderwoche 43</v>
      </c>
    </row>
    <row r="130" spans="4:13" x14ac:dyDescent="0.2">
      <c r="D130" s="280" t="s">
        <v>498</v>
      </c>
      <c r="E130" s="316" t="s">
        <v>497</v>
      </c>
      <c r="F130" s="316" t="s">
        <v>503</v>
      </c>
      <c r="G130" s="317" t="s">
        <v>685</v>
      </c>
      <c r="H130" s="436" t="str">
        <f t="shared" si="16"/>
        <v>Vertriebspartner:</v>
      </c>
      <c r="I130" s="445"/>
      <c r="L130" s="526">
        <v>44</v>
      </c>
      <c r="M130" s="317" t="str">
        <f t="shared" si="14"/>
        <v>Kalenderwoche 44</v>
      </c>
    </row>
    <row r="131" spans="4:13" x14ac:dyDescent="0.2">
      <c r="D131" s="280" t="s">
        <v>495</v>
      </c>
      <c r="E131" s="316" t="s">
        <v>505</v>
      </c>
      <c r="F131" s="316" t="s">
        <v>504</v>
      </c>
      <c r="G131" s="317" t="s">
        <v>507</v>
      </c>
      <c r="H131" s="436" t="str">
        <f t="shared" si="16"/>
        <v>Bemerkungen:</v>
      </c>
      <c r="I131" s="445"/>
      <c r="L131" s="526">
        <v>45</v>
      </c>
      <c r="M131" s="317" t="str">
        <f t="shared" si="14"/>
        <v>Kalenderwoche 45</v>
      </c>
    </row>
    <row r="132" spans="4:13" x14ac:dyDescent="0.2">
      <c r="D132" s="280" t="s">
        <v>511</v>
      </c>
      <c r="E132" s="316" t="s">
        <v>515</v>
      </c>
      <c r="F132" s="316" t="s">
        <v>516</v>
      </c>
      <c r="G132" s="317" t="s">
        <v>517</v>
      </c>
      <c r="H132" s="436" t="str">
        <f>IF($B$3=$A$3,D132,IF($B$3=$A$4,E132,IF($B$3=$A$5,F132,IF($B$3=$A$6,G132,""))))</f>
        <v>Öffnung angeben →</v>
      </c>
      <c r="I132" s="445"/>
      <c r="L132" s="526">
        <v>46</v>
      </c>
      <c r="M132" s="317" t="str">
        <f t="shared" si="14"/>
        <v>Kalenderwoche 46</v>
      </c>
    </row>
    <row r="133" spans="4:13" x14ac:dyDescent="0.2">
      <c r="D133" s="280" t="s">
        <v>567</v>
      </c>
      <c r="E133" s="316" t="s">
        <v>568</v>
      </c>
      <c r="F133" s="316" t="s">
        <v>570</v>
      </c>
      <c r="G133" s="317" t="s">
        <v>569</v>
      </c>
      <c r="H133" s="436" t="str">
        <f t="shared" si="16"/>
        <v>5-gleisig</v>
      </c>
      <c r="I133" s="445" t="b">
        <f>IF(AND(I12=TRUE,'Pos. 3'!AT5=1),TRUE,FALSE)</f>
        <v>0</v>
      </c>
      <c r="L133" s="526">
        <v>47</v>
      </c>
      <c r="M133" s="317" t="str">
        <f t="shared" si="14"/>
        <v>Kalenderwoche 47</v>
      </c>
    </row>
    <row r="134" spans="4:13" x14ac:dyDescent="0.2">
      <c r="D134" s="512" t="s">
        <v>572</v>
      </c>
      <c r="E134" s="316" t="s">
        <v>572</v>
      </c>
      <c r="F134" s="316" t="s">
        <v>572</v>
      </c>
      <c r="G134" s="317" t="s">
        <v>572</v>
      </c>
      <c r="H134" s="436" t="str">
        <f t="shared" si="16"/>
        <v>Features</v>
      </c>
      <c r="I134" s="445"/>
      <c r="J134" s="279" t="str">
        <f>H159</f>
        <v>Keine</v>
      </c>
      <c r="L134" s="526">
        <v>48</v>
      </c>
      <c r="M134" s="317" t="str">
        <f t="shared" si="14"/>
        <v>Kalenderwoche 48</v>
      </c>
    </row>
    <row r="135" spans="4:13" x14ac:dyDescent="0.2">
      <c r="D135" s="280" t="s">
        <v>586</v>
      </c>
      <c r="E135" s="316" t="s">
        <v>588</v>
      </c>
      <c r="F135" s="316" t="s">
        <v>589</v>
      </c>
      <c r="G135" s="317" t="s">
        <v>590</v>
      </c>
      <c r="H135" s="436" t="str">
        <f t="shared" si="16"/>
        <v>Oben Links</v>
      </c>
      <c r="I135" s="445"/>
      <c r="J135" s="279" t="str">
        <f>H135</f>
        <v>Oben Links</v>
      </c>
      <c r="L135" s="526">
        <v>49</v>
      </c>
      <c r="M135" s="317" t="str">
        <f t="shared" si="14"/>
        <v>Kalenderwoche 49</v>
      </c>
    </row>
    <row r="136" spans="4:13" x14ac:dyDescent="0.2">
      <c r="D136" s="280" t="s">
        <v>587</v>
      </c>
      <c r="E136" s="316" t="s">
        <v>591</v>
      </c>
      <c r="F136" s="316" t="s">
        <v>592</v>
      </c>
      <c r="G136" s="317" t="s">
        <v>593</v>
      </c>
      <c r="H136" s="436" t="str">
        <f t="shared" si="16"/>
        <v>Oben Rechts</v>
      </c>
      <c r="I136" s="445"/>
      <c r="J136" s="279" t="str">
        <f>H136</f>
        <v>Oben Rechts</v>
      </c>
      <c r="L136" s="526">
        <v>50</v>
      </c>
      <c r="M136" s="317" t="str">
        <f t="shared" si="14"/>
        <v>Kalenderwoche 50</v>
      </c>
    </row>
    <row r="137" spans="4:13" x14ac:dyDescent="0.2">
      <c r="D137" s="280" t="s">
        <v>594</v>
      </c>
      <c r="E137" s="316" t="s">
        <v>595</v>
      </c>
      <c r="F137" s="316" t="s">
        <v>596</v>
      </c>
      <c r="G137" s="317" t="s">
        <v>597</v>
      </c>
      <c r="H137" s="436" t="str">
        <f t="shared" si="16"/>
        <v>Lage Glasspinne (Ansicht von Aussen)</v>
      </c>
      <c r="I137" s="445"/>
      <c r="L137" s="526">
        <v>51</v>
      </c>
      <c r="M137" s="317" t="str">
        <f t="shared" si="14"/>
        <v>Kalenderwoche 51</v>
      </c>
    </row>
    <row r="138" spans="4:13" ht="13.5" thickBot="1" x14ac:dyDescent="0.25">
      <c r="D138" s="280" t="s">
        <v>598</v>
      </c>
      <c r="E138" s="316" t="s">
        <v>715</v>
      </c>
      <c r="F138" s="316" t="s">
        <v>688</v>
      </c>
      <c r="G138" s="317" t="s">
        <v>697</v>
      </c>
      <c r="H138" s="436" t="str">
        <f t="shared" si="16"/>
        <v>Rinnenbestellung</v>
      </c>
      <c r="I138" s="445"/>
      <c r="L138" s="529">
        <v>52</v>
      </c>
      <c r="M138" s="475" t="str">
        <f t="shared" si="14"/>
        <v>Kalenderwoche 52</v>
      </c>
    </row>
    <row r="139" spans="4:13" x14ac:dyDescent="0.2">
      <c r="D139" s="280" t="s">
        <v>632</v>
      </c>
      <c r="E139" s="316" t="s">
        <v>716</v>
      </c>
      <c r="F139" s="316" t="s">
        <v>709</v>
      </c>
      <c r="G139" s="317" t="s">
        <v>698</v>
      </c>
      <c r="H139" s="436" t="str">
        <f t="shared" si="16"/>
        <v>Wahl des Rinnensystems:</v>
      </c>
      <c r="I139" s="445"/>
    </row>
    <row r="140" spans="4:13" x14ac:dyDescent="0.2">
      <c r="D140" s="280" t="s">
        <v>631</v>
      </c>
      <c r="E140" s="316" t="s">
        <v>717</v>
      </c>
      <c r="F140" s="316" t="s">
        <v>710</v>
      </c>
      <c r="G140" s="317" t="s">
        <v>833</v>
      </c>
      <c r="H140" s="436" t="str">
        <f t="shared" si="16"/>
        <v>Einzug an der linken Anlagenseite:</v>
      </c>
      <c r="I140" s="445"/>
    </row>
    <row r="141" spans="4:13" x14ac:dyDescent="0.2">
      <c r="D141" s="280" t="s">
        <v>630</v>
      </c>
      <c r="E141" s="316" t="s">
        <v>718</v>
      </c>
      <c r="F141" s="316" t="s">
        <v>711</v>
      </c>
      <c r="G141" s="317" t="s">
        <v>834</v>
      </c>
      <c r="H141" s="436" t="str">
        <f t="shared" si="16"/>
        <v>Einzug an der rechten Anlagenseite:</v>
      </c>
      <c r="I141" s="445"/>
    </row>
    <row r="142" spans="4:13" x14ac:dyDescent="0.2">
      <c r="D142" s="280" t="s">
        <v>629</v>
      </c>
      <c r="E142" s="316" t="s">
        <v>719</v>
      </c>
      <c r="F142" s="316" t="s">
        <v>712</v>
      </c>
      <c r="G142" s="317" t="s">
        <v>699</v>
      </c>
      <c r="H142" s="436" t="str">
        <f t="shared" si="16"/>
        <v>Anschlussstutzen:</v>
      </c>
      <c r="I142" s="445"/>
    </row>
    <row r="143" spans="4:13" x14ac:dyDescent="0.2">
      <c r="D143" s="280" t="s">
        <v>599</v>
      </c>
      <c r="E143" s="316" t="s">
        <v>720</v>
      </c>
      <c r="F143" s="316" t="s">
        <v>689</v>
      </c>
      <c r="G143" s="317" t="s">
        <v>700</v>
      </c>
      <c r="H143" s="436" t="str">
        <f t="shared" si="16"/>
        <v>lose mitliefern</v>
      </c>
      <c r="I143" s="445"/>
      <c r="J143" s="279" t="str">
        <f>H143</f>
        <v>lose mitliefern</v>
      </c>
    </row>
    <row r="144" spans="4:13" x14ac:dyDescent="0.2">
      <c r="D144" s="280" t="s">
        <v>600</v>
      </c>
      <c r="E144" s="316" t="s">
        <v>721</v>
      </c>
      <c r="F144" s="316" t="s">
        <v>690</v>
      </c>
      <c r="G144" s="317" t="s">
        <v>701</v>
      </c>
      <c r="H144" s="436" t="str">
        <f t="shared" si="16"/>
        <v>vordefiniert</v>
      </c>
      <c r="I144" s="445"/>
      <c r="J144" s="279" t="str">
        <f>H144</f>
        <v>vordefiniert</v>
      </c>
    </row>
    <row r="145" spans="4:10" x14ac:dyDescent="0.2">
      <c r="D145" s="280" t="s">
        <v>633</v>
      </c>
      <c r="E145" s="316" t="s">
        <v>722</v>
      </c>
      <c r="F145" s="316" t="s">
        <v>713</v>
      </c>
      <c r="G145" s="317" t="s">
        <v>702</v>
      </c>
      <c r="H145" s="436" t="str">
        <f t="shared" si="16"/>
        <v>Anzahl Anschlussstutzen:</v>
      </c>
      <c r="I145" s="445"/>
    </row>
    <row r="146" spans="4:10" x14ac:dyDescent="0.2">
      <c r="D146" s="280" t="s">
        <v>601</v>
      </c>
      <c r="E146" s="316" t="s">
        <v>691</v>
      </c>
      <c r="F146" s="316" t="s">
        <v>691</v>
      </c>
      <c r="G146" s="317" t="s">
        <v>703</v>
      </c>
      <c r="H146" s="436" t="str">
        <f t="shared" si="16"/>
        <v>Typ A</v>
      </c>
      <c r="I146" s="445"/>
      <c r="J146" s="279" t="str">
        <f>H146</f>
        <v>Typ A</v>
      </c>
    </row>
    <row r="147" spans="4:10" x14ac:dyDescent="0.2">
      <c r="D147" s="280" t="s">
        <v>602</v>
      </c>
      <c r="E147" s="316" t="s">
        <v>692</v>
      </c>
      <c r="F147" s="316" t="s">
        <v>692</v>
      </c>
      <c r="G147" s="317" t="s">
        <v>704</v>
      </c>
      <c r="H147" s="436" t="str">
        <f t="shared" si="16"/>
        <v>Typ B</v>
      </c>
      <c r="I147" s="445"/>
      <c r="J147" s="279" t="str">
        <f>H147</f>
        <v>Typ B</v>
      </c>
    </row>
    <row r="148" spans="4:10" x14ac:dyDescent="0.2">
      <c r="D148" s="280" t="s">
        <v>887</v>
      </c>
      <c r="E148" s="316" t="s">
        <v>888</v>
      </c>
      <c r="F148" s="316" t="s">
        <v>889</v>
      </c>
      <c r="G148" s="317" t="s">
        <v>890</v>
      </c>
      <c r="H148" s="436" t="str">
        <f t="shared" si="16"/>
        <v>Abstände Ablaufstutzen (E):</v>
      </c>
      <c r="I148" s="445"/>
    </row>
    <row r="149" spans="4:10" x14ac:dyDescent="0.2">
      <c r="D149" s="280" t="s">
        <v>603</v>
      </c>
      <c r="E149" s="316" t="s">
        <v>723</v>
      </c>
      <c r="F149" s="316" t="s">
        <v>735</v>
      </c>
      <c r="G149" s="317" t="s">
        <v>705</v>
      </c>
      <c r="H149" s="436" t="str">
        <f t="shared" si="16"/>
        <v>Rinnenanschluss:</v>
      </c>
      <c r="I149" s="445"/>
    </row>
    <row r="150" spans="4:10" x14ac:dyDescent="0.2">
      <c r="D150" s="280" t="s">
        <v>680</v>
      </c>
      <c r="E150" s="316" t="s">
        <v>724</v>
      </c>
      <c r="F150" s="316" t="s">
        <v>714</v>
      </c>
      <c r="G150" s="317" t="s">
        <v>706</v>
      </c>
      <c r="H150" s="436" t="str">
        <f t="shared" si="16"/>
        <v>Farbe Panele:</v>
      </c>
      <c r="I150" s="445"/>
    </row>
    <row r="151" spans="4:10" x14ac:dyDescent="0.2">
      <c r="D151" s="280" t="s">
        <v>16</v>
      </c>
      <c r="E151" s="316" t="s">
        <v>16</v>
      </c>
      <c r="F151" s="316" t="s">
        <v>16</v>
      </c>
      <c r="G151" s="317" t="s">
        <v>16</v>
      </c>
      <c r="H151" s="436" t="str">
        <f t="shared" si="16"/>
        <v>Standard</v>
      </c>
      <c r="I151" s="445"/>
      <c r="J151" s="279" t="str">
        <f>H151</f>
        <v>Standard</v>
      </c>
    </row>
    <row r="152" spans="4:10" x14ac:dyDescent="0.2">
      <c r="D152" s="280" t="s">
        <v>681</v>
      </c>
      <c r="E152" s="316" t="s">
        <v>725</v>
      </c>
      <c r="F152" s="316" t="s">
        <v>693</v>
      </c>
      <c r="G152" s="317" t="s">
        <v>707</v>
      </c>
      <c r="H152" s="436" t="str">
        <f t="shared" si="16"/>
        <v>Rahmenfarbe</v>
      </c>
      <c r="I152" s="445"/>
      <c r="J152" s="279" t="str">
        <f>H152</f>
        <v>Rahmenfarbe</v>
      </c>
    </row>
    <row r="153" spans="4:10" x14ac:dyDescent="0.2">
      <c r="D153" s="280" t="s">
        <v>682</v>
      </c>
      <c r="E153" s="316" t="s">
        <v>726</v>
      </c>
      <c r="F153" s="316" t="s">
        <v>694</v>
      </c>
      <c r="G153" s="317" t="s">
        <v>708</v>
      </c>
      <c r="H153" s="436" t="str">
        <f t="shared" si="16"/>
        <v>Glas Satinato</v>
      </c>
      <c r="I153" s="445"/>
      <c r="J153" s="279" t="str">
        <f>H153</f>
        <v>Glas Satinato</v>
      </c>
    </row>
    <row r="154" spans="4:10" x14ac:dyDescent="0.2">
      <c r="D154" s="280" t="s">
        <v>695</v>
      </c>
      <c r="E154" s="316" t="s">
        <v>727</v>
      </c>
      <c r="F154" s="316" t="s">
        <v>728</v>
      </c>
      <c r="G154" s="317" t="s">
        <v>729</v>
      </c>
      <c r="H154" s="436" t="str">
        <f t="shared" si="16"/>
        <v>Kalenderwoche</v>
      </c>
      <c r="I154" s="445"/>
    </row>
    <row r="155" spans="4:10" x14ac:dyDescent="0.2">
      <c r="D155" s="280" t="s">
        <v>751</v>
      </c>
      <c r="E155" s="316" t="s">
        <v>759</v>
      </c>
      <c r="F155" s="316" t="s">
        <v>762</v>
      </c>
      <c r="G155" s="317" t="s">
        <v>777</v>
      </c>
      <c r="H155" s="436" t="str">
        <f>IF($B$3=$A$3,D155,IF($B$3=$A$4,E155,IF($B$3=$A$5,F155,IF($B$3=$A$6,G155,""))))</f>
        <v>Bestellformular unvollständig!</v>
      </c>
      <c r="I155" s="445"/>
    </row>
    <row r="156" spans="4:10" x14ac:dyDescent="0.2">
      <c r="D156" s="280" t="s">
        <v>761</v>
      </c>
      <c r="E156" s="316" t="s">
        <v>760</v>
      </c>
      <c r="F156" s="316" t="s">
        <v>763</v>
      </c>
      <c r="G156" s="317" t="s">
        <v>778</v>
      </c>
      <c r="H156" s="436" t="str">
        <f t="shared" si="16"/>
        <v>Bestellformular vollständig.</v>
      </c>
      <c r="I156" s="445"/>
    </row>
    <row r="157" spans="4:10" x14ac:dyDescent="0.2">
      <c r="D157" s="280" t="s">
        <v>756</v>
      </c>
      <c r="E157" s="316" t="s">
        <v>755</v>
      </c>
      <c r="F157" s="316" t="s">
        <v>754</v>
      </c>
      <c r="G157" s="317" t="s">
        <v>757</v>
      </c>
      <c r="H157" s="436" t="str">
        <f t="shared" si="16"/>
        <v>B2B-Login Projektnr:</v>
      </c>
      <c r="I157" s="445"/>
    </row>
    <row r="158" spans="4:10" ht="12.75" customHeight="1" x14ac:dyDescent="0.2">
      <c r="D158" s="323" t="s">
        <v>766</v>
      </c>
      <c r="E158" s="316" t="s">
        <v>767</v>
      </c>
      <c r="F158" s="316" t="s">
        <v>768</v>
      </c>
      <c r="G158" s="317" t="s">
        <v>769</v>
      </c>
      <c r="H158" s="436" t="str">
        <f t="shared" si="16"/>
        <v>OHNE Glas</v>
      </c>
      <c r="I158" s="445"/>
    </row>
    <row r="159" spans="4:10" ht="12.75" customHeight="1" x14ac:dyDescent="0.2">
      <c r="D159" s="280" t="s">
        <v>770</v>
      </c>
      <c r="E159" s="316" t="s">
        <v>771</v>
      </c>
      <c r="F159" s="316" t="s">
        <v>285</v>
      </c>
      <c r="G159" s="317" t="s">
        <v>298</v>
      </c>
      <c r="H159" s="436" t="str">
        <f t="shared" si="16"/>
        <v>Keine</v>
      </c>
      <c r="I159" s="445"/>
    </row>
    <row r="160" spans="4:10" ht="12.75" customHeight="1" x14ac:dyDescent="0.2">
      <c r="D160" s="280" t="s">
        <v>773</v>
      </c>
      <c r="E160" s="316" t="s">
        <v>774</v>
      </c>
      <c r="F160" s="316" t="s">
        <v>775</v>
      </c>
      <c r="G160" s="317" t="s">
        <v>776</v>
      </c>
      <c r="H160" s="436" t="str">
        <f t="shared" si="16"/>
        <v>(auf Anfrage)</v>
      </c>
      <c r="I160" s="445"/>
    </row>
    <row r="161" spans="4:10" x14ac:dyDescent="0.2">
      <c r="D161" s="280" t="s">
        <v>797</v>
      </c>
      <c r="E161" s="316" t="s">
        <v>794</v>
      </c>
      <c r="F161" s="316" t="s">
        <v>796</v>
      </c>
      <c r="G161" s="317" t="s">
        <v>795</v>
      </c>
      <c r="H161" s="436" t="str">
        <f t="shared" si="16"/>
        <v>ohne Verschlussraster (Zylinder)</v>
      </c>
      <c r="I161" s="445"/>
    </row>
    <row r="162" spans="4:10" x14ac:dyDescent="0.2">
      <c r="D162" s="280"/>
      <c r="E162" s="316"/>
      <c r="F162" s="316"/>
      <c r="G162" s="317"/>
      <c r="H162" s="436">
        <f t="shared" si="16"/>
        <v>0</v>
      </c>
      <c r="I162" s="445"/>
    </row>
    <row r="163" spans="4:10" x14ac:dyDescent="0.2">
      <c r="D163" s="280"/>
      <c r="E163" s="316"/>
      <c r="F163" s="316"/>
      <c r="G163" s="317"/>
      <c r="H163" s="436">
        <f t="shared" si="16"/>
        <v>0</v>
      </c>
      <c r="I163" s="445"/>
    </row>
    <row r="164" spans="4:10" x14ac:dyDescent="0.2">
      <c r="D164" s="280"/>
      <c r="E164" s="316"/>
      <c r="F164" s="316"/>
      <c r="G164" s="317"/>
      <c r="H164" s="436">
        <f t="shared" si="16"/>
        <v>0</v>
      </c>
      <c r="I164" s="445"/>
    </row>
    <row r="165" spans="4:10" x14ac:dyDescent="0.2">
      <c r="D165" s="280" t="s">
        <v>937</v>
      </c>
      <c r="E165" s="335" t="s">
        <v>938</v>
      </c>
      <c r="F165" s="335" t="s">
        <v>504</v>
      </c>
      <c r="G165" s="335" t="s">
        <v>939</v>
      </c>
      <c r="H165" s="528" t="str">
        <f t="shared" si="16"/>
        <v>Hinweise:</v>
      </c>
      <c r="I165" s="445"/>
    </row>
    <row r="166" spans="4:10" x14ac:dyDescent="0.2">
      <c r="D166" s="280" t="s">
        <v>799</v>
      </c>
      <c r="E166" s="336" t="s">
        <v>807</v>
      </c>
      <c r="F166" s="335" t="s">
        <v>815</v>
      </c>
      <c r="G166" s="336" t="s">
        <v>823</v>
      </c>
      <c r="H166" s="528" t="str">
        <f t="shared" si="16"/>
        <v>Angabe erstöffnender Flügel</v>
      </c>
      <c r="I166" s="445"/>
    </row>
    <row r="167" spans="4:10" ht="102" x14ac:dyDescent="0.2">
      <c r="D167" s="334" t="s">
        <v>800</v>
      </c>
      <c r="E167" s="337" t="s">
        <v>808</v>
      </c>
      <c r="F167" s="337" t="s">
        <v>816</v>
      </c>
      <c r="G167" s="337" t="s">
        <v>824</v>
      </c>
      <c r="H167" s="528" t="str">
        <f t="shared" si="16"/>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45"/>
    </row>
    <row r="168" spans="4:10" x14ac:dyDescent="0.2">
      <c r="D168" s="334" t="s">
        <v>801</v>
      </c>
      <c r="E168" s="336" t="s">
        <v>809</v>
      </c>
      <c r="F168" s="336" t="s">
        <v>817</v>
      </c>
      <c r="G168" s="337" t="s">
        <v>825</v>
      </c>
      <c r="H168" s="528" t="str">
        <f t="shared" si="16"/>
        <v>Eingabe Ecke ≠ 90° (von 60° - 160°)</v>
      </c>
      <c r="I168" s="445"/>
    </row>
    <row r="169" spans="4:10" ht="63.75" x14ac:dyDescent="0.2">
      <c r="D169" s="334" t="s">
        <v>802</v>
      </c>
      <c r="E169" s="337" t="s">
        <v>810</v>
      </c>
      <c r="F169" s="337" t="s">
        <v>818</v>
      </c>
      <c r="G169" s="337" t="s">
        <v>826</v>
      </c>
      <c r="H169" s="528" t="str">
        <f t="shared" si="16"/>
        <v xml:space="preserve">Um eine Ecke auszuwählen, welche grösser oder kleiner wie 90° ist, muss das dementsprechende Feld ausgewählt werden. Danach muss der gewünschte Wert angegeben werden. </v>
      </c>
      <c r="I169" s="445"/>
    </row>
    <row r="170" spans="4:10" ht="25.5" x14ac:dyDescent="0.2">
      <c r="D170" s="334" t="s">
        <v>803</v>
      </c>
      <c r="E170" s="336" t="s">
        <v>811</v>
      </c>
      <c r="F170" s="336" t="s">
        <v>819</v>
      </c>
      <c r="G170" s="337" t="s">
        <v>827</v>
      </c>
      <c r="H170" s="528" t="str">
        <f t="shared" si="16"/>
        <v>Breitenangabe bei Eckanlagen</v>
      </c>
      <c r="I170" s="445"/>
    </row>
    <row r="171" spans="4:10" ht="102" x14ac:dyDescent="0.2">
      <c r="D171" s="334" t="s">
        <v>804</v>
      </c>
      <c r="E171" s="337" t="s">
        <v>812</v>
      </c>
      <c r="F171" s="337" t="s">
        <v>820</v>
      </c>
      <c r="G171" s="337" t="s">
        <v>828</v>
      </c>
      <c r="H171" s="528" t="str">
        <f t="shared" si="16"/>
        <v>Wird eine Eckanlage eingegeben, erscheint bei der Angabe "Breite" automatisch ein neues Eingabefeld. Die Länge der einzelnen Fronten muss hier separat angegeben werden (Rahmenaussenmass). Die verschiedenen Fronten sind von links nach rechts anzugeben:</v>
      </c>
      <c r="I171" s="445"/>
    </row>
    <row r="172" spans="4:10" x14ac:dyDescent="0.2">
      <c r="D172" s="334" t="s">
        <v>805</v>
      </c>
      <c r="E172" s="336" t="s">
        <v>813</v>
      </c>
      <c r="F172" s="336" t="s">
        <v>821</v>
      </c>
      <c r="G172" s="337" t="s">
        <v>829</v>
      </c>
      <c r="H172" s="528" t="str">
        <f t="shared" si="16"/>
        <v>Rinnenlänge angeben</v>
      </c>
      <c r="I172" s="445"/>
    </row>
    <row r="173" spans="4:10" ht="140.25" x14ac:dyDescent="0.2">
      <c r="D173" s="334" t="s">
        <v>806</v>
      </c>
      <c r="E173" s="338" t="s">
        <v>814</v>
      </c>
      <c r="F173" s="337" t="s">
        <v>822</v>
      </c>
      <c r="G173" s="337" t="s">
        <v>830</v>
      </c>
      <c r="H173" s="528" t="str">
        <f t="shared" si="16"/>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45"/>
    </row>
    <row r="174" spans="4:10" x14ac:dyDescent="0.2">
      <c r="D174" s="280" t="s">
        <v>16</v>
      </c>
      <c r="E174" s="316" t="s">
        <v>16</v>
      </c>
      <c r="F174" s="316" t="s">
        <v>16</v>
      </c>
      <c r="G174" s="317" t="s">
        <v>16</v>
      </c>
      <c r="H174" s="528" t="str">
        <f t="shared" si="16"/>
        <v>Standard</v>
      </c>
      <c r="I174" s="445"/>
      <c r="J174" s="279" t="str">
        <f>H174</f>
        <v>Standard</v>
      </c>
    </row>
    <row r="175" spans="4:10" x14ac:dyDescent="0.2">
      <c r="D175" s="280" t="s">
        <v>846</v>
      </c>
      <c r="E175" s="316" t="s">
        <v>847</v>
      </c>
      <c r="F175" s="316" t="s">
        <v>848</v>
      </c>
      <c r="G175" s="317" t="s">
        <v>849</v>
      </c>
      <c r="H175" s="528" t="str">
        <f t="shared" si="16"/>
        <v>Seaside (Pool/Meer)</v>
      </c>
      <c r="I175" s="445"/>
      <c r="J175" s="279" t="str">
        <f>H175</f>
        <v>Seaside (Pool/Meer)</v>
      </c>
    </row>
    <row r="176" spans="4:10" x14ac:dyDescent="0.2">
      <c r="D176" s="280" t="s">
        <v>853</v>
      </c>
      <c r="E176" s="316" t="s">
        <v>854</v>
      </c>
      <c r="F176" s="316" t="s">
        <v>855</v>
      </c>
      <c r="G176" s="317" t="s">
        <v>859</v>
      </c>
      <c r="H176" s="528" t="str">
        <f t="shared" si="16"/>
        <v>Pulverlack Klasse:</v>
      </c>
      <c r="I176" s="445"/>
    </row>
    <row r="177" spans="4:10" x14ac:dyDescent="0.2">
      <c r="D177" s="280" t="s">
        <v>856</v>
      </c>
      <c r="E177" s="316" t="s">
        <v>856</v>
      </c>
      <c r="F177" s="316" t="s">
        <v>856</v>
      </c>
      <c r="G177" s="317" t="s">
        <v>856</v>
      </c>
      <c r="H177" s="528" t="str">
        <f t="shared" si="16"/>
        <v>Qualicoat 1</v>
      </c>
      <c r="I177" s="445"/>
      <c r="J177" s="279" t="str">
        <f>H177</f>
        <v>Qualicoat 1</v>
      </c>
    </row>
    <row r="178" spans="4:10" x14ac:dyDescent="0.2">
      <c r="D178" s="280" t="s">
        <v>857</v>
      </c>
      <c r="E178" s="316" t="s">
        <v>857</v>
      </c>
      <c r="F178" s="316" t="s">
        <v>857</v>
      </c>
      <c r="G178" s="317" t="s">
        <v>857</v>
      </c>
      <c r="H178" s="528" t="str">
        <f t="shared" si="16"/>
        <v>Qualicoat 2</v>
      </c>
      <c r="I178" s="445"/>
      <c r="J178" s="279" t="str">
        <f>H178</f>
        <v>Qualicoat 2</v>
      </c>
    </row>
    <row r="179" spans="4:10" x14ac:dyDescent="0.2">
      <c r="D179" s="280" t="s">
        <v>879</v>
      </c>
      <c r="E179" s="316" t="s">
        <v>881</v>
      </c>
      <c r="F179" s="316" t="s">
        <v>880</v>
      </c>
      <c r="G179" s="317" t="s">
        <v>886</v>
      </c>
      <c r="H179" s="528" t="str">
        <f t="shared" si="16"/>
        <v>Übersicht:</v>
      </c>
      <c r="I179" s="445"/>
    </row>
    <row r="180" spans="4:10" x14ac:dyDescent="0.2">
      <c r="D180" s="280" t="s">
        <v>875</v>
      </c>
      <c r="E180" s="316" t="s">
        <v>876</v>
      </c>
      <c r="F180" s="316" t="s">
        <v>877</v>
      </c>
      <c r="G180" s="317" t="s">
        <v>878</v>
      </c>
      <c r="H180" s="528" t="str">
        <f t="shared" si="16"/>
        <v>VE</v>
      </c>
      <c r="I180" s="445"/>
    </row>
    <row r="181" spans="4:10" x14ac:dyDescent="0.2">
      <c r="D181" s="280" t="s">
        <v>893</v>
      </c>
      <c r="E181" s="316" t="s">
        <v>940</v>
      </c>
      <c r="F181" s="316" t="s">
        <v>941</v>
      </c>
      <c r="G181" s="317" t="s">
        <v>919</v>
      </c>
      <c r="H181" s="528" t="str">
        <f t="shared" ref="H181:H206" si="17">IF($B$3=$A$3,D181,IF($B$3=$A$4,E181,IF($B$3=$A$5,F181,IF($B$3=$A$6,G181,""))))</f>
        <v>Sky-Frame Beratung vorhanden:</v>
      </c>
      <c r="I181" s="445"/>
    </row>
    <row r="182" spans="4:10" x14ac:dyDescent="0.2">
      <c r="D182" s="280" t="s">
        <v>894</v>
      </c>
      <c r="E182" s="316" t="s">
        <v>942</v>
      </c>
      <c r="F182" s="316" t="s">
        <v>943</v>
      </c>
      <c r="G182" s="317" t="s">
        <v>918</v>
      </c>
      <c r="H182" s="528" t="str">
        <f t="shared" si="17"/>
        <v>Beratungsnummer: (z.B. P123456)</v>
      </c>
      <c r="I182" s="445"/>
    </row>
    <row r="183" spans="4:10" x14ac:dyDescent="0.2">
      <c r="D183" s="280" t="s">
        <v>895</v>
      </c>
      <c r="E183" s="316" t="s">
        <v>896</v>
      </c>
      <c r="F183" s="316" t="s">
        <v>944</v>
      </c>
      <c r="G183" s="317" t="s">
        <v>917</v>
      </c>
      <c r="H183" s="528" t="str">
        <f t="shared" si="17"/>
        <v>Inch-Rechner</v>
      </c>
      <c r="I183" s="445"/>
    </row>
    <row r="184" spans="4:10" x14ac:dyDescent="0.2">
      <c r="D184" s="280" t="s">
        <v>897</v>
      </c>
      <c r="E184" s="316" t="s">
        <v>898</v>
      </c>
      <c r="F184" s="316" t="s">
        <v>945</v>
      </c>
      <c r="G184" s="317" t="s">
        <v>916</v>
      </c>
      <c r="H184" s="528" t="str">
        <f t="shared" si="17"/>
        <v>Fuss:</v>
      </c>
      <c r="I184" s="445"/>
    </row>
    <row r="185" spans="4:10" x14ac:dyDescent="0.2">
      <c r="D185" s="280" t="s">
        <v>899</v>
      </c>
      <c r="E185" s="316" t="s">
        <v>900</v>
      </c>
      <c r="F185" s="316" t="s">
        <v>946</v>
      </c>
      <c r="G185" s="317" t="s">
        <v>915</v>
      </c>
      <c r="H185" s="528" t="str">
        <f t="shared" si="17"/>
        <v>Zoll:</v>
      </c>
      <c r="I185" s="445"/>
    </row>
    <row r="186" spans="4:10" x14ac:dyDescent="0.2">
      <c r="D186" s="280" t="s">
        <v>901</v>
      </c>
      <c r="E186" s="316" t="s">
        <v>947</v>
      </c>
      <c r="F186" s="316" t="s">
        <v>948</v>
      </c>
      <c r="G186" s="317" t="s">
        <v>914</v>
      </c>
      <c r="H186" s="528" t="str">
        <f t="shared" si="17"/>
        <v>Bemassung Bahnhof</v>
      </c>
      <c r="I186" s="445"/>
    </row>
    <row r="187" spans="4:10" ht="102" x14ac:dyDescent="0.2">
      <c r="D187" s="434" t="s">
        <v>902</v>
      </c>
      <c r="E187" s="338" t="s">
        <v>949</v>
      </c>
      <c r="F187" s="338" t="s">
        <v>950</v>
      </c>
      <c r="G187" s="435" t="s">
        <v>903</v>
      </c>
      <c r="H187" s="528"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45"/>
    </row>
    <row r="188" spans="4:10" x14ac:dyDescent="0.2">
      <c r="D188" s="280" t="s">
        <v>904</v>
      </c>
      <c r="E188" s="316" t="s">
        <v>951</v>
      </c>
      <c r="F188" s="316" t="s">
        <v>952</v>
      </c>
      <c r="G188" s="317" t="s">
        <v>913</v>
      </c>
      <c r="H188" s="528" t="str">
        <f t="shared" si="17"/>
        <v>Bahnhof Typ 1:</v>
      </c>
      <c r="I188" s="445"/>
    </row>
    <row r="189" spans="4:10" x14ac:dyDescent="0.2">
      <c r="D189" s="280" t="s">
        <v>905</v>
      </c>
      <c r="E189" s="316" t="s">
        <v>953</v>
      </c>
      <c r="F189" s="316" t="s">
        <v>954</v>
      </c>
      <c r="G189" s="317" t="s">
        <v>912</v>
      </c>
      <c r="H189" s="528" t="str">
        <f t="shared" si="17"/>
        <v>Bahnhof Typ 2:</v>
      </c>
      <c r="I189" s="445"/>
    </row>
    <row r="190" spans="4:10" x14ac:dyDescent="0.2">
      <c r="D190" s="280" t="s">
        <v>906</v>
      </c>
      <c r="E190" s="316" t="s">
        <v>274</v>
      </c>
      <c r="F190" s="316" t="s">
        <v>292</v>
      </c>
      <c r="G190" s="317" t="s">
        <v>303</v>
      </c>
      <c r="H190" s="528" t="str">
        <f t="shared" si="17"/>
        <v>schwarz</v>
      </c>
      <c r="I190" s="445"/>
    </row>
    <row r="191" spans="4:10" x14ac:dyDescent="0.2">
      <c r="D191" s="280" t="s">
        <v>681</v>
      </c>
      <c r="E191" s="316" t="s">
        <v>907</v>
      </c>
      <c r="F191" s="316" t="s">
        <v>908</v>
      </c>
      <c r="G191" s="317" t="s">
        <v>909</v>
      </c>
      <c r="H191" s="528" t="str">
        <f t="shared" si="17"/>
        <v>Rahmenfarbe</v>
      </c>
      <c r="I191" s="445"/>
    </row>
    <row r="192" spans="4:10" x14ac:dyDescent="0.2">
      <c r="D192" s="280" t="s">
        <v>906</v>
      </c>
      <c r="E192" s="316" t="s">
        <v>274</v>
      </c>
      <c r="F192" s="316" t="s">
        <v>292</v>
      </c>
      <c r="G192" s="317" t="s">
        <v>303</v>
      </c>
      <c r="H192" s="528" t="str">
        <f t="shared" si="17"/>
        <v>schwarz</v>
      </c>
      <c r="I192" s="445"/>
    </row>
    <row r="193" spans="4:9" x14ac:dyDescent="0.2">
      <c r="D193" s="280" t="s">
        <v>920</v>
      </c>
      <c r="E193" s="316" t="s">
        <v>921</v>
      </c>
      <c r="F193" s="316" t="s">
        <v>955</v>
      </c>
      <c r="G193" s="317" t="s">
        <v>956</v>
      </c>
      <c r="H193" s="528" t="str">
        <f t="shared" si="17"/>
        <v>Sonstiges:</v>
      </c>
      <c r="I193" s="445"/>
    </row>
    <row r="194" spans="4:9" x14ac:dyDescent="0.2">
      <c r="D194" s="280" t="s">
        <v>922</v>
      </c>
      <c r="E194" s="316" t="s">
        <v>923</v>
      </c>
      <c r="F194" s="316" t="s">
        <v>957</v>
      </c>
      <c r="G194" s="317" t="s">
        <v>958</v>
      </c>
      <c r="H194" s="528" t="str">
        <f t="shared" si="17"/>
        <v>Sichtbare Rahmenprofile (aussen):</v>
      </c>
      <c r="I194" s="445"/>
    </row>
    <row r="195" spans="4:9" x14ac:dyDescent="0.2">
      <c r="D195" s="280" t="s">
        <v>924</v>
      </c>
      <c r="E195" s="316" t="s">
        <v>925</v>
      </c>
      <c r="F195" s="316" t="s">
        <v>959</v>
      </c>
      <c r="G195" s="317" t="s">
        <v>960</v>
      </c>
      <c r="H195" s="528" t="str">
        <f t="shared" si="17"/>
        <v>Lieferung Glas und Rahmen:</v>
      </c>
      <c r="I195" s="445"/>
    </row>
    <row r="196" spans="4:9" x14ac:dyDescent="0.2">
      <c r="D196" s="280" t="s">
        <v>926</v>
      </c>
      <c r="E196" s="316" t="s">
        <v>927</v>
      </c>
      <c r="F196" s="316" t="s">
        <v>961</v>
      </c>
      <c r="G196" s="317" t="s">
        <v>962</v>
      </c>
      <c r="H196" s="528" t="str">
        <f t="shared" si="17"/>
        <v>zusammen</v>
      </c>
      <c r="I196" s="445"/>
    </row>
    <row r="197" spans="4:9" x14ac:dyDescent="0.2">
      <c r="D197" s="280" t="s">
        <v>928</v>
      </c>
      <c r="E197" s="316" t="s">
        <v>929</v>
      </c>
      <c r="F197" s="316" t="s">
        <v>963</v>
      </c>
      <c r="G197" s="317" t="s">
        <v>964</v>
      </c>
      <c r="H197" s="528" t="str">
        <f t="shared" si="17"/>
        <v>getrennt</v>
      </c>
      <c r="I197" s="445"/>
    </row>
    <row r="198" spans="4:9" x14ac:dyDescent="0.2">
      <c r="D198" s="280" t="s">
        <v>930</v>
      </c>
      <c r="E198" s="316" t="s">
        <v>931</v>
      </c>
      <c r="F198" s="316" t="s">
        <v>931</v>
      </c>
      <c r="G198" s="317" t="s">
        <v>965</v>
      </c>
      <c r="H198" s="528" t="str">
        <f t="shared" si="17"/>
        <v>sichtbar</v>
      </c>
      <c r="I198" s="445"/>
    </row>
    <row r="199" spans="4:9" x14ac:dyDescent="0.2">
      <c r="D199" s="280" t="s">
        <v>932</v>
      </c>
      <c r="E199" s="316" t="s">
        <v>933</v>
      </c>
      <c r="F199" s="316" t="s">
        <v>966</v>
      </c>
      <c r="G199" s="317" t="s">
        <v>967</v>
      </c>
      <c r="H199" s="528" t="str">
        <f t="shared" si="17"/>
        <v>nicht sichtbar</v>
      </c>
      <c r="I199" s="445"/>
    </row>
    <row r="200" spans="4:9" x14ac:dyDescent="0.2">
      <c r="D200" s="280"/>
      <c r="E200" s="316"/>
      <c r="F200" s="316"/>
      <c r="G200" s="317"/>
      <c r="H200" s="528">
        <f t="shared" si="17"/>
        <v>0</v>
      </c>
      <c r="I200" s="445"/>
    </row>
    <row r="201" spans="4:9" x14ac:dyDescent="0.2">
      <c r="D201" s="280"/>
      <c r="E201" s="316"/>
      <c r="F201" s="316"/>
      <c r="G201" s="317"/>
      <c r="H201" s="528">
        <f t="shared" si="17"/>
        <v>0</v>
      </c>
      <c r="I201" s="445"/>
    </row>
    <row r="202" spans="4:9" x14ac:dyDescent="0.2">
      <c r="D202" s="280"/>
      <c r="E202" s="316"/>
      <c r="F202" s="316"/>
      <c r="G202" s="317"/>
      <c r="H202" s="528">
        <f t="shared" si="17"/>
        <v>0</v>
      </c>
      <c r="I202" s="445"/>
    </row>
    <row r="203" spans="4:9" x14ac:dyDescent="0.2">
      <c r="D203" s="280"/>
      <c r="E203" s="316"/>
      <c r="F203" s="316"/>
      <c r="G203" s="317"/>
      <c r="H203" s="528">
        <f t="shared" si="17"/>
        <v>0</v>
      </c>
      <c r="I203" s="445"/>
    </row>
    <row r="204" spans="4:9" x14ac:dyDescent="0.2">
      <c r="D204" s="280"/>
      <c r="E204" s="316"/>
      <c r="F204" s="316"/>
      <c r="G204" s="317"/>
      <c r="H204" s="528">
        <f t="shared" si="17"/>
        <v>0</v>
      </c>
      <c r="I204" s="445"/>
    </row>
    <row r="205" spans="4:9" x14ac:dyDescent="0.2">
      <c r="D205" s="280"/>
      <c r="E205" s="316"/>
      <c r="F205" s="316"/>
      <c r="G205" s="317"/>
      <c r="H205" s="528">
        <f t="shared" si="17"/>
        <v>0</v>
      </c>
      <c r="I205" s="445"/>
    </row>
    <row r="206" spans="4:9" x14ac:dyDescent="0.2">
      <c r="D206" s="280"/>
      <c r="E206" s="316"/>
      <c r="F206" s="316"/>
      <c r="G206" s="317"/>
      <c r="H206" s="528">
        <f t="shared" si="17"/>
        <v>0</v>
      </c>
      <c r="I206" s="445"/>
    </row>
  </sheetData>
  <mergeCells count="5">
    <mergeCell ref="AB4:AB18"/>
    <mergeCell ref="N40:P40"/>
    <mergeCell ref="M60:M61"/>
    <mergeCell ref="L85:M85"/>
    <mergeCell ref="B87:C87"/>
  </mergeCells>
  <dataValidations count="1">
    <dataValidation type="list" allowBlank="1" showInputMessage="1" showErrorMessage="1" sqref="P38" xr:uid="{E1B2ABA0-BDE4-4566-88C7-260DB337EB07}">
      <formula1>$O$45:$O$46</formula1>
    </dataValidation>
  </dataValidation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11EC3-5C3F-403A-8C3B-08C567053662}">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5" width="11.42578125" style="141"/>
    <col min="56" max="56" width="5.5703125" style="141" customWidth="1"/>
    <col min="57" max="57" width="5" style="141" customWidth="1"/>
    <col min="58" max="58" width="1.85546875" style="141" customWidth="1"/>
    <col min="59" max="59" width="5.7109375" style="141" customWidth="1"/>
    <col min="60" max="60" width="6.28515625" style="141" customWidth="1"/>
    <col min="61" max="61" width="5.85546875" style="141" customWidth="1"/>
    <col min="62" max="64" width="0" style="141" hidden="1" customWidth="1"/>
    <col min="65" max="16384" width="11.42578125" style="141"/>
  </cols>
  <sheetData>
    <row r="1" spans="1:64" ht="13.5" thickBot="1" x14ac:dyDescent="0.25">
      <c r="A1" s="159" t="s">
        <v>519</v>
      </c>
      <c r="C1" s="60"/>
      <c r="AW1" s="160"/>
    </row>
    <row r="2" spans="1:64" ht="13.5" thickTop="1" x14ac:dyDescent="0.2">
      <c r="B2" s="203">
        <v>3</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113"/>
      <c r="AW2" s="414"/>
      <c r="AX2" s="240"/>
      <c r="AY2" s="240"/>
      <c r="AZ2" s="240"/>
      <c r="BA2" s="240"/>
      <c r="BB2" s="363" t="str">
        <f>CONCATENATE(ROUND(SUM(I46:K49)*Z42/1000000,2)*AJ6,"m²")</f>
        <v>0m²</v>
      </c>
      <c r="BD2" s="239"/>
      <c r="BE2" s="240"/>
      <c r="BF2" s="240"/>
      <c r="BG2" s="240"/>
      <c r="BH2" s="240"/>
      <c r="BI2" s="241"/>
    </row>
    <row r="3" spans="1:64" ht="36.75" customHeight="1" x14ac:dyDescent="0.3">
      <c r="B3" s="202"/>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142"/>
      <c r="AR3" s="83"/>
      <c r="AS3" s="83"/>
      <c r="AT3" s="143" t="s">
        <v>772</v>
      </c>
      <c r="AU3" s="115"/>
      <c r="AW3" s="242"/>
      <c r="AX3" s="243" t="str">
        <f>'Sprachen &amp; Rückgabewerte(3)'!$H$2</f>
        <v>Sprache:</v>
      </c>
      <c r="AY3" s="60"/>
      <c r="AZ3" s="60"/>
      <c r="BA3" s="60"/>
      <c r="BB3" s="379" t="str">
        <f>IF(AJ6&gt;1,CONCATENATE(AH6," ",AJ6),"")</f>
        <v/>
      </c>
      <c r="BD3" s="242"/>
      <c r="BE3" s="411" t="str">
        <f>'Sprachen &amp; Rückgabewerte(3)'!H183</f>
        <v>Inch-Rechner</v>
      </c>
      <c r="BF3" s="411"/>
      <c r="BG3" s="60"/>
      <c r="BH3" s="60"/>
      <c r="BI3" s="244"/>
    </row>
    <row r="4" spans="1:64" ht="19.5" customHeight="1" x14ac:dyDescent="0.2">
      <c r="B4" s="11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113"/>
      <c r="AW4" s="242"/>
      <c r="AX4" s="60"/>
      <c r="AY4" s="60"/>
      <c r="AZ4" s="60"/>
      <c r="BA4" s="60"/>
      <c r="BB4" s="244"/>
      <c r="BD4" s="242"/>
      <c r="BE4" s="415" t="str">
        <f>'Sprachen &amp; Rückgabewerte(3)'!H184</f>
        <v>Fuss:</v>
      </c>
      <c r="BF4" s="156"/>
      <c r="BG4" s="415" t="str">
        <f>'Sprachen &amp; Rückgabewerte(3)'!H185</f>
        <v>Zoll:</v>
      </c>
      <c r="BH4" s="60"/>
      <c r="BI4" s="244"/>
    </row>
    <row r="5" spans="1:64" x14ac:dyDescent="0.2">
      <c r="B5" s="59"/>
      <c r="C5" s="126"/>
      <c r="D5" s="127"/>
      <c r="E5" s="128" t="str">
        <f>'Sprachen &amp; Rückgabewerte(3)'!H4</f>
        <v>BESTELLUNG</v>
      </c>
      <c r="F5" s="127"/>
      <c r="G5" s="127"/>
      <c r="H5" s="127"/>
      <c r="I5" s="127"/>
      <c r="J5" s="127"/>
      <c r="K5" s="127"/>
      <c r="L5" s="127"/>
      <c r="M5" s="127"/>
      <c r="N5" s="127"/>
      <c r="O5" s="127"/>
      <c r="P5" s="127"/>
      <c r="Q5" s="127"/>
      <c r="R5" s="129"/>
      <c r="S5" s="696" t="str">
        <f>'Sprachen &amp; Rückgabewerte(3)'!$H$130</f>
        <v>Vertriebspartner:</v>
      </c>
      <c r="T5" s="697"/>
      <c r="U5" s="697"/>
      <c r="V5" s="697"/>
      <c r="W5" s="697"/>
      <c r="X5" s="698"/>
      <c r="Y5" s="661"/>
      <c r="Z5" s="662"/>
      <c r="AA5" s="662"/>
      <c r="AB5" s="662"/>
      <c r="AC5" s="662"/>
      <c r="AD5" s="662"/>
      <c r="AE5" s="662"/>
      <c r="AF5" s="663"/>
      <c r="AG5" s="144"/>
      <c r="AH5" s="130" t="str">
        <f>'Sprachen &amp; Rückgabewerte(3)'!H55</f>
        <v>Pos:</v>
      </c>
      <c r="AI5" s="145"/>
      <c r="AJ5" s="705"/>
      <c r="AK5" s="706"/>
      <c r="AL5" s="707"/>
      <c r="AM5" s="144"/>
      <c r="AN5" s="130" t="str">
        <f>'Sprachen &amp; Rückgabewerte(3)'!$H$10</f>
        <v>2-gleisig</v>
      </c>
      <c r="AO5" s="145"/>
      <c r="AP5" s="145"/>
      <c r="AQ5" s="145"/>
      <c r="AR5" s="145"/>
      <c r="AS5" s="145"/>
      <c r="AT5" s="331"/>
      <c r="AU5" s="114"/>
      <c r="AW5" s="242"/>
      <c r="AX5" s="60"/>
      <c r="AY5" s="60"/>
      <c r="AZ5" s="60"/>
      <c r="BA5" s="60"/>
      <c r="BB5" s="244"/>
      <c r="BD5" s="242"/>
      <c r="BE5" s="548"/>
      <c r="BF5" s="550" t="str">
        <f>"'"</f>
        <v>'</v>
      </c>
      <c r="BG5" s="551"/>
      <c r="BH5" s="412"/>
      <c r="BI5" s="244"/>
      <c r="BJ5" s="141">
        <f>BE5*304.8</f>
        <v>0</v>
      </c>
      <c r="BK5" s="141">
        <f>BG5*25.4</f>
        <v>0</v>
      </c>
      <c r="BL5" s="141">
        <f>IF(AND(BH5="",BH6=""),0,25.4*BH5/BH6)</f>
        <v>0</v>
      </c>
    </row>
    <row r="6" spans="1:64" x14ac:dyDescent="0.2">
      <c r="B6" s="59"/>
      <c r="C6" s="131"/>
      <c r="D6" s="132"/>
      <c r="E6" s="66"/>
      <c r="F6" s="132" t="str">
        <f>'Sprachen &amp; Rückgabewerte(3)'!$H$5</f>
        <v>Gemäss Zeichnung Nr.:</v>
      </c>
      <c r="G6" s="132"/>
      <c r="H6" s="132"/>
      <c r="I6" s="132"/>
      <c r="J6" s="132"/>
      <c r="K6" s="132"/>
      <c r="L6" s="146"/>
      <c r="M6" s="699"/>
      <c r="N6" s="700"/>
      <c r="O6" s="700"/>
      <c r="P6" s="700"/>
      <c r="Q6" s="701"/>
      <c r="R6" s="133"/>
      <c r="S6" s="134" t="str">
        <f>'Sprachen &amp; Rückgabewerte(3)'!$H$7</f>
        <v xml:space="preserve">Objekt: </v>
      </c>
      <c r="T6" s="132"/>
      <c r="U6" s="132"/>
      <c r="V6" s="132"/>
      <c r="W6" s="132"/>
      <c r="X6" s="90"/>
      <c r="Y6" s="711"/>
      <c r="Z6" s="712"/>
      <c r="AA6" s="712"/>
      <c r="AB6" s="712"/>
      <c r="AC6" s="712"/>
      <c r="AD6" s="712"/>
      <c r="AE6" s="712"/>
      <c r="AF6" s="713"/>
      <c r="AG6" s="133"/>
      <c r="AH6" s="134" t="str">
        <f>'Sprachen &amp; Rückgabewerte(3)'!H56</f>
        <v>Stück:</v>
      </c>
      <c r="AI6" s="132"/>
      <c r="AJ6" s="702"/>
      <c r="AK6" s="703"/>
      <c r="AL6" s="704"/>
      <c r="AM6" s="116"/>
      <c r="AN6" s="134" t="str">
        <f>'Sprachen &amp; Rückgabewerte(3)'!$H$11</f>
        <v>3-gleisig</v>
      </c>
      <c r="AO6" s="132"/>
      <c r="AP6" s="132"/>
      <c r="AQ6" s="132"/>
      <c r="AR6" s="132"/>
      <c r="AS6" s="132"/>
      <c r="AT6" s="133"/>
      <c r="AU6" s="114"/>
      <c r="AW6" s="242"/>
      <c r="AX6" s="60"/>
      <c r="AY6" s="60"/>
      <c r="AZ6" s="60"/>
      <c r="BA6" s="60"/>
      <c r="BB6" s="244"/>
      <c r="BD6" s="242"/>
      <c r="BE6" s="549"/>
      <c r="BF6" s="550"/>
      <c r="BG6" s="552"/>
      <c r="BH6" s="413"/>
      <c r="BI6" s="244"/>
    </row>
    <row r="7" spans="1:64" ht="12" customHeight="1" x14ac:dyDescent="0.2">
      <c r="B7" s="59"/>
      <c r="C7" s="131"/>
      <c r="D7" s="132"/>
      <c r="E7" s="66"/>
      <c r="F7" s="132" t="str">
        <f>'Sprachen &amp; Rückgabewerte(3)'!$H$6</f>
        <v>Gemäss Skizze: (Ansicht von Aussen)</v>
      </c>
      <c r="G7" s="132"/>
      <c r="H7" s="132"/>
      <c r="I7" s="132"/>
      <c r="J7" s="132"/>
      <c r="K7" s="132"/>
      <c r="L7" s="132"/>
      <c r="M7" s="132"/>
      <c r="N7" s="132"/>
      <c r="O7" s="132"/>
      <c r="P7" s="132"/>
      <c r="Q7" s="132"/>
      <c r="R7" s="133"/>
      <c r="S7" s="134" t="str">
        <f>'Sprachen &amp; Rückgabewerte(3)'!$H$8</f>
        <v>Bestelldatum:</v>
      </c>
      <c r="T7" s="132"/>
      <c r="U7" s="132"/>
      <c r="V7" s="132"/>
      <c r="W7" s="132"/>
      <c r="X7" s="90"/>
      <c r="Y7" s="708"/>
      <c r="Z7" s="709"/>
      <c r="AA7" s="709"/>
      <c r="AB7" s="709"/>
      <c r="AC7" s="709"/>
      <c r="AD7" s="709"/>
      <c r="AE7" s="709"/>
      <c r="AF7" s="710"/>
      <c r="AG7" s="147"/>
      <c r="AH7" s="134" t="str">
        <f>'Sprachen &amp; Rückgabewerte(3)'!H57</f>
        <v>Seite:</v>
      </c>
      <c r="AI7" s="148"/>
      <c r="AJ7" s="705"/>
      <c r="AK7" s="706"/>
      <c r="AL7" s="707"/>
      <c r="AM7" s="116"/>
      <c r="AN7" s="327" t="str">
        <f>IF('Sprachen &amp; Rückgabewerte(3)'!I11=TRUE,'Sprachen &amp; Rückgabewerte(3)'!H160,"")</f>
        <v/>
      </c>
      <c r="AO7" s="90"/>
      <c r="AP7" s="146"/>
      <c r="AQ7" s="146"/>
      <c r="AR7" s="146"/>
      <c r="AS7" s="146"/>
      <c r="AT7" s="133"/>
      <c r="AU7" s="114"/>
      <c r="AW7" s="242"/>
      <c r="AX7" s="155" t="str">
        <f>'Sprachen &amp; Rückgabewerte(3)'!H193</f>
        <v>Sonstiges:</v>
      </c>
      <c r="AY7" s="60"/>
      <c r="AZ7" s="60"/>
      <c r="BA7" s="60"/>
      <c r="BB7" s="244"/>
      <c r="BD7" s="242"/>
      <c r="BE7" s="60"/>
      <c r="BF7" s="60"/>
      <c r="BG7" s="60"/>
      <c r="BH7" s="60"/>
      <c r="BI7" s="244"/>
    </row>
    <row r="8" spans="1:64" ht="7.5" customHeight="1" thickBot="1" x14ac:dyDescent="0.25">
      <c r="B8" s="59"/>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2"/>
      <c r="AX8" s="60"/>
      <c r="AY8" s="60"/>
      <c r="AZ8" s="60"/>
      <c r="BA8" s="60"/>
      <c r="BB8" s="244"/>
      <c r="BD8" s="242"/>
      <c r="BE8" s="60"/>
      <c r="BF8" s="60"/>
      <c r="BG8" s="60"/>
      <c r="BH8" s="60"/>
      <c r="BI8" s="244"/>
    </row>
    <row r="9" spans="1:64" ht="15" customHeight="1" thickTop="1" x14ac:dyDescent="0.2">
      <c r="A9" s="654" t="str">
        <f>IF('Sprachen &amp; Rückgabewerte(3)'!L62=1,'Sprachen &amp; Rückgabewerte(3)'!$H$132,"")</f>
        <v/>
      </c>
      <c r="B9" s="227"/>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2"/>
      <c r="AN9" s="60"/>
      <c r="AO9" s="60"/>
      <c r="AP9" s="60"/>
      <c r="AQ9" s="60"/>
      <c r="AR9" s="60"/>
      <c r="AS9" s="60"/>
      <c r="AT9" s="114"/>
      <c r="AU9" s="114"/>
      <c r="AW9" s="242"/>
      <c r="AX9" s="431" t="str">
        <f>'Sprachen &amp; Rückgabewerte(3)'!H194</f>
        <v>Sichtbare Rahmenprofile (aussen):</v>
      </c>
      <c r="AY9" s="60"/>
      <c r="AZ9" s="544"/>
      <c r="BA9" s="545"/>
      <c r="BB9" s="244"/>
      <c r="BD9" s="242"/>
      <c r="BE9" s="553">
        <f>ROUND(SUM(BJ5,BK5,BL5),1)</f>
        <v>0</v>
      </c>
      <c r="BF9" s="554"/>
      <c r="BG9" s="555"/>
      <c r="BH9" s="156" t="s">
        <v>179</v>
      </c>
      <c r="BI9" s="244"/>
    </row>
    <row r="10" spans="1:64" ht="15" customHeight="1" thickBot="1" x14ac:dyDescent="0.25">
      <c r="A10" s="655"/>
      <c r="B10" s="227"/>
      <c r="C10" s="59"/>
      <c r="D10" s="60"/>
      <c r="E10" s="60"/>
      <c r="F10" s="650"/>
      <c r="G10" s="651"/>
      <c r="H10" s="60"/>
      <c r="I10" s="60"/>
      <c r="J10" s="650"/>
      <c r="K10" s="651"/>
      <c r="L10" s="60"/>
      <c r="M10" s="60"/>
      <c r="N10" s="650"/>
      <c r="O10" s="651"/>
      <c r="P10" s="60"/>
      <c r="Q10" s="60"/>
      <c r="R10" s="650"/>
      <c r="S10" s="651"/>
      <c r="T10" s="60"/>
      <c r="U10" s="60"/>
      <c r="V10" s="650"/>
      <c r="W10" s="651"/>
      <c r="X10" s="60"/>
      <c r="Y10" s="60"/>
      <c r="Z10" s="650"/>
      <c r="AA10" s="651"/>
      <c r="AB10" s="60"/>
      <c r="AC10" s="60"/>
      <c r="AD10" s="650"/>
      <c r="AE10" s="651"/>
      <c r="AF10" s="60"/>
      <c r="AG10" s="60"/>
      <c r="AH10" s="650"/>
      <c r="AI10" s="651"/>
      <c r="AJ10" s="60"/>
      <c r="AK10" s="60"/>
      <c r="AL10" s="650"/>
      <c r="AM10" s="651"/>
      <c r="AN10" s="60"/>
      <c r="AO10" s="60"/>
      <c r="AP10" s="650"/>
      <c r="AQ10" s="651"/>
      <c r="AR10" s="60"/>
      <c r="AS10" s="60"/>
      <c r="AT10" s="114"/>
      <c r="AU10" s="114"/>
      <c r="AW10" s="242"/>
      <c r="AX10" s="431" t="str">
        <f>'Sprachen &amp; Rückgabewerte(3)'!H195</f>
        <v>Lieferung Glas und Rahmen:</v>
      </c>
      <c r="AY10" s="60"/>
      <c r="AZ10" s="544"/>
      <c r="BA10" s="545"/>
      <c r="BB10" s="244"/>
      <c r="BD10" s="258"/>
      <c r="BE10" s="248"/>
      <c r="BF10" s="248"/>
      <c r="BG10" s="248"/>
      <c r="BH10" s="248"/>
      <c r="BI10" s="250"/>
    </row>
    <row r="11" spans="1:64" ht="15" customHeight="1" thickTop="1" thickBot="1" x14ac:dyDescent="0.25">
      <c r="A11" s="656"/>
      <c r="B11" s="227"/>
      <c r="C11" s="238">
        <f>COUNTBLANK(E11:AO11)</f>
        <v>37</v>
      </c>
      <c r="D11" s="60"/>
      <c r="E11" s="66"/>
      <c r="F11" s="66"/>
      <c r="G11" s="66"/>
      <c r="H11" s="162"/>
      <c r="I11" s="162"/>
      <c r="J11" s="66"/>
      <c r="K11" s="66"/>
      <c r="L11" s="162"/>
      <c r="M11" s="162"/>
      <c r="N11" s="66"/>
      <c r="O11" s="66"/>
      <c r="P11" s="162"/>
      <c r="Q11" s="162"/>
      <c r="R11" s="66"/>
      <c r="S11" s="66"/>
      <c r="T11" s="162"/>
      <c r="U11" s="162"/>
      <c r="V11" s="66"/>
      <c r="W11" s="66"/>
      <c r="X11" s="162"/>
      <c r="Y11" s="162"/>
      <c r="Z11" s="66"/>
      <c r="AA11" s="66"/>
      <c r="AB11" s="162"/>
      <c r="AC11" s="162"/>
      <c r="AD11" s="66"/>
      <c r="AE11" s="66"/>
      <c r="AF11" s="162"/>
      <c r="AG11" s="162"/>
      <c r="AH11" s="66"/>
      <c r="AI11" s="66"/>
      <c r="AJ11" s="162"/>
      <c r="AK11" s="162"/>
      <c r="AL11" s="66"/>
      <c r="AM11" s="66"/>
      <c r="AN11" s="162"/>
      <c r="AO11" s="162"/>
      <c r="AP11" s="66"/>
      <c r="AQ11" s="66"/>
      <c r="AR11" s="66"/>
      <c r="AS11" s="60"/>
      <c r="AT11" s="114"/>
      <c r="AU11" s="114"/>
      <c r="AW11" s="242"/>
      <c r="AX11" s="60"/>
      <c r="AY11" s="60"/>
      <c r="AZ11" s="60"/>
      <c r="BA11" s="60"/>
      <c r="BB11" s="244"/>
    </row>
    <row r="12" spans="1:64" ht="13.5" customHeight="1" thickTop="1" x14ac:dyDescent="0.2">
      <c r="B12" s="59"/>
      <c r="C12" s="59"/>
      <c r="D12" s="60"/>
      <c r="E12" s="94"/>
      <c r="F12" s="81"/>
      <c r="G12" s="81"/>
      <c r="H12" s="82" t="str">
        <f>IF(F10&lt;&gt;"",IF(AND(F10&gt;0,F10&lt;&gt;"F"),CONCATENATE('Sprachen &amp; Rückgabewerte(3)'!$C$28," ",'Sprachen &amp; Rückgabewerte(3)'!$C$29," ",'Sprachen &amp; Rückgabewerte(3)'!$C$30),'Sprachen &amp; Rückgabewerte(3)'!$C$30),"")</f>
        <v/>
      </c>
      <c r="I12" s="94"/>
      <c r="J12" s="81"/>
      <c r="K12" s="81"/>
      <c r="L12" s="82" t="str">
        <f>IF(J10&lt;&gt;"",IF(AND(J10&gt;0,J10&lt;&gt;"F"),CONCATENATE('Sprachen &amp; Rückgabewerte(3)'!$C$28," ",'Sprachen &amp; Rückgabewerte(3)'!$C$29," ",'Sprachen &amp; Rückgabewerte(3)'!$C$30),'Sprachen &amp; Rückgabewerte(3)'!$C$30),"")</f>
        <v/>
      </c>
      <c r="M12" s="94"/>
      <c r="N12" s="81"/>
      <c r="O12" s="81"/>
      <c r="P12" s="82" t="str">
        <f>IF(N10&lt;&gt;"",IF(AND(N10&gt;0,N10&lt;&gt;"F"),CONCATENATE('Sprachen &amp; Rückgabewerte(3)'!$C$28," ",'Sprachen &amp; Rückgabewerte(3)'!$C$29," ",'Sprachen &amp; Rückgabewerte(3)'!$C$30),'Sprachen &amp; Rückgabewerte(3)'!$C$30),"")</f>
        <v/>
      </c>
      <c r="Q12" s="94"/>
      <c r="R12" s="81"/>
      <c r="S12" s="81"/>
      <c r="T12" s="82" t="str">
        <f>IF(R10&lt;&gt;"",IF(AND(R10&gt;0,R10&lt;&gt;"F"),CONCATENATE('Sprachen &amp; Rückgabewerte(3)'!$C$28," ",'Sprachen &amp; Rückgabewerte(3)'!$C$29," ",'Sprachen &amp; Rückgabewerte(3)'!$C$30),'Sprachen &amp; Rückgabewerte(3)'!$C$30),"")</f>
        <v/>
      </c>
      <c r="U12" s="94"/>
      <c r="V12" s="81"/>
      <c r="W12" s="81"/>
      <c r="X12" s="82" t="str">
        <f>IF(V10&lt;&gt;"",IF(AND(V10&gt;0,V10&lt;&gt;"F"),CONCATENATE('Sprachen &amp; Rückgabewerte(3)'!$C$28," ",'Sprachen &amp; Rückgabewerte(3)'!$C$29," ",'Sprachen &amp; Rückgabewerte(3)'!$C$30),'Sprachen &amp; Rückgabewerte(3)'!$C$30),"")</f>
        <v/>
      </c>
      <c r="Y12" s="94"/>
      <c r="Z12" s="81"/>
      <c r="AA12" s="81"/>
      <c r="AB12" s="82" t="str">
        <f>IF(Z10&lt;&gt;"",IF(AND(Z10&gt;0,Z10&lt;&gt;"F"),CONCATENATE('Sprachen &amp; Rückgabewerte(3)'!$C$28," ",'Sprachen &amp; Rückgabewerte(3)'!$C$29," ",'Sprachen &amp; Rückgabewerte(3)'!$C$30),'Sprachen &amp; Rückgabewerte(3)'!$C$30),"")</f>
        <v/>
      </c>
      <c r="AC12" s="94"/>
      <c r="AD12" s="81"/>
      <c r="AE12" s="81"/>
      <c r="AF12" s="82" t="str">
        <f>IF(AD10&lt;&gt;"",IF(AND(AD10&gt;0,AD10&lt;&gt;"F"),CONCATENATE('Sprachen &amp; Rückgabewerte(3)'!$C$28," ",'Sprachen &amp; Rückgabewerte(3)'!$C$29," ",'Sprachen &amp; Rückgabewerte(3)'!$C$30),'Sprachen &amp; Rückgabewerte(3)'!$C$30),"")</f>
        <v/>
      </c>
      <c r="AG12" s="94"/>
      <c r="AH12" s="81"/>
      <c r="AI12" s="81"/>
      <c r="AJ12" s="82" t="str">
        <f>IF(AH10&lt;&gt;"",IF(AND(AH10&gt;0,AH10&lt;&gt;"F"),CONCATENATE('Sprachen &amp; Rückgabewerte(3)'!$C$28," ",'Sprachen &amp; Rückgabewerte(3)'!$C$29," ",'Sprachen &amp; Rückgabewerte(3)'!$C$30),'Sprachen &amp; Rückgabewerte(3)'!$C$30),"")</f>
        <v/>
      </c>
      <c r="AK12" s="94"/>
      <c r="AL12" s="81"/>
      <c r="AM12" s="81"/>
      <c r="AN12" s="82" t="str">
        <f>IF(AL10&lt;&gt;"",IF(AND(AL10&gt;0,AL10&lt;&gt;"F"),CONCATENATE('Sprachen &amp; Rückgabewerte(3)'!$C$28," ",'Sprachen &amp; Rückgabewerte(3)'!$C$29," ",'Sprachen &amp; Rückgabewerte(3)'!$C$30),'Sprachen &amp; Rückgabewerte(3)'!$C$30),"")</f>
        <v/>
      </c>
      <c r="AO12" s="94"/>
      <c r="AP12" s="81"/>
      <c r="AQ12" s="81"/>
      <c r="AR12" s="82" t="str">
        <f>IF(AP10&lt;&gt;"",IF(AND(AP10&gt;0,AP10&lt;&gt;"F"),CONCATENATE('Sprachen &amp; Rückgabewerte(3)'!$C$28," ",'Sprachen &amp; Rückgabewerte(3)'!$C$29," ",'Sprachen &amp; Rückgabewerte(3)'!$C$30),'Sprachen &amp; Rückgabewerte(3)'!$C$30),"")</f>
        <v/>
      </c>
      <c r="AS12" s="149"/>
      <c r="AT12" s="114"/>
      <c r="AU12" s="114"/>
      <c r="AW12" s="242"/>
      <c r="AX12" s="245"/>
      <c r="AY12" s="60"/>
      <c r="AZ12" s="60"/>
      <c r="BA12" s="60"/>
      <c r="BB12" s="244"/>
    </row>
    <row r="13" spans="1:64" ht="13.5" customHeight="1" x14ac:dyDescent="0.2">
      <c r="B13" s="59"/>
      <c r="C13" s="59"/>
      <c r="D13" s="60"/>
      <c r="E13" s="657" t="str">
        <f>IF(AND('Sprachen &amp; Rückgabewerte(3)'!$I$30=TRUE,$F$10="R"),'Sprachen &amp; Rückgabewerte(3)'!H60,"")</f>
        <v/>
      </c>
      <c r="F13" s="60"/>
      <c r="G13" s="60"/>
      <c r="H13" s="659" t="str">
        <f>IF(AND('Sprachen &amp; Rückgabewerte(3)'!$I$31=TRUE,$F$10="L",$J$10=""),'Sprachen &amp; Rückgabewerte(3)'!$H$60,"")</f>
        <v/>
      </c>
      <c r="I13" s="59"/>
      <c r="J13" s="60"/>
      <c r="K13" s="60"/>
      <c r="L13" s="659" t="str">
        <f>IF(AND('Sprachen &amp; Rückgabewerte(3)'!$I$31=TRUE,$J$10="L",$N$10=""),'Sprachen &amp; Rückgabewerte(3)'!$H$60,"")</f>
        <v/>
      </c>
      <c r="M13" s="59"/>
      <c r="N13" s="60"/>
      <c r="O13" s="60"/>
      <c r="P13" s="659" t="str">
        <f>IF(AND('Sprachen &amp; Rückgabewerte(3)'!$I$31=TRUE,$N$10="L",$R$10=""),'Sprachen &amp; Rückgabewerte(3)'!$H$60,"")</f>
        <v/>
      </c>
      <c r="Q13" s="59"/>
      <c r="R13" s="60"/>
      <c r="S13" s="60"/>
      <c r="T13" s="659" t="str">
        <f>IF(AND('Sprachen &amp; Rückgabewerte(3)'!$I$31=TRUE,$R$10="L",$V$10=""),'Sprachen &amp; Rückgabewerte(3)'!$H$60,"")</f>
        <v/>
      </c>
      <c r="U13" s="59"/>
      <c r="V13" s="60"/>
      <c r="W13" s="60"/>
      <c r="X13" s="659" t="str">
        <f>IF(AND('Sprachen &amp; Rückgabewerte(3)'!$I$31=TRUE,$V$10="L",$Z$10=""),'Sprachen &amp; Rückgabewerte(3)'!$H$60,"")</f>
        <v/>
      </c>
      <c r="Y13" s="59"/>
      <c r="Z13" s="60"/>
      <c r="AA13" s="60"/>
      <c r="AB13" s="659" t="str">
        <f>IF(AND('Sprachen &amp; Rückgabewerte(3)'!$I$31=TRUE,$Z$10="L",$AD$10=""),'Sprachen &amp; Rückgabewerte(3)'!$H$60,"")</f>
        <v/>
      </c>
      <c r="AC13" s="59"/>
      <c r="AD13" s="60"/>
      <c r="AE13" s="60"/>
      <c r="AF13" s="659" t="str">
        <f>IF(AND('Sprachen &amp; Rückgabewerte(3)'!$I$31=TRUE,$AD$10="L",$AH$10=""),'Sprachen &amp; Rückgabewerte(3)'!$H$60,"")</f>
        <v/>
      </c>
      <c r="AG13" s="59"/>
      <c r="AH13" s="60"/>
      <c r="AI13" s="60"/>
      <c r="AJ13" s="659" t="str">
        <f>IF(AND('Sprachen &amp; Rückgabewerte(3)'!$I$31=TRUE,$AH$10="L",$AL$10=""),'Sprachen &amp; Rückgabewerte(3)'!$H$60,"")</f>
        <v/>
      </c>
      <c r="AK13" s="59"/>
      <c r="AL13" s="60"/>
      <c r="AM13" s="60"/>
      <c r="AN13" s="659" t="str">
        <f>IF(AND('Sprachen &amp; Rückgabewerte(3)'!$I$31=TRUE,$AL$10="L",$AP$10=""),'Sprachen &amp; Rückgabewerte(3)'!$H$60,"")</f>
        <v/>
      </c>
      <c r="AO13" s="59"/>
      <c r="AP13" s="60"/>
      <c r="AQ13" s="60"/>
      <c r="AR13" s="659" t="str">
        <f>IF(AND('Sprachen &amp; Rückgabewerte(3)'!$I$31=TRUE,$AP$10="L"),'Sprachen &amp; Rückgabewerte(3)'!$H$60,"")</f>
        <v/>
      </c>
      <c r="AS13" s="150"/>
      <c r="AT13" s="114"/>
      <c r="AU13" s="114"/>
      <c r="AW13" s="242"/>
      <c r="AX13" s="60"/>
      <c r="AY13" s="60"/>
      <c r="AZ13" s="60"/>
      <c r="BA13" s="60"/>
      <c r="BB13" s="244"/>
    </row>
    <row r="14" spans="1:64" ht="13.5" customHeight="1" x14ac:dyDescent="0.2">
      <c r="B14" s="59"/>
      <c r="C14" s="59"/>
      <c r="D14" s="60"/>
      <c r="E14" s="657"/>
      <c r="F14" s="653" t="str">
        <f>IF(F10='Sprachen &amp; Rückgabewerte(3)'!$B$9,'Sprachen &amp; Rückgabewerte(3)'!$C$9,IF(F10='Sprachen &amp; Rückgabewerte(3)'!$B$10,'Sprachen &amp; Rückgabewerte(3)'!$C$10,IF(F10='Sprachen &amp; Rückgabewerte(3)'!$B$11,'Sprachen &amp; Rückgabewerte(3)'!$C$11,IF(F10='Sprachen &amp; Rückgabewerte(3)'!$B$12,'Sprachen &amp; Rückgabewerte(3)'!$C$12,IF(F10='Sprachen &amp; Rückgabewerte(3)'!$B$13,'Sprachen &amp; Rückgabewerte(3)'!$C$13,IF(F10='Sprachen &amp; Rückgabewerte(3)'!$B$14,'Sprachen &amp; Rückgabewerte(3)'!$C$14,""))))))</f>
        <v/>
      </c>
      <c r="G14" s="653"/>
      <c r="H14" s="659"/>
      <c r="I14" s="59"/>
      <c r="J14" s="653" t="str">
        <f>IF(J10='Sprachen &amp; Rückgabewerte(3)'!$B$9,'Sprachen &amp; Rückgabewerte(3)'!$C$9,IF(J10='Sprachen &amp; Rückgabewerte(3)'!$B$10,'Sprachen &amp; Rückgabewerte(3)'!$C$10,IF(J10='Sprachen &amp; Rückgabewerte(3)'!$B$11,'Sprachen &amp; Rückgabewerte(3)'!$C$11,IF(J10='Sprachen &amp; Rückgabewerte(3)'!$B$12,'Sprachen &amp; Rückgabewerte(3)'!$C$12,IF(J10='Sprachen &amp; Rückgabewerte(3)'!$B$13,'Sprachen &amp; Rückgabewerte(3)'!$C$13,IF(J10='Sprachen &amp; Rückgabewerte(3)'!$B$14,'Sprachen &amp; Rückgabewerte(3)'!$C$14,""))))))</f>
        <v/>
      </c>
      <c r="K14" s="653"/>
      <c r="L14" s="659"/>
      <c r="M14" s="59"/>
      <c r="N14" s="653" t="str">
        <f>IF(N10='Sprachen &amp; Rückgabewerte(3)'!$B$9,'Sprachen &amp; Rückgabewerte(3)'!$C$9,IF(N10='Sprachen &amp; Rückgabewerte(3)'!$B$10,'Sprachen &amp; Rückgabewerte(3)'!$C$10,IF(N10='Sprachen &amp; Rückgabewerte(3)'!$B$11,'Sprachen &amp; Rückgabewerte(3)'!$C$11,IF(N10='Sprachen &amp; Rückgabewerte(3)'!$B$12,'Sprachen &amp; Rückgabewerte(3)'!$C$12,IF(N10='Sprachen &amp; Rückgabewerte(3)'!$B$13,'Sprachen &amp; Rückgabewerte(3)'!$C$13,IF(N10='Sprachen &amp; Rückgabewerte(3)'!$B$14,'Sprachen &amp; Rückgabewerte(3)'!$C$14,""))))))</f>
        <v/>
      </c>
      <c r="O14" s="653"/>
      <c r="P14" s="659"/>
      <c r="Q14" s="59"/>
      <c r="R14" s="653" t="str">
        <f>IF(R10='Sprachen &amp; Rückgabewerte(3)'!$B$9,'Sprachen &amp; Rückgabewerte(3)'!$C$9,IF(R10='Sprachen &amp; Rückgabewerte(3)'!$B$10,'Sprachen &amp; Rückgabewerte(3)'!$C$10,IF(R10='Sprachen &amp; Rückgabewerte(3)'!$B$11,'Sprachen &amp; Rückgabewerte(3)'!$C$11,IF(R10='Sprachen &amp; Rückgabewerte(3)'!$B$12,'Sprachen &amp; Rückgabewerte(3)'!$C$12,IF(R10='Sprachen &amp; Rückgabewerte(3)'!$B$13,'Sprachen &amp; Rückgabewerte(3)'!$C$13,IF(R10='Sprachen &amp; Rückgabewerte(3)'!$B$14,'Sprachen &amp; Rückgabewerte(3)'!$C$14,""))))))</f>
        <v/>
      </c>
      <c r="S14" s="653"/>
      <c r="T14" s="659"/>
      <c r="U14" s="59"/>
      <c r="V14" s="653" t="str">
        <f>IF(V10='Sprachen &amp; Rückgabewerte(3)'!$B$9,'Sprachen &amp; Rückgabewerte(3)'!$C$9,IF(V10='Sprachen &amp; Rückgabewerte(3)'!$B$10,'Sprachen &amp; Rückgabewerte(3)'!$C$10,IF(V10='Sprachen &amp; Rückgabewerte(3)'!$B$11,'Sprachen &amp; Rückgabewerte(3)'!$C$11,IF(V10='Sprachen &amp; Rückgabewerte(3)'!$B$12,'Sprachen &amp; Rückgabewerte(3)'!$C$12,IF(V10='Sprachen &amp; Rückgabewerte(3)'!$B$13,'Sprachen &amp; Rückgabewerte(3)'!$C$13,IF(V10='Sprachen &amp; Rückgabewerte(3)'!$B$14,'Sprachen &amp; Rückgabewerte(3)'!$C$14,""))))))</f>
        <v/>
      </c>
      <c r="W14" s="653"/>
      <c r="X14" s="659"/>
      <c r="Y14" s="59"/>
      <c r="Z14" s="653" t="str">
        <f>IF(Z10='Sprachen &amp; Rückgabewerte(3)'!$B$9,'Sprachen &amp; Rückgabewerte(3)'!$C$9,IF(Z10='Sprachen &amp; Rückgabewerte(3)'!$B$10,'Sprachen &amp; Rückgabewerte(3)'!$C$10,IF(Z10='Sprachen &amp; Rückgabewerte(3)'!$B$11,'Sprachen &amp; Rückgabewerte(3)'!$C$11,IF(Z10='Sprachen &amp; Rückgabewerte(3)'!$B$12,'Sprachen &amp; Rückgabewerte(3)'!$C$12,IF(Z10='Sprachen &amp; Rückgabewerte(3)'!$B$13,'Sprachen &amp; Rückgabewerte(3)'!$C$13,IF(Z10='Sprachen &amp; Rückgabewerte(3)'!$B$14,'Sprachen &amp; Rückgabewerte(3)'!$C$14,""))))))</f>
        <v/>
      </c>
      <c r="AA14" s="653"/>
      <c r="AB14" s="659"/>
      <c r="AC14" s="59"/>
      <c r="AD14" s="653" t="str">
        <f>IF(AD10='Sprachen &amp; Rückgabewerte(3)'!$B$9,'Sprachen &amp; Rückgabewerte(3)'!$C$9,IF(AD10='Sprachen &amp; Rückgabewerte(3)'!$B$10,'Sprachen &amp; Rückgabewerte(3)'!$C$10,IF(AD10='Sprachen &amp; Rückgabewerte(3)'!$B$11,'Sprachen &amp; Rückgabewerte(3)'!$C$11,IF(AD10='Sprachen &amp; Rückgabewerte(3)'!$B$12,'Sprachen &amp; Rückgabewerte(3)'!$C$12,IF(AD10='Sprachen &amp; Rückgabewerte(3)'!$B$13,'Sprachen &amp; Rückgabewerte(3)'!$C$13,IF(AD10='Sprachen &amp; Rückgabewerte(3)'!$B$14,'Sprachen &amp; Rückgabewerte(3)'!$C$14,""))))))</f>
        <v/>
      </c>
      <c r="AE14" s="653"/>
      <c r="AF14" s="659"/>
      <c r="AG14" s="59"/>
      <c r="AH14" s="653" t="str">
        <f>IF(AH10='Sprachen &amp; Rückgabewerte(3)'!$B$9,'Sprachen &amp; Rückgabewerte(3)'!$C$9,IF(AH10='Sprachen &amp; Rückgabewerte(3)'!$B$10,'Sprachen &amp; Rückgabewerte(3)'!$C$10,IF(AH10='Sprachen &amp; Rückgabewerte(3)'!$B$11,'Sprachen &amp; Rückgabewerte(3)'!$C$11,IF(AH10='Sprachen &amp; Rückgabewerte(3)'!$B$12,'Sprachen &amp; Rückgabewerte(3)'!$C$12,IF(AH10='Sprachen &amp; Rückgabewerte(3)'!$B$13,'Sprachen &amp; Rückgabewerte(3)'!$C$13,IF(AH10='Sprachen &amp; Rückgabewerte(3)'!$B$14,'Sprachen &amp; Rückgabewerte(3)'!$C$14,""))))))</f>
        <v/>
      </c>
      <c r="AI14" s="653"/>
      <c r="AJ14" s="659"/>
      <c r="AK14" s="59"/>
      <c r="AL14" s="653" t="str">
        <f>IF(AL10='Sprachen &amp; Rückgabewerte(3)'!$B$9,'Sprachen &amp; Rückgabewerte(3)'!$C$9,IF(AL10='Sprachen &amp; Rückgabewerte(3)'!$B$10,'Sprachen &amp; Rückgabewerte(3)'!$C$10,IF(AL10='Sprachen &amp; Rückgabewerte(3)'!$B$11,'Sprachen &amp; Rückgabewerte(3)'!$C$11,IF(AL10='Sprachen &amp; Rückgabewerte(3)'!$B$12,'Sprachen &amp; Rückgabewerte(3)'!$C$12,IF(AL10='Sprachen &amp; Rückgabewerte(3)'!$B$13,'Sprachen &amp; Rückgabewerte(3)'!$C$13,IF(AL10='Sprachen &amp; Rückgabewerte(3)'!$B$14,'Sprachen &amp; Rückgabewerte(3)'!$C$14,""))))))</f>
        <v/>
      </c>
      <c r="AM14" s="653"/>
      <c r="AN14" s="659"/>
      <c r="AO14" s="59"/>
      <c r="AP14" s="653" t="str">
        <f>IF(AP10='Sprachen &amp; Rückgabewerte(3)'!$B$9,'Sprachen &amp; Rückgabewerte(3)'!$C$9,IF(AP10='Sprachen &amp; Rückgabewerte(3)'!$B$10,'Sprachen &amp; Rückgabewerte(3)'!$C$10,IF(AP10='Sprachen &amp; Rückgabewerte(3)'!$B$11,'Sprachen &amp; Rückgabewerte(3)'!$C$11,IF(AP10='Sprachen &amp; Rückgabewerte(3)'!$B$12,'Sprachen &amp; Rückgabewerte(3)'!$C$12,IF(AP10='Sprachen &amp; Rückgabewerte(3)'!$B$13,'Sprachen &amp; Rückgabewerte(3)'!$C$13,IF(AP10='Sprachen &amp; Rückgabewerte(3)'!$B$14,'Sprachen &amp; Rückgabewerte(3)'!$C$14,""))))))</f>
        <v/>
      </c>
      <c r="AQ14" s="653"/>
      <c r="AR14" s="659"/>
      <c r="AS14" s="149"/>
      <c r="AT14" s="114"/>
      <c r="AU14" s="114"/>
      <c r="AW14" s="242"/>
      <c r="AX14" s="155" t="str">
        <f>'Sprachen &amp; Rückgabewerte(3)'!H131</f>
        <v>Bemerkungen:</v>
      </c>
      <c r="AY14" s="60"/>
      <c r="AZ14" s="60"/>
      <c r="BA14" s="60"/>
      <c r="BB14" s="244"/>
    </row>
    <row r="15" spans="1:64" ht="13.5" customHeight="1" x14ac:dyDescent="0.2">
      <c r="B15" s="59"/>
      <c r="C15" s="59"/>
      <c r="D15" s="60"/>
      <c r="E15" s="657"/>
      <c r="F15" s="653"/>
      <c r="G15" s="653"/>
      <c r="H15" s="659"/>
      <c r="I15" s="59"/>
      <c r="J15" s="653"/>
      <c r="K15" s="653"/>
      <c r="L15" s="659"/>
      <c r="M15" s="59"/>
      <c r="N15" s="653"/>
      <c r="O15" s="653"/>
      <c r="P15" s="659"/>
      <c r="Q15" s="59"/>
      <c r="R15" s="653"/>
      <c r="S15" s="653"/>
      <c r="T15" s="659"/>
      <c r="U15" s="59"/>
      <c r="V15" s="653"/>
      <c r="W15" s="653"/>
      <c r="X15" s="659"/>
      <c r="Y15" s="59"/>
      <c r="Z15" s="653"/>
      <c r="AA15" s="653"/>
      <c r="AB15" s="659"/>
      <c r="AC15" s="59"/>
      <c r="AD15" s="653"/>
      <c r="AE15" s="653"/>
      <c r="AF15" s="659"/>
      <c r="AG15" s="59"/>
      <c r="AH15" s="653"/>
      <c r="AI15" s="653"/>
      <c r="AJ15" s="659"/>
      <c r="AK15" s="59"/>
      <c r="AL15" s="653"/>
      <c r="AM15" s="653"/>
      <c r="AN15" s="659"/>
      <c r="AO15" s="59"/>
      <c r="AP15" s="653"/>
      <c r="AQ15" s="653"/>
      <c r="AR15" s="659"/>
      <c r="AS15" s="60"/>
      <c r="AT15" s="114"/>
      <c r="AU15" s="114"/>
      <c r="AW15" s="242"/>
      <c r="AX15" s="639" t="s">
        <v>506</v>
      </c>
      <c r="AY15" s="640"/>
      <c r="AZ15" s="640"/>
      <c r="BA15" s="641"/>
      <c r="BB15" s="244"/>
    </row>
    <row r="16" spans="1:64" ht="13.5" customHeight="1" x14ac:dyDescent="0.2">
      <c r="B16" s="59"/>
      <c r="C16" s="59"/>
      <c r="D16" s="60"/>
      <c r="E16" s="657"/>
      <c r="F16" s="652"/>
      <c r="G16" s="652"/>
      <c r="H16" s="659"/>
      <c r="I16" s="59"/>
      <c r="J16" s="652"/>
      <c r="K16" s="652"/>
      <c r="L16" s="659"/>
      <c r="M16" s="59"/>
      <c r="N16" s="652"/>
      <c r="O16" s="652"/>
      <c r="P16" s="659"/>
      <c r="Q16" s="59"/>
      <c r="R16" s="652"/>
      <c r="S16" s="652"/>
      <c r="T16" s="659"/>
      <c r="U16" s="59"/>
      <c r="V16" s="652"/>
      <c r="W16" s="652"/>
      <c r="X16" s="659"/>
      <c r="Y16" s="59"/>
      <c r="Z16" s="652"/>
      <c r="AA16" s="652"/>
      <c r="AB16" s="659"/>
      <c r="AC16" s="59"/>
      <c r="AD16" s="652"/>
      <c r="AE16" s="652"/>
      <c r="AF16" s="659"/>
      <c r="AG16" s="59"/>
      <c r="AH16" s="652"/>
      <c r="AI16" s="652"/>
      <c r="AJ16" s="659"/>
      <c r="AK16" s="59"/>
      <c r="AL16" s="652"/>
      <c r="AM16" s="652"/>
      <c r="AN16" s="659"/>
      <c r="AO16" s="59"/>
      <c r="AP16" s="652"/>
      <c r="AQ16" s="652"/>
      <c r="AR16" s="659"/>
      <c r="AS16" s="60"/>
      <c r="AT16" s="114"/>
      <c r="AU16" s="114"/>
      <c r="AW16" s="246"/>
      <c r="AX16" s="642"/>
      <c r="AY16" s="643"/>
      <c r="AZ16" s="643"/>
      <c r="BA16" s="644"/>
      <c r="BB16" s="244"/>
    </row>
    <row r="17" spans="1:54" ht="13.5" customHeight="1" x14ac:dyDescent="0.2">
      <c r="B17" s="59"/>
      <c r="C17" s="59"/>
      <c r="D17" s="60"/>
      <c r="E17" s="657"/>
      <c r="F17" s="652"/>
      <c r="G17" s="652"/>
      <c r="H17" s="659"/>
      <c r="I17" s="59"/>
      <c r="J17" s="652"/>
      <c r="K17" s="652"/>
      <c r="L17" s="659"/>
      <c r="M17" s="59"/>
      <c r="N17" s="652"/>
      <c r="O17" s="652"/>
      <c r="P17" s="659"/>
      <c r="Q17" s="59"/>
      <c r="R17" s="652"/>
      <c r="S17" s="652"/>
      <c r="T17" s="659"/>
      <c r="U17" s="59"/>
      <c r="V17" s="652"/>
      <c r="W17" s="652"/>
      <c r="X17" s="659"/>
      <c r="Y17" s="59"/>
      <c r="Z17" s="652"/>
      <c r="AA17" s="652"/>
      <c r="AB17" s="659"/>
      <c r="AC17" s="59"/>
      <c r="AD17" s="652"/>
      <c r="AE17" s="652"/>
      <c r="AF17" s="659"/>
      <c r="AG17" s="59"/>
      <c r="AH17" s="652"/>
      <c r="AI17" s="652"/>
      <c r="AJ17" s="659"/>
      <c r="AK17" s="59"/>
      <c r="AL17" s="652"/>
      <c r="AM17" s="652"/>
      <c r="AN17" s="659"/>
      <c r="AO17" s="59"/>
      <c r="AP17" s="652"/>
      <c r="AQ17" s="652"/>
      <c r="AR17" s="659"/>
      <c r="AS17" s="60"/>
      <c r="AT17" s="114"/>
      <c r="AU17" s="114"/>
      <c r="AW17" s="246"/>
      <c r="AX17" s="642"/>
      <c r="AY17" s="643"/>
      <c r="AZ17" s="643"/>
      <c r="BA17" s="644"/>
      <c r="BB17" s="244"/>
    </row>
    <row r="18" spans="1:54" ht="13.5" customHeight="1" x14ac:dyDescent="0.2">
      <c r="B18" s="59"/>
      <c r="C18" s="59"/>
      <c r="D18" s="60"/>
      <c r="E18" s="657"/>
      <c r="F18" s="430"/>
      <c r="G18" s="430"/>
      <c r="H18" s="659"/>
      <c r="I18" s="59"/>
      <c r="J18" s="430"/>
      <c r="K18" s="430"/>
      <c r="L18" s="659"/>
      <c r="M18" s="59"/>
      <c r="N18" s="430"/>
      <c r="O18" s="430"/>
      <c r="P18" s="659"/>
      <c r="Q18" s="59"/>
      <c r="R18" s="430"/>
      <c r="S18" s="430"/>
      <c r="T18" s="659"/>
      <c r="U18" s="59"/>
      <c r="V18" s="430"/>
      <c r="W18" s="430"/>
      <c r="X18" s="659"/>
      <c r="Y18" s="59"/>
      <c r="Z18" s="430"/>
      <c r="AA18" s="430"/>
      <c r="AB18" s="659"/>
      <c r="AC18" s="59"/>
      <c r="AD18" s="430"/>
      <c r="AE18" s="430"/>
      <c r="AF18" s="659"/>
      <c r="AG18" s="59"/>
      <c r="AH18" s="430"/>
      <c r="AI18" s="430"/>
      <c r="AJ18" s="659"/>
      <c r="AK18" s="59"/>
      <c r="AL18" s="430"/>
      <c r="AM18" s="430"/>
      <c r="AN18" s="659"/>
      <c r="AO18" s="59"/>
      <c r="AP18" s="430"/>
      <c r="AQ18" s="430"/>
      <c r="AR18" s="659"/>
      <c r="AS18" s="60"/>
      <c r="AT18" s="114"/>
      <c r="AU18" s="114"/>
      <c r="AW18" s="246"/>
      <c r="AX18" s="645"/>
      <c r="AY18" s="646"/>
      <c r="AZ18" s="646"/>
      <c r="BA18" s="647"/>
      <c r="BB18" s="244"/>
    </row>
    <row r="19" spans="1:54" ht="13.5" customHeight="1" x14ac:dyDescent="0.2">
      <c r="B19" s="59"/>
      <c r="C19" s="59"/>
      <c r="D19" s="60"/>
      <c r="E19" s="658"/>
      <c r="F19" s="83"/>
      <c r="G19" s="83"/>
      <c r="H19" s="660"/>
      <c r="I19" s="67"/>
      <c r="J19" s="83"/>
      <c r="K19" s="83"/>
      <c r="L19" s="660"/>
      <c r="M19" s="67"/>
      <c r="N19" s="83"/>
      <c r="O19" s="83"/>
      <c r="P19" s="660"/>
      <c r="Q19" s="67"/>
      <c r="R19" s="83"/>
      <c r="S19" s="83"/>
      <c r="T19" s="660"/>
      <c r="U19" s="67"/>
      <c r="V19" s="83"/>
      <c r="W19" s="83"/>
      <c r="X19" s="660"/>
      <c r="Y19" s="67"/>
      <c r="Z19" s="83"/>
      <c r="AA19" s="83"/>
      <c r="AB19" s="660"/>
      <c r="AC19" s="67"/>
      <c r="AD19" s="83"/>
      <c r="AE19" s="83"/>
      <c r="AF19" s="660"/>
      <c r="AG19" s="67"/>
      <c r="AH19" s="83"/>
      <c r="AI19" s="83"/>
      <c r="AJ19" s="660"/>
      <c r="AK19" s="67"/>
      <c r="AL19" s="83"/>
      <c r="AM19" s="83"/>
      <c r="AN19" s="660"/>
      <c r="AO19" s="67"/>
      <c r="AP19" s="83"/>
      <c r="AQ19" s="83"/>
      <c r="AR19" s="660"/>
      <c r="AS19" s="60"/>
      <c r="AT19" s="114"/>
      <c r="AU19" s="114"/>
      <c r="AW19" s="246"/>
      <c r="AX19" s="629" t="str">
        <f>IF('Sprachen &amp; Rückgabewerte(3)'!U83=FALSE,'Sprachen &amp; Rückgabewerte(3)'!H155,'Sprachen &amp; Rückgabewerte(3)'!H156)</f>
        <v>Bestellformular unvollständig!</v>
      </c>
      <c r="AY19" s="629"/>
      <c r="AZ19" s="629"/>
      <c r="BA19" s="629"/>
      <c r="BB19" s="244"/>
    </row>
    <row r="20" spans="1:54" ht="13.5" customHeight="1" thickBot="1" x14ac:dyDescent="0.25">
      <c r="B20" s="59"/>
      <c r="C20" s="59"/>
      <c r="D20" s="60"/>
      <c r="E20" s="60"/>
      <c r="F20" s="90" t="str">
        <f>'Sprachen &amp; Rückgabewerte(3)'!$H$124</f>
        <v>Ecke:</v>
      </c>
      <c r="G20" s="648"/>
      <c r="H20" s="648"/>
      <c r="I20" s="649"/>
      <c r="J20" s="649"/>
      <c r="K20" s="649"/>
      <c r="L20" s="649"/>
      <c r="M20" s="649"/>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8"/>
      <c r="AP20" s="648"/>
      <c r="AQ20" s="60"/>
      <c r="AR20" s="61"/>
      <c r="AS20" s="60"/>
      <c r="AT20" s="114"/>
      <c r="AU20" s="114"/>
      <c r="AW20" s="247"/>
      <c r="AX20" s="630"/>
      <c r="AY20" s="630"/>
      <c r="AZ20" s="630"/>
      <c r="BA20" s="630"/>
      <c r="BB20" s="250"/>
    </row>
    <row r="21" spans="1:54" ht="13.5" customHeight="1" thickTop="1" thickBot="1" x14ac:dyDescent="0.25">
      <c r="B21" s="59"/>
      <c r="C21" s="59"/>
      <c r="D21" s="60"/>
      <c r="E21" s="63"/>
      <c r="F21" s="90" t="str">
        <f>IF(OR(G20='Sprachen &amp; Rückgabewerte(3)'!$H$106,G20='Sprachen &amp; Rückgabewerte(3)'!$H$107,K20='Sprachen &amp; Rückgabewerte(3)'!$H$106,K20='Sprachen &amp; Rückgabewerte(3)'!$H$107,O20='Sprachen &amp; Rückgabewerte(3)'!$H$106,O20='Sprachen &amp; Rückgabewerte(3)'!$H$107,S20='Sprachen &amp; Rückgabewerte(3)'!$H$106,S20='Sprachen &amp; Rückgabewerte(3)'!$H$107,W20='Sprachen &amp; Rückgabewerte(3)'!$H$106,W20='Sprachen &amp; Rückgabewerte(3)'!$H$107,AA20='Sprachen &amp; Rückgabewerte(3)'!$H$106,AA20='Sprachen &amp; Rückgabewerte(3)'!$H$107,AE20='Sprachen &amp; Rückgabewerte(3)'!$H$106,AE20='Sprachen &amp; Rückgabewerte(3)'!$H$107,AI20='Sprachen &amp; Rückgabewerte(3)'!$H$106,AI20='Sprachen &amp; Rückgabewerte(3)'!$H$107,AM20='Sprachen &amp; Rückgabewerte(3)'!$H$106,AM20='Sprachen &amp; Rückgabewerte(3)'!$H$107),'Sprachen &amp; Rückgabewerte(3)'!$H$108,"")</f>
        <v/>
      </c>
      <c r="G21" s="64"/>
      <c r="H21" s="625"/>
      <c r="I21" s="625"/>
      <c r="J21" s="65"/>
      <c r="K21" s="65"/>
      <c r="L21" s="625"/>
      <c r="M21" s="625"/>
      <c r="N21" s="627"/>
      <c r="O21" s="627"/>
      <c r="P21" s="625"/>
      <c r="Q21" s="625"/>
      <c r="R21" s="628"/>
      <c r="S21" s="628"/>
      <c r="T21" s="625"/>
      <c r="U21" s="625"/>
      <c r="V21" s="627"/>
      <c r="W21" s="627"/>
      <c r="X21" s="625"/>
      <c r="Y21" s="625"/>
      <c r="Z21" s="627"/>
      <c r="AA21" s="627"/>
      <c r="AB21" s="625"/>
      <c r="AC21" s="625"/>
      <c r="AD21" s="627"/>
      <c r="AE21" s="627"/>
      <c r="AF21" s="625"/>
      <c r="AG21" s="625"/>
      <c r="AH21" s="627"/>
      <c r="AI21" s="627"/>
      <c r="AJ21" s="625"/>
      <c r="AK21" s="625"/>
      <c r="AL21" s="627"/>
      <c r="AM21" s="627"/>
      <c r="AN21" s="625"/>
      <c r="AO21" s="625"/>
      <c r="AP21" s="60"/>
      <c r="AQ21" s="60"/>
      <c r="AR21" s="61"/>
      <c r="AS21" s="60"/>
      <c r="AT21" s="114"/>
      <c r="AU21" s="114"/>
      <c r="AW21" s="151"/>
      <c r="AY21" s="189"/>
      <c r="AZ21" s="189"/>
      <c r="BA21" s="189"/>
    </row>
    <row r="22" spans="1:54" ht="9.75" customHeight="1" thickTop="1" x14ac:dyDescent="0.2">
      <c r="B22" s="59"/>
      <c r="C22" s="59"/>
      <c r="D22" s="60"/>
      <c r="E22" s="626"/>
      <c r="F22" s="626"/>
      <c r="G22" s="626"/>
      <c r="H22" s="626"/>
      <c r="I22" s="626"/>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0"/>
      <c r="AT22" s="114"/>
      <c r="AU22" s="114"/>
      <c r="AW22" s="239"/>
      <c r="AX22" s="637" t="str">
        <f>'Sprachen &amp; Rückgabewerte(3)'!H157</f>
        <v>B2B-Login Projektnr:</v>
      </c>
      <c r="AY22" s="637"/>
      <c r="AZ22" s="637"/>
      <c r="BA22" s="637"/>
      <c r="BB22" s="241"/>
    </row>
    <row r="23" spans="1:54" ht="9.9499999999999993" customHeight="1" x14ac:dyDescent="0.2">
      <c r="B23" s="59"/>
      <c r="C23" s="59"/>
      <c r="D23" s="60"/>
      <c r="E23" s="593"/>
      <c r="F23" s="593"/>
      <c r="G23" s="593"/>
      <c r="H23" s="593"/>
      <c r="I23" s="593"/>
      <c r="J23" s="593"/>
      <c r="K23" s="593"/>
      <c r="L23" s="593"/>
      <c r="M23" s="593"/>
      <c r="N23" s="593"/>
      <c r="O23" s="593"/>
      <c r="P23" s="593"/>
      <c r="Q23" s="593"/>
      <c r="R23" s="593"/>
      <c r="S23" s="593"/>
      <c r="T23" s="593"/>
      <c r="U23" s="593"/>
      <c r="V23" s="593"/>
      <c r="W23" s="593"/>
      <c r="X23" s="593"/>
      <c r="Y23" s="593"/>
      <c r="Z23" s="593"/>
      <c r="AA23" s="593"/>
      <c r="AB23" s="593"/>
      <c r="AC23" s="593"/>
      <c r="AD23" s="593"/>
      <c r="AE23" s="593"/>
      <c r="AF23" s="593"/>
      <c r="AG23" s="593"/>
      <c r="AH23" s="593"/>
      <c r="AI23" s="593"/>
      <c r="AJ23" s="593"/>
      <c r="AK23" s="593"/>
      <c r="AL23" s="593"/>
      <c r="AM23" s="593"/>
      <c r="AN23" s="593"/>
      <c r="AO23" s="593"/>
      <c r="AP23" s="593"/>
      <c r="AQ23" s="593"/>
      <c r="AR23" s="593"/>
      <c r="AS23" s="66"/>
      <c r="AT23" s="114"/>
      <c r="AU23" s="114"/>
      <c r="AW23" s="242"/>
      <c r="AX23" s="638"/>
      <c r="AY23" s="638"/>
      <c r="AZ23" s="638"/>
      <c r="BA23" s="638"/>
      <c r="BB23" s="244"/>
    </row>
    <row r="24" spans="1:54" ht="9.9499999999999993" customHeight="1" x14ac:dyDescent="0.2">
      <c r="B24" s="59"/>
      <c r="C24" s="59"/>
      <c r="D24" s="60"/>
      <c r="E24" s="593"/>
      <c r="F24" s="593"/>
      <c r="G24" s="593"/>
      <c r="H24" s="593"/>
      <c r="I24" s="593"/>
      <c r="J24" s="593"/>
      <c r="K24" s="593"/>
      <c r="L24" s="593"/>
      <c r="M24" s="593"/>
      <c r="N24" s="593"/>
      <c r="O24" s="593"/>
      <c r="P24" s="593"/>
      <c r="Q24" s="593"/>
      <c r="R24" s="593"/>
      <c r="S24" s="593"/>
      <c r="T24" s="593"/>
      <c r="U24" s="593"/>
      <c r="V24" s="593"/>
      <c r="W24" s="593"/>
      <c r="X24" s="593"/>
      <c r="Y24" s="593"/>
      <c r="Z24" s="593"/>
      <c r="AA24" s="593"/>
      <c r="AB24" s="593"/>
      <c r="AC24" s="593"/>
      <c r="AD24" s="593"/>
      <c r="AE24" s="593"/>
      <c r="AF24" s="593"/>
      <c r="AG24" s="593"/>
      <c r="AH24" s="593"/>
      <c r="AI24" s="593"/>
      <c r="AJ24" s="593"/>
      <c r="AK24" s="593"/>
      <c r="AL24" s="593"/>
      <c r="AM24" s="593"/>
      <c r="AN24" s="593"/>
      <c r="AO24" s="593"/>
      <c r="AP24" s="593"/>
      <c r="AQ24" s="593"/>
      <c r="AR24" s="593"/>
      <c r="AS24" s="66"/>
      <c r="AT24" s="114"/>
      <c r="AU24" s="114"/>
      <c r="AW24" s="242"/>
      <c r="AX24" s="638"/>
      <c r="AY24" s="638"/>
      <c r="AZ24" s="638"/>
      <c r="BA24" s="638"/>
      <c r="BB24" s="244"/>
    </row>
    <row r="25" spans="1:54" ht="9.9499999999999993" customHeight="1" x14ac:dyDescent="0.2">
      <c r="B25" s="59"/>
      <c r="C25" s="59"/>
      <c r="D25" s="60"/>
      <c r="E25" s="593"/>
      <c r="F25" s="593"/>
      <c r="G25" s="593"/>
      <c r="H25" s="593"/>
      <c r="I25" s="593"/>
      <c r="J25" s="593"/>
      <c r="K25" s="593"/>
      <c r="L25" s="593"/>
      <c r="M25" s="593"/>
      <c r="N25" s="593"/>
      <c r="O25" s="593"/>
      <c r="P25" s="593"/>
      <c r="Q25" s="593"/>
      <c r="R25" s="593"/>
      <c r="S25" s="593"/>
      <c r="T25" s="593"/>
      <c r="U25" s="593"/>
      <c r="V25" s="593"/>
      <c r="W25" s="593"/>
      <c r="X25" s="593"/>
      <c r="Y25" s="593"/>
      <c r="Z25" s="593"/>
      <c r="AA25" s="593"/>
      <c r="AB25" s="593"/>
      <c r="AC25" s="593"/>
      <c r="AD25" s="593"/>
      <c r="AE25" s="593"/>
      <c r="AF25" s="593"/>
      <c r="AG25" s="593"/>
      <c r="AH25" s="593"/>
      <c r="AI25" s="593"/>
      <c r="AJ25" s="593"/>
      <c r="AK25" s="593"/>
      <c r="AL25" s="593"/>
      <c r="AM25" s="593"/>
      <c r="AN25" s="593"/>
      <c r="AO25" s="593"/>
      <c r="AP25" s="593"/>
      <c r="AQ25" s="593"/>
      <c r="AR25" s="593"/>
      <c r="AS25" s="66"/>
      <c r="AT25" s="114"/>
      <c r="AU25" s="114"/>
      <c r="AW25" s="242"/>
      <c r="AX25" s="631"/>
      <c r="AY25" s="632"/>
      <c r="AZ25" s="633"/>
      <c r="BA25" s="189"/>
      <c r="BB25" s="244"/>
    </row>
    <row r="26" spans="1:54" ht="9.9499999999999993" customHeight="1" x14ac:dyDescent="0.2">
      <c r="B26" s="59"/>
      <c r="C26" s="59"/>
      <c r="D26" s="60"/>
      <c r="E26" s="593"/>
      <c r="F26" s="593"/>
      <c r="G26" s="593"/>
      <c r="H26" s="593"/>
      <c r="I26" s="593"/>
      <c r="J26" s="593"/>
      <c r="K26" s="593"/>
      <c r="L26" s="593"/>
      <c r="M26" s="593"/>
      <c r="N26" s="593"/>
      <c r="O26" s="593"/>
      <c r="P26" s="593"/>
      <c r="Q26" s="593"/>
      <c r="R26" s="593"/>
      <c r="S26" s="593"/>
      <c r="T26" s="593"/>
      <c r="U26" s="593"/>
      <c r="V26" s="593"/>
      <c r="W26" s="593"/>
      <c r="X26" s="593"/>
      <c r="Y26" s="593"/>
      <c r="Z26" s="593"/>
      <c r="AA26" s="593"/>
      <c r="AB26" s="593"/>
      <c r="AC26" s="593"/>
      <c r="AD26" s="593"/>
      <c r="AE26" s="593"/>
      <c r="AF26" s="593"/>
      <c r="AG26" s="593"/>
      <c r="AH26" s="593"/>
      <c r="AI26" s="593"/>
      <c r="AJ26" s="593"/>
      <c r="AK26" s="593"/>
      <c r="AL26" s="593"/>
      <c r="AM26" s="593"/>
      <c r="AN26" s="593"/>
      <c r="AO26" s="593"/>
      <c r="AP26" s="593"/>
      <c r="AQ26" s="593"/>
      <c r="AR26" s="593"/>
      <c r="AS26" s="66"/>
      <c r="AT26" s="114"/>
      <c r="AU26" s="114"/>
      <c r="AW26" s="242"/>
      <c r="AX26" s="634"/>
      <c r="AY26" s="635"/>
      <c r="AZ26" s="636"/>
      <c r="BA26" s="189"/>
      <c r="BB26" s="244"/>
    </row>
    <row r="27" spans="1:54" ht="15.75" customHeight="1" thickBot="1" x14ac:dyDescent="0.25">
      <c r="B27" s="59"/>
      <c r="C27" s="59"/>
      <c r="D27" s="60"/>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6"/>
      <c r="AT27" s="114"/>
      <c r="AU27" s="114"/>
      <c r="AW27" s="242"/>
      <c r="AX27" s="318"/>
      <c r="AY27" s="189"/>
      <c r="AZ27" s="189"/>
      <c r="BA27" s="189"/>
      <c r="BB27" s="244"/>
    </row>
    <row r="28" spans="1:54" ht="18" customHeight="1" thickBot="1" x14ac:dyDescent="0.25">
      <c r="A28" s="157" t="str">
        <f>IF('Sprachen &amp; Rückgabewerte(3)'!$I$13=TRUE,'Sprachen &amp; Rückgabewerte(3)'!$H$58,"")</f>
        <v/>
      </c>
      <c r="B28" s="227"/>
      <c r="C28" s="59"/>
      <c r="D28" s="83"/>
      <c r="E28" s="594"/>
      <c r="F28" s="595"/>
      <c r="G28" s="595"/>
      <c r="H28" s="596"/>
      <c r="I28" s="594"/>
      <c r="J28" s="595"/>
      <c r="K28" s="595"/>
      <c r="L28" s="596"/>
      <c r="M28" s="594"/>
      <c r="N28" s="595"/>
      <c r="O28" s="595"/>
      <c r="P28" s="596"/>
      <c r="Q28" s="594"/>
      <c r="R28" s="595"/>
      <c r="S28" s="595"/>
      <c r="T28" s="596"/>
      <c r="U28" s="594"/>
      <c r="V28" s="595"/>
      <c r="W28" s="595"/>
      <c r="X28" s="596"/>
      <c r="Y28" s="594"/>
      <c r="Z28" s="595"/>
      <c r="AA28" s="595"/>
      <c r="AB28" s="596"/>
      <c r="AC28" s="594"/>
      <c r="AD28" s="595"/>
      <c r="AE28" s="595"/>
      <c r="AF28" s="596"/>
      <c r="AG28" s="594"/>
      <c r="AH28" s="595"/>
      <c r="AI28" s="595"/>
      <c r="AJ28" s="596"/>
      <c r="AK28" s="594"/>
      <c r="AL28" s="595"/>
      <c r="AM28" s="595"/>
      <c r="AN28" s="596"/>
      <c r="AO28" s="594"/>
      <c r="AP28" s="595"/>
      <c r="AQ28" s="595"/>
      <c r="AR28" s="596"/>
      <c r="AS28" s="67"/>
      <c r="AT28" s="114"/>
      <c r="AU28" s="114"/>
      <c r="AW28" s="258"/>
      <c r="AX28" s="248"/>
      <c r="AY28" s="249"/>
      <c r="AZ28" s="249"/>
      <c r="BA28" s="249"/>
      <c r="BB28" s="250"/>
    </row>
    <row r="29" spans="1:54" ht="7.5" customHeight="1" x14ac:dyDescent="0.2">
      <c r="B29" s="59"/>
      <c r="C29" s="59"/>
      <c r="D29" s="60"/>
      <c r="E29" s="68"/>
      <c r="F29" s="69"/>
      <c r="G29" s="69"/>
      <c r="H29" s="70"/>
      <c r="I29" s="69"/>
      <c r="J29" s="69"/>
      <c r="K29" s="69"/>
      <c r="L29" s="70"/>
      <c r="M29" s="69"/>
      <c r="N29" s="69"/>
      <c r="O29" s="69"/>
      <c r="P29" s="70"/>
      <c r="Q29" s="69"/>
      <c r="R29" s="69"/>
      <c r="S29" s="69"/>
      <c r="T29" s="70"/>
      <c r="U29" s="69"/>
      <c r="V29" s="69"/>
      <c r="W29" s="69"/>
      <c r="X29" s="70"/>
      <c r="Y29" s="69"/>
      <c r="Z29" s="69"/>
      <c r="AA29" s="69"/>
      <c r="AB29" s="70"/>
      <c r="AC29" s="69"/>
      <c r="AD29" s="69"/>
      <c r="AE29" s="69"/>
      <c r="AF29" s="70"/>
      <c r="AG29" s="69"/>
      <c r="AH29" s="69"/>
      <c r="AI29" s="69"/>
      <c r="AJ29" s="70"/>
      <c r="AK29" s="68"/>
      <c r="AL29" s="69"/>
      <c r="AM29" s="69"/>
      <c r="AN29" s="70"/>
      <c r="AO29" s="68"/>
      <c r="AP29" s="69"/>
      <c r="AQ29" s="69"/>
      <c r="AR29" s="70"/>
      <c r="AS29" s="60"/>
      <c r="AT29" s="114"/>
      <c r="AU29" s="114"/>
      <c r="AY29" s="189"/>
      <c r="AZ29" s="189"/>
      <c r="BA29" s="189"/>
    </row>
    <row r="30" spans="1:54" ht="10.5" customHeight="1" x14ac:dyDescent="0.2">
      <c r="B30" s="59"/>
      <c r="C30" s="67"/>
      <c r="D30" s="83"/>
      <c r="E30" s="432"/>
      <c r="F30" s="432"/>
      <c r="G30" s="432"/>
      <c r="H30" s="432"/>
      <c r="I30" s="432"/>
      <c r="J30" s="432"/>
      <c r="K30" s="432"/>
      <c r="L30" s="432"/>
      <c r="M30" s="432"/>
      <c r="N30" s="432"/>
      <c r="O30" s="432"/>
      <c r="P30" s="432"/>
      <c r="Q30" s="432"/>
      <c r="R30" s="432"/>
      <c r="S30" s="432"/>
      <c r="T30" s="432"/>
      <c r="U30" s="432"/>
      <c r="V30" s="432"/>
      <c r="W30" s="432"/>
      <c r="X30" s="432"/>
      <c r="Y30" s="432"/>
      <c r="Z30" s="432"/>
      <c r="AA30" s="432"/>
      <c r="AB30" s="432"/>
      <c r="AC30" s="432"/>
      <c r="AD30" s="432"/>
      <c r="AE30" s="432"/>
      <c r="AF30" s="432"/>
      <c r="AG30" s="432"/>
      <c r="AH30" s="432"/>
      <c r="AI30" s="432"/>
      <c r="AJ30" s="432"/>
      <c r="AK30" s="432"/>
      <c r="AL30" s="432"/>
      <c r="AM30" s="432"/>
      <c r="AN30" s="432"/>
      <c r="AO30" s="432"/>
      <c r="AP30" s="432"/>
      <c r="AQ30" s="432"/>
      <c r="AR30" s="432"/>
      <c r="AS30" s="83"/>
      <c r="AT30" s="115"/>
      <c r="AU30" s="114"/>
      <c r="AW30" s="619" t="str">
        <f>IF('Sprachen &amp; Rückgabewerte(3)'!$I$19=TRUE,'Sprachen &amp; Rückgabewerte(3)'!$H$137,"")</f>
        <v/>
      </c>
      <c r="AX30" s="620"/>
      <c r="AY30" s="620"/>
      <c r="AZ30" s="620"/>
      <c r="BA30" s="621"/>
    </row>
    <row r="31" spans="1:54" ht="11.25" customHeight="1" x14ac:dyDescent="0.2">
      <c r="B31" s="59"/>
      <c r="C31" s="60"/>
      <c r="D31" s="60"/>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0"/>
      <c r="AL31" s="60"/>
      <c r="AM31" s="62"/>
      <c r="AN31" s="60"/>
      <c r="AO31" s="60"/>
      <c r="AP31" s="60"/>
      <c r="AQ31" s="60"/>
      <c r="AR31" s="60"/>
      <c r="AS31" s="60"/>
      <c r="AT31" s="60"/>
      <c r="AU31" s="114"/>
      <c r="AW31" s="622"/>
      <c r="AX31" s="623"/>
      <c r="AY31" s="623"/>
      <c r="AZ31" s="623"/>
      <c r="BA31" s="624"/>
    </row>
    <row r="32" spans="1:54" ht="12.75" customHeight="1" x14ac:dyDescent="0.2">
      <c r="B32" s="59"/>
      <c r="C32" s="111"/>
      <c r="D32" s="81"/>
      <c r="E32" s="81"/>
      <c r="F32" s="81"/>
      <c r="G32" s="81"/>
      <c r="H32" s="81"/>
      <c r="I32" s="81"/>
      <c r="J32" s="81"/>
      <c r="K32" s="81"/>
      <c r="L32" s="81"/>
      <c r="M32" s="81"/>
      <c r="N32" s="81"/>
      <c r="O32" s="81"/>
      <c r="P32" s="81"/>
      <c r="Q32" s="81"/>
      <c r="R32" s="81"/>
      <c r="S32" s="81"/>
      <c r="T32" s="81"/>
      <c r="U32" s="81"/>
      <c r="V32" s="81"/>
      <c r="W32" s="81"/>
      <c r="X32" s="81"/>
      <c r="Y32" s="81"/>
      <c r="Z32" s="81"/>
      <c r="AA32" s="81"/>
      <c r="AB32" s="113"/>
      <c r="AC32" s="60"/>
      <c r="AD32" s="111"/>
      <c r="AE32" s="120" t="str">
        <f>'Sprachen &amp; Rückgabewerte(3)'!$H$134</f>
        <v>Features</v>
      </c>
      <c r="AF32" s="120"/>
      <c r="AG32" s="81"/>
      <c r="AH32" s="81"/>
      <c r="AI32" s="81"/>
      <c r="AJ32" s="81"/>
      <c r="AK32" s="81"/>
      <c r="AL32" s="81"/>
      <c r="AM32" s="138"/>
      <c r="AN32" s="81"/>
      <c r="AO32" s="81"/>
      <c r="AP32" s="81"/>
      <c r="AQ32" s="81"/>
      <c r="AR32" s="81"/>
      <c r="AS32" s="81"/>
      <c r="AT32" s="113"/>
      <c r="AU32" s="204"/>
      <c r="AV32" s="113"/>
      <c r="AW32" s="622"/>
      <c r="AX32" s="623"/>
      <c r="AY32" s="623"/>
      <c r="AZ32" s="623"/>
      <c r="BA32" s="624"/>
    </row>
    <row r="33" spans="2:53" ht="12.75" customHeight="1" x14ac:dyDescent="0.2">
      <c r="B33" s="59"/>
      <c r="C33" s="59"/>
      <c r="D33" s="71"/>
      <c r="E33" s="433"/>
      <c r="F33" s="431" t="str">
        <f>'Sprachen &amp; Rückgabewerte(3)'!$H$13</f>
        <v>Teilung Achsmasse</v>
      </c>
      <c r="G33" s="71"/>
      <c r="H33" s="71"/>
      <c r="I33" s="71"/>
      <c r="J33" s="71"/>
      <c r="K33" s="71"/>
      <c r="L33" s="71"/>
      <c r="M33" s="71"/>
      <c r="N33" s="71"/>
      <c r="O33" s="71"/>
      <c r="P33" s="71"/>
      <c r="Q33" s="71"/>
      <c r="R33" s="71"/>
      <c r="S33" s="71"/>
      <c r="T33" s="71"/>
      <c r="U33" s="71"/>
      <c r="V33" s="71"/>
      <c r="W33" s="71"/>
      <c r="X33" s="71"/>
      <c r="Y33" s="71"/>
      <c r="Z33" s="71"/>
      <c r="AA33" s="71"/>
      <c r="AB33" s="122"/>
      <c r="AC33" s="71"/>
      <c r="AD33" s="121"/>
      <c r="AE33" s="71"/>
      <c r="AH33" s="71"/>
      <c r="AI33" s="71"/>
      <c r="AJ33" s="71"/>
      <c r="AK33" s="71"/>
      <c r="AL33" s="71"/>
      <c r="AM33" s="71"/>
      <c r="AN33" s="433"/>
      <c r="AO33" s="60"/>
      <c r="AQ33" s="71"/>
      <c r="AR33" s="71"/>
      <c r="AS33" s="431"/>
      <c r="AT33" s="114"/>
      <c r="AU33" s="114"/>
      <c r="AW33" s="190" t="str">
        <f>IF(AND(F$10&gt;0,'Sprachen &amp; Rückgabewerte(3)'!$I$19=TRUE),CONCATENATE("Pos. ",'Pos. 3'!$B$2,".1"),"")</f>
        <v/>
      </c>
      <c r="AX33" s="715"/>
      <c r="AY33" s="716"/>
      <c r="AZ33" s="189"/>
      <c r="BA33" s="191"/>
    </row>
    <row r="34" spans="2:53" ht="12.75" customHeight="1" x14ac:dyDescent="0.2">
      <c r="B34" s="59"/>
      <c r="C34" s="59"/>
      <c r="D34" s="71"/>
      <c r="E34" s="433"/>
      <c r="F34" s="72" t="str">
        <f>'Sprachen &amp; Rückgabewerte(3)'!$H$14</f>
        <v>alle Gläser gleiche Breite (Empfehlung)</v>
      </c>
      <c r="G34" s="71"/>
      <c r="H34" s="71"/>
      <c r="I34" s="71"/>
      <c r="J34" s="71"/>
      <c r="K34" s="71"/>
      <c r="L34" s="71"/>
      <c r="M34" s="71"/>
      <c r="N34" s="71"/>
      <c r="O34" s="71"/>
      <c r="P34" s="71"/>
      <c r="Q34" s="71"/>
      <c r="R34" s="71"/>
      <c r="S34" s="71"/>
      <c r="T34" s="71"/>
      <c r="U34" s="71"/>
      <c r="V34" s="71"/>
      <c r="W34" s="71"/>
      <c r="X34" s="71"/>
      <c r="Y34" s="71"/>
      <c r="Z34" s="71"/>
      <c r="AA34" s="71"/>
      <c r="AB34" s="122"/>
      <c r="AC34" s="71"/>
      <c r="AD34" s="121"/>
      <c r="AE34" s="71"/>
      <c r="AF34" s="71" t="str">
        <f>'Sprachen &amp; Rückgabewerte(3)'!$H$15</f>
        <v>Standard</v>
      </c>
      <c r="AH34" s="71"/>
      <c r="AI34" s="71"/>
      <c r="AJ34" s="71"/>
      <c r="AK34" s="71"/>
      <c r="AL34" s="71"/>
      <c r="AM34" s="71"/>
      <c r="AN34" s="433"/>
      <c r="AO34" s="71"/>
      <c r="AP34" s="71"/>
      <c r="AQ34" s="71"/>
      <c r="AR34" s="71"/>
      <c r="AS34" s="431"/>
      <c r="AT34" s="114"/>
      <c r="AU34" s="114"/>
      <c r="AW34" s="190" t="str">
        <f>IF(AND(J10&gt;0,'Sprachen &amp; Rückgabewerte(3)'!$I$19=TRUE),CONCATENATE("Pos. ",'Pos. 3'!$B$2,".2"),"")</f>
        <v/>
      </c>
      <c r="AX34" s="715"/>
      <c r="AY34" s="716"/>
      <c r="AZ34" s="189"/>
      <c r="BA34" s="191"/>
    </row>
    <row r="35" spans="2:53" ht="12.75" customHeight="1" x14ac:dyDescent="0.2">
      <c r="B35" s="59"/>
      <c r="C35" s="59"/>
      <c r="D35" s="71"/>
      <c r="E35" s="71"/>
      <c r="F35" s="71"/>
      <c r="G35" s="71"/>
      <c r="H35" s="71"/>
      <c r="I35" s="71"/>
      <c r="J35" s="71"/>
      <c r="K35" s="71"/>
      <c r="L35" s="71"/>
      <c r="M35" s="71"/>
      <c r="N35" s="71"/>
      <c r="O35" s="71"/>
      <c r="P35" s="71"/>
      <c r="Q35" s="71"/>
      <c r="R35" s="71"/>
      <c r="S35" s="71"/>
      <c r="T35" s="71"/>
      <c r="U35" s="71"/>
      <c r="V35" s="71"/>
      <c r="W35" s="71"/>
      <c r="X35" s="71"/>
      <c r="Y35" s="71"/>
      <c r="Z35" s="71"/>
      <c r="AA35" s="71"/>
      <c r="AB35" s="122"/>
      <c r="AC35" s="71"/>
      <c r="AD35" s="121"/>
      <c r="AE35" s="71"/>
      <c r="AF35" s="71" t="str">
        <f>'Sprachen &amp; Rückgabewerte(3)'!$H$17</f>
        <v>Positionsüberwachung (P)</v>
      </c>
      <c r="AH35" s="71"/>
      <c r="AI35" s="71"/>
      <c r="AJ35" s="71"/>
      <c r="AK35" s="71"/>
      <c r="AL35" s="71"/>
      <c r="AM35" s="71"/>
      <c r="AN35" s="433"/>
      <c r="AO35" s="71"/>
      <c r="AP35" s="71"/>
      <c r="AQ35" s="71"/>
      <c r="AR35" s="71"/>
      <c r="AS35" s="73"/>
      <c r="AT35" s="114"/>
      <c r="AU35" s="114"/>
      <c r="AW35" s="190" t="str">
        <f>IF(AND(N10&gt;0,'Sprachen &amp; Rückgabewerte(3)'!$I$19=TRUE),CONCATENATE("Pos. ",'Pos. 3'!$B$2,".3"),"")</f>
        <v/>
      </c>
      <c r="AX35" s="715"/>
      <c r="AY35" s="716"/>
      <c r="AZ35" s="189"/>
      <c r="BA35" s="191"/>
    </row>
    <row r="36" spans="2:53" ht="12.75" customHeight="1" x14ac:dyDescent="0.2">
      <c r="B36" s="59"/>
      <c r="C36" s="59"/>
      <c r="D36" s="71"/>
      <c r="E36" s="71"/>
      <c r="F36" s="71"/>
      <c r="G36" s="71"/>
      <c r="H36" s="71"/>
      <c r="I36" s="71"/>
      <c r="J36" s="71"/>
      <c r="K36" s="71"/>
      <c r="L36" s="71"/>
      <c r="M36" s="71"/>
      <c r="N36" s="71"/>
      <c r="O36" s="71"/>
      <c r="P36" s="71"/>
      <c r="Q36" s="71"/>
      <c r="R36" s="71"/>
      <c r="S36" s="71"/>
      <c r="T36" s="71"/>
      <c r="U36" s="71"/>
      <c r="V36" s="71"/>
      <c r="W36" s="71"/>
      <c r="X36" s="71"/>
      <c r="Y36" s="71"/>
      <c r="Z36" s="71"/>
      <c r="AA36" s="71"/>
      <c r="AB36" s="122"/>
      <c r="AC36" s="71"/>
      <c r="AD36" s="121"/>
      <c r="AE36" s="71"/>
      <c r="AF36" s="71" t="str">
        <f>'Sprachen &amp; Rückgabewerte(3)'!$H$18</f>
        <v xml:space="preserve">Riegelüberwachung (R) </v>
      </c>
      <c r="AH36" s="71"/>
      <c r="AI36" s="71"/>
      <c r="AJ36" s="71"/>
      <c r="AK36" s="71"/>
      <c r="AL36" s="71"/>
      <c r="AM36" s="71"/>
      <c r="AN36" s="433"/>
      <c r="AO36" s="71"/>
      <c r="AP36" s="71"/>
      <c r="AQ36" s="71"/>
      <c r="AR36" s="71"/>
      <c r="AS36" s="73"/>
      <c r="AT36" s="114"/>
      <c r="AU36" s="114"/>
      <c r="AW36" s="190" t="str">
        <f>IF(AND(R10&gt;0,'Sprachen &amp; Rückgabewerte(3)'!$I$19=TRUE),CONCATENATE("Pos. ",'Pos. 3'!$B$2,".4"),"")</f>
        <v/>
      </c>
      <c r="AX36" s="715"/>
      <c r="AY36" s="716"/>
      <c r="AZ36" s="189"/>
      <c r="BA36" s="191"/>
    </row>
    <row r="37" spans="2:53" ht="12.75" customHeight="1" x14ac:dyDescent="0.2">
      <c r="B37" s="59"/>
      <c r="C37" s="59"/>
      <c r="D37" s="71"/>
      <c r="E37" s="71"/>
      <c r="F37" s="71"/>
      <c r="G37" s="71"/>
      <c r="H37" s="71"/>
      <c r="I37" s="71"/>
      <c r="J37" s="71"/>
      <c r="K37" s="71"/>
      <c r="L37" s="71"/>
      <c r="M37" s="71"/>
      <c r="N37" s="71"/>
      <c r="O37" s="71"/>
      <c r="P37" s="71"/>
      <c r="Q37" s="71"/>
      <c r="R37" s="71"/>
      <c r="S37" s="71"/>
      <c r="T37" s="71"/>
      <c r="U37" s="71"/>
      <c r="V37" s="71"/>
      <c r="W37" s="71"/>
      <c r="X37" s="71"/>
      <c r="Y37" s="71"/>
      <c r="Z37" s="71"/>
      <c r="AA37" s="71"/>
      <c r="AB37" s="122"/>
      <c r="AC37" s="71"/>
      <c r="AD37" s="121"/>
      <c r="AE37" s="71"/>
      <c r="AF37" s="71" t="str">
        <f>'Sprachen &amp; Rückgabewerte(3)'!$H$25</f>
        <v>Pool</v>
      </c>
      <c r="AH37" s="71"/>
      <c r="AI37" s="71"/>
      <c r="AJ37" s="71"/>
      <c r="AK37" s="71"/>
      <c r="AL37" s="71"/>
      <c r="AM37" s="71"/>
      <c r="AN37" s="433"/>
      <c r="AO37" s="71"/>
      <c r="AP37" s="71"/>
      <c r="AQ37" s="71"/>
      <c r="AR37" s="71"/>
      <c r="AS37" s="73"/>
      <c r="AT37" s="114"/>
      <c r="AU37" s="114"/>
      <c r="AW37" s="190" t="str">
        <f>IF(AND(V10&gt;0,'Sprachen &amp; Rückgabewerte(3)'!$I$19=TRUE),CONCATENATE("Pos. ",'Pos. 3'!$B$2,".5"),"")</f>
        <v/>
      </c>
      <c r="AX37" s="715"/>
      <c r="AY37" s="716"/>
      <c r="AZ37" s="189"/>
      <c r="BA37" s="191"/>
    </row>
    <row r="38" spans="2:53" ht="12.75" customHeight="1" x14ac:dyDescent="0.2">
      <c r="B38" s="59"/>
      <c r="C38" s="59"/>
      <c r="D38" s="71"/>
      <c r="E38" s="71"/>
      <c r="F38" s="71"/>
      <c r="G38" s="71"/>
      <c r="H38" s="71"/>
      <c r="I38" s="71"/>
      <c r="J38" s="71"/>
      <c r="K38" s="71"/>
      <c r="L38" s="71"/>
      <c r="M38" s="71"/>
      <c r="N38" s="71"/>
      <c r="O38" s="71"/>
      <c r="P38" s="71"/>
      <c r="Q38" s="71"/>
      <c r="R38" s="71"/>
      <c r="S38" s="71"/>
      <c r="T38" s="71"/>
      <c r="U38" s="71"/>
      <c r="V38" s="71"/>
      <c r="W38" s="71"/>
      <c r="X38" s="71"/>
      <c r="Y38" s="71"/>
      <c r="Z38" s="71"/>
      <c r="AA38" s="71"/>
      <c r="AB38" s="122"/>
      <c r="AC38" s="71"/>
      <c r="AD38" s="121"/>
      <c r="AE38" s="71"/>
      <c r="AF38" s="618" t="str">
        <f>'Sprachen &amp; Rückgabewerte(3)'!$H$20</f>
        <v>Elektrischer Antrieb, Anzahl</v>
      </c>
      <c r="AG38" s="618"/>
      <c r="AH38" s="618"/>
      <c r="AI38" s="618"/>
      <c r="AJ38" s="618"/>
      <c r="AK38" s="618"/>
      <c r="AL38" s="618"/>
      <c r="AM38" s="617">
        <f>IF('Sprachen &amp; Rückgabewerte(3)'!I20=FALSE,0,COUNTIF(F13:AQ19,"E"))</f>
        <v>0</v>
      </c>
      <c r="AN38" s="617"/>
      <c r="AO38" s="71" t="str">
        <f>'Sprachen &amp; Rückgabewerte(3)'!$H$21</f>
        <v>Stk.</v>
      </c>
      <c r="AQ38" s="71"/>
      <c r="AR38" s="71"/>
      <c r="AS38" s="431"/>
      <c r="AT38" s="114"/>
      <c r="AU38" s="114"/>
      <c r="AW38" s="190" t="str">
        <f>IF(AND(Z10&gt;0,'Sprachen &amp; Rückgabewerte(3)'!$I$19=TRUE),CONCATENATE("Pos. ",'Pos. 3'!$B$2,".6"),"")</f>
        <v/>
      </c>
      <c r="AX38" s="715"/>
      <c r="AY38" s="716"/>
      <c r="AZ38" s="60"/>
      <c r="BA38" s="114"/>
    </row>
    <row r="39" spans="2:53" ht="12.75" customHeight="1" x14ac:dyDescent="0.2">
      <c r="B39" s="59"/>
      <c r="C39" s="59"/>
      <c r="D39" s="71"/>
      <c r="E39" s="71"/>
      <c r="F39" s="71"/>
      <c r="G39" s="71"/>
      <c r="H39" s="71"/>
      <c r="I39" s="71"/>
      <c r="J39" s="71"/>
      <c r="K39" s="71"/>
      <c r="L39" s="71"/>
      <c r="M39" s="71"/>
      <c r="N39" s="71"/>
      <c r="O39" s="71"/>
      <c r="P39" s="71"/>
      <c r="Q39" s="71"/>
      <c r="R39" s="71"/>
      <c r="S39" s="71"/>
      <c r="T39" s="71"/>
      <c r="U39" s="71"/>
      <c r="V39" s="71"/>
      <c r="W39" s="71"/>
      <c r="X39" s="71"/>
      <c r="Y39" s="71"/>
      <c r="Z39" s="71"/>
      <c r="AA39" s="71"/>
      <c r="AB39" s="122"/>
      <c r="AC39" s="71"/>
      <c r="AD39" s="121"/>
      <c r="AE39" s="71"/>
      <c r="AF39" s="71" t="str">
        <f>'Sprachen &amp; Rückgabewerte(3)'!$H$22</f>
        <v>geforderte Klassen:</v>
      </c>
      <c r="AH39" s="71"/>
      <c r="AI39" s="71"/>
      <c r="AJ39" s="71"/>
      <c r="AK39" s="71"/>
      <c r="AL39" s="601"/>
      <c r="AM39" s="602"/>
      <c r="AN39" s="602"/>
      <c r="AO39" s="602"/>
      <c r="AP39" s="602"/>
      <c r="AQ39" s="602"/>
      <c r="AR39" s="602"/>
      <c r="AS39" s="603"/>
      <c r="AT39" s="114"/>
      <c r="AU39" s="114"/>
      <c r="AW39" s="190" t="str">
        <f>IF(AND(AD10&gt;0,'Sprachen &amp; Rückgabewerte(3)'!$I$19=TRUE),CONCATENATE("Pos. ",'Pos. 3'!$B$2,".7"),"")</f>
        <v/>
      </c>
      <c r="AX39" s="715"/>
      <c r="AY39" s="716"/>
      <c r="AZ39" s="60"/>
      <c r="BA39" s="114"/>
    </row>
    <row r="40" spans="2:53" ht="12.75" customHeight="1" x14ac:dyDescent="0.2">
      <c r="B40" s="59"/>
      <c r="C40" s="59"/>
      <c r="D40" s="71"/>
      <c r="E40" s="430"/>
      <c r="F40" s="72" t="str">
        <f>'Sprachen &amp; Rückgabewerte(3)'!H30</f>
        <v>nach rechts</v>
      </c>
      <c r="G40" s="71"/>
      <c r="H40" s="71"/>
      <c r="I40" s="71"/>
      <c r="J40" s="71"/>
      <c r="K40" s="71"/>
      <c r="L40" s="71"/>
      <c r="M40" s="71"/>
      <c r="N40" s="74" t="str">
        <f>'Sprachen &amp; Rückgabewerte(3)'!H31</f>
        <v>nach links</v>
      </c>
      <c r="O40" s="430"/>
      <c r="P40" s="74"/>
      <c r="Q40" s="433"/>
      <c r="R40" s="71"/>
      <c r="S40" s="71"/>
      <c r="T40" s="71"/>
      <c r="U40" s="71"/>
      <c r="V40" s="71"/>
      <c r="W40" s="71"/>
      <c r="X40" s="71"/>
      <c r="Y40" s="71"/>
      <c r="Z40" s="597" t="s">
        <v>179</v>
      </c>
      <c r="AA40" s="71"/>
      <c r="AB40" s="122"/>
      <c r="AC40" s="71"/>
      <c r="AD40" s="123"/>
      <c r="AE40" s="124"/>
      <c r="AF40" s="124"/>
      <c r="AG40" s="604"/>
      <c r="AH40" s="604"/>
      <c r="AI40" s="604"/>
      <c r="AJ40" s="604"/>
      <c r="AK40" s="604"/>
      <c r="AL40" s="604"/>
      <c r="AM40" s="604"/>
      <c r="AN40" s="604"/>
      <c r="AO40" s="604"/>
      <c r="AP40" s="604"/>
      <c r="AQ40" s="604"/>
      <c r="AR40" s="604"/>
      <c r="AS40" s="124"/>
      <c r="AT40" s="115"/>
      <c r="AU40" s="114"/>
      <c r="AW40" s="190" t="str">
        <f>IF(AND(AH10&gt;0,'Sprachen &amp; Rückgabewerte(3)'!$I$19=TRUE),CONCATENATE("Pos. ",'Pos. 3'!$B$2,".8"),"")</f>
        <v/>
      </c>
      <c r="AX40" s="715"/>
      <c r="AY40" s="716"/>
      <c r="AZ40" s="60"/>
      <c r="BA40" s="114"/>
    </row>
    <row r="41" spans="2:53" ht="12.75" customHeight="1" x14ac:dyDescent="0.2">
      <c r="B41" s="59"/>
      <c r="C41" s="59"/>
      <c r="D41" s="71"/>
      <c r="E41" s="430"/>
      <c r="F41" s="72"/>
      <c r="G41" s="71"/>
      <c r="H41" s="71"/>
      <c r="I41" s="71"/>
      <c r="J41" s="71"/>
      <c r="K41" s="71"/>
      <c r="L41" s="71"/>
      <c r="M41" s="71"/>
      <c r="N41" s="74"/>
      <c r="O41" s="430"/>
      <c r="P41" s="74"/>
      <c r="Q41" s="433"/>
      <c r="R41" s="71"/>
      <c r="S41" s="71"/>
      <c r="T41" s="71"/>
      <c r="U41" s="71"/>
      <c r="V41" s="71"/>
      <c r="W41" s="71"/>
      <c r="X41" s="71"/>
      <c r="Y41" s="71"/>
      <c r="Z41" s="598"/>
      <c r="AA41" s="71"/>
      <c r="AB41" s="122"/>
      <c r="AC41" s="71"/>
      <c r="AD41" s="71"/>
      <c r="AE41" s="71"/>
      <c r="AF41" s="71"/>
      <c r="AG41" s="75"/>
      <c r="AH41" s="75"/>
      <c r="AI41" s="75"/>
      <c r="AJ41" s="75"/>
      <c r="AK41" s="75"/>
      <c r="AL41" s="75"/>
      <c r="AM41" s="75"/>
      <c r="AN41" s="75"/>
      <c r="AO41" s="75"/>
      <c r="AP41" s="75"/>
      <c r="AQ41" s="75"/>
      <c r="AR41" s="75"/>
      <c r="AS41" s="71"/>
      <c r="AT41" s="60"/>
      <c r="AU41" s="114"/>
      <c r="AW41" s="190" t="str">
        <f>IF(AND(AL10&gt;0,'Sprachen &amp; Rückgabewerte(3)'!$I$19=TRUE),CONCATENATE("Pos. ",'Pos. 3'!$B$2,".9"),"")</f>
        <v/>
      </c>
      <c r="AX41" s="715"/>
      <c r="AY41" s="716"/>
      <c r="AZ41" s="60"/>
      <c r="BA41" s="114"/>
    </row>
    <row r="42" spans="2:53" ht="12.75" customHeight="1" x14ac:dyDescent="0.2">
      <c r="B42" s="59"/>
      <c r="C42" s="59"/>
      <c r="D42" s="71"/>
      <c r="E42" s="71"/>
      <c r="F42" s="71"/>
      <c r="G42" s="71"/>
      <c r="H42" s="71"/>
      <c r="I42" s="71"/>
      <c r="J42" s="71"/>
      <c r="K42" s="71"/>
      <c r="L42" s="71"/>
      <c r="M42" s="71"/>
      <c r="N42" s="71"/>
      <c r="O42" s="71"/>
      <c r="P42" s="71"/>
      <c r="Q42" s="71"/>
      <c r="R42" s="71"/>
      <c r="S42" s="71"/>
      <c r="T42" s="71"/>
      <c r="U42" s="71"/>
      <c r="V42" s="71"/>
      <c r="W42" s="71"/>
      <c r="X42" s="71"/>
      <c r="Y42" s="71"/>
      <c r="Z42" s="590"/>
      <c r="AA42" s="71"/>
      <c r="AB42" s="122"/>
      <c r="AC42" s="76"/>
      <c r="AD42" s="118"/>
      <c r="AE42" s="120" t="str">
        <f>'Sprachen &amp; Rückgabewerte(3)'!$H$35</f>
        <v>Oberfläche:</v>
      </c>
      <c r="AF42" s="120"/>
      <c r="AG42" s="119"/>
      <c r="AH42" s="119"/>
      <c r="AI42" s="119"/>
      <c r="AJ42" s="119"/>
      <c r="AK42" s="119"/>
      <c r="AL42" s="119"/>
      <c r="AM42" s="139"/>
      <c r="AN42" s="119"/>
      <c r="AO42" s="119"/>
      <c r="AP42" s="119"/>
      <c r="AQ42" s="119"/>
      <c r="AR42" s="119"/>
      <c r="AS42" s="119"/>
      <c r="AT42" s="113"/>
      <c r="AU42" s="114"/>
      <c r="AW42" s="190" t="str">
        <f>IF(AND(AP10&gt;0,'Sprachen &amp; Rückgabewerte(3)'!$I$19=TRUE),CONCATENATE("Pos. ",'Pos. 3'!$B$2,".10"),"")</f>
        <v/>
      </c>
      <c r="AX42" s="715"/>
      <c r="AY42" s="716"/>
      <c r="AZ42" s="60"/>
      <c r="BA42" s="114"/>
    </row>
    <row r="43" spans="2:53" ht="12.75" customHeight="1" x14ac:dyDescent="0.2">
      <c r="B43" s="59"/>
      <c r="C43" s="59"/>
      <c r="D43" s="71"/>
      <c r="E43" s="71"/>
      <c r="F43" s="71"/>
      <c r="G43" s="71"/>
      <c r="H43" s="71"/>
      <c r="I43" s="71"/>
      <c r="J43" s="71"/>
      <c r="K43" s="71"/>
      <c r="L43" s="71"/>
      <c r="M43" s="71"/>
      <c r="N43" s="71"/>
      <c r="O43" s="71"/>
      <c r="P43" s="71"/>
      <c r="Q43" s="71"/>
      <c r="R43" s="71"/>
      <c r="S43" s="71"/>
      <c r="T43" s="71"/>
      <c r="U43" s="71"/>
      <c r="V43" s="71"/>
      <c r="W43" s="71"/>
      <c r="X43" s="71"/>
      <c r="Y43" s="71"/>
      <c r="Z43" s="591"/>
      <c r="AA43" s="71"/>
      <c r="AB43" s="122"/>
      <c r="AC43" s="76"/>
      <c r="AD43" s="121"/>
      <c r="AE43" s="71"/>
      <c r="AF43" s="180" t="str">
        <f>'Sprachen &amp; Rückgabewerte(3)'!H36</f>
        <v>eloxiert (Qualanod):</v>
      </c>
      <c r="AG43" s="71"/>
      <c r="AH43" s="71"/>
      <c r="AI43" s="71"/>
      <c r="AJ43" s="71"/>
      <c r="AK43" s="71"/>
      <c r="AL43" s="71"/>
      <c r="AM43" s="561"/>
      <c r="AN43" s="561"/>
      <c r="AO43" s="561"/>
      <c r="AP43" s="561"/>
      <c r="AQ43" s="561"/>
      <c r="AR43" s="561"/>
      <c r="AS43" s="561"/>
      <c r="AT43" s="114"/>
      <c r="AU43" s="114"/>
      <c r="AW43" s="205">
        <f>COUNTBLANK(AW33:AW42)</f>
        <v>10</v>
      </c>
      <c r="AX43" s="206">
        <f>COUNTBLANK(AX33:AX42)</f>
        <v>10</v>
      </c>
      <c r="AY43" s="206">
        <f>AW43-AX43</f>
        <v>0</v>
      </c>
      <c r="AZ43" s="83"/>
      <c r="BA43" s="115"/>
    </row>
    <row r="44" spans="2:53" ht="12.75" customHeight="1" x14ac:dyDescent="0.2">
      <c r="B44" s="59"/>
      <c r="C44" s="59"/>
      <c r="D44" s="71"/>
      <c r="E44" s="71"/>
      <c r="F44" s="71"/>
      <c r="G44" s="71"/>
      <c r="H44" s="71"/>
      <c r="I44" s="71"/>
      <c r="J44" s="71"/>
      <c r="K44" s="71"/>
      <c r="L44" s="71"/>
      <c r="M44" s="71"/>
      <c r="N44" s="71"/>
      <c r="O44" s="71"/>
      <c r="P44" s="686" t="str">
        <f>'Sprachen &amp; Rückgabewerte(3)'!$H$33</f>
        <v>Griffhöhe:</v>
      </c>
      <c r="Q44" s="686"/>
      <c r="R44" s="686"/>
      <c r="S44" s="686"/>
      <c r="T44" s="71"/>
      <c r="U44" s="71"/>
      <c r="V44" s="71"/>
      <c r="W44" s="71"/>
      <c r="X44" s="71"/>
      <c r="Y44" s="71"/>
      <c r="Z44" s="591"/>
      <c r="AA44" s="71"/>
      <c r="AB44" s="122"/>
      <c r="AC44" s="76"/>
      <c r="AD44" s="121"/>
      <c r="AE44" s="71"/>
      <c r="AF44" s="433"/>
      <c r="AG44" s="72"/>
      <c r="AH44" s="71"/>
      <c r="AI44" s="71"/>
      <c r="AJ44" s="71"/>
      <c r="AK44" s="71"/>
      <c r="AL44" s="71"/>
      <c r="AM44" s="431"/>
      <c r="AN44" s="433"/>
      <c r="AO44" s="570"/>
      <c r="AP44" s="570"/>
      <c r="AQ44" s="570"/>
      <c r="AR44" s="570"/>
      <c r="AS44" s="570"/>
      <c r="AT44" s="114"/>
      <c r="AU44" s="114"/>
    </row>
    <row r="45" spans="2:53" ht="12.75" customHeight="1" x14ac:dyDescent="0.2">
      <c r="B45" s="59"/>
      <c r="C45" s="59"/>
      <c r="D45" s="71"/>
      <c r="E45" s="71"/>
      <c r="F45" s="71"/>
      <c r="G45" s="71"/>
      <c r="H45" s="71"/>
      <c r="I45" s="71"/>
      <c r="J45" s="71"/>
      <c r="K45" s="71"/>
      <c r="L45" s="71"/>
      <c r="M45" s="71"/>
      <c r="N45" s="71"/>
      <c r="O45" s="71"/>
      <c r="P45" s="686"/>
      <c r="Q45" s="686"/>
      <c r="R45" s="686"/>
      <c r="S45" s="686"/>
      <c r="T45" s="692"/>
      <c r="U45" s="693"/>
      <c r="V45" s="72" t="s">
        <v>179</v>
      </c>
      <c r="W45" s="71"/>
      <c r="X45" s="71"/>
      <c r="Y45" s="71"/>
      <c r="Z45" s="592"/>
      <c r="AA45" s="71"/>
      <c r="AB45" s="122"/>
      <c r="AC45" s="76"/>
      <c r="AD45" s="121"/>
      <c r="AE45" s="71"/>
      <c r="AF45" s="431" t="str">
        <f>'Sprachen &amp; Rückgabewerte(3)'!$H$39</f>
        <v>pulverbeschichtet:</v>
      </c>
      <c r="AG45" s="152"/>
      <c r="AH45" s="152"/>
      <c r="AI45" s="152"/>
      <c r="AJ45" s="152"/>
      <c r="AK45" s="152"/>
      <c r="AL45" s="152"/>
      <c r="AM45" s="614"/>
      <c r="AN45" s="615"/>
      <c r="AO45" s="615"/>
      <c r="AP45" s="615"/>
      <c r="AQ45" s="615"/>
      <c r="AR45" s="615"/>
      <c r="AS45" s="616"/>
      <c r="AT45" s="114"/>
      <c r="AU45" s="204"/>
      <c r="AV45" s="113"/>
      <c r="AW45" s="111"/>
      <c r="AX45" s="113"/>
    </row>
    <row r="46" spans="2:53" ht="12.75" customHeight="1" x14ac:dyDescent="0.2">
      <c r="B46" s="59"/>
      <c r="C46" s="59"/>
      <c r="D46" s="71"/>
      <c r="E46" s="71"/>
      <c r="F46" s="71"/>
      <c r="G46" s="71"/>
      <c r="H46" s="71"/>
      <c r="I46" s="681"/>
      <c r="J46" s="681"/>
      <c r="K46" s="681"/>
      <c r="L46" s="163" t="s">
        <v>193</v>
      </c>
      <c r="M46" s="71"/>
      <c r="N46" s="71"/>
      <c r="O46" s="71"/>
      <c r="P46" s="71"/>
      <c r="Q46" s="71"/>
      <c r="R46" s="71"/>
      <c r="S46" s="71"/>
      <c r="T46" s="71"/>
      <c r="U46" s="71"/>
      <c r="V46" s="71"/>
      <c r="W46" s="71"/>
      <c r="X46" s="71"/>
      <c r="Y46" s="71"/>
      <c r="Z46" s="690" t="str">
        <f>'Sprachen &amp; Rückgabewerte(3)'!$H$34</f>
        <v xml:space="preserve">Höhe = </v>
      </c>
      <c r="AA46" s="71"/>
      <c r="AB46" s="122"/>
      <c r="AC46" s="76"/>
      <c r="AD46" s="121"/>
      <c r="AE46" s="71"/>
      <c r="AF46" s="431" t="str">
        <f>'Sprachen &amp; Rückgabewerte(3)'!$H$40</f>
        <v>Vorbehandlung:</v>
      </c>
      <c r="AG46" s="431"/>
      <c r="AH46" s="71"/>
      <c r="AI46" s="71"/>
      <c r="AJ46" s="71"/>
      <c r="AK46" s="71"/>
      <c r="AL46" s="71"/>
      <c r="AM46" s="611"/>
      <c r="AN46" s="612"/>
      <c r="AO46" s="612"/>
      <c r="AP46" s="612"/>
      <c r="AQ46" s="612"/>
      <c r="AR46" s="612"/>
      <c r="AS46" s="613"/>
      <c r="AT46" s="114"/>
      <c r="AU46" s="114"/>
      <c r="AW46" s="236" t="str">
        <f>'Sprachen &amp; Rückgabewerte(3)'!$H$150</f>
        <v>Farbe Panele:</v>
      </c>
      <c r="AX46" s="114"/>
    </row>
    <row r="47" spans="2:53" ht="12.75" customHeight="1" x14ac:dyDescent="0.2">
      <c r="B47" s="59"/>
      <c r="C47" s="59"/>
      <c r="D47" s="71"/>
      <c r="E47" s="71"/>
      <c r="F47" s="71"/>
      <c r="G47" s="71"/>
      <c r="H47" s="71"/>
      <c r="I47" s="681"/>
      <c r="J47" s="681"/>
      <c r="K47" s="681"/>
      <c r="L47" s="163" t="s">
        <v>193</v>
      </c>
      <c r="M47" s="71"/>
      <c r="N47" s="71"/>
      <c r="O47" s="430"/>
      <c r="P47" s="71"/>
      <c r="Q47" s="71"/>
      <c r="R47" s="71"/>
      <c r="S47" s="71"/>
      <c r="T47" s="71"/>
      <c r="U47" s="71"/>
      <c r="V47" s="71"/>
      <c r="W47" s="71"/>
      <c r="X47" s="71"/>
      <c r="Y47" s="71"/>
      <c r="Z47" s="691"/>
      <c r="AA47" s="430"/>
      <c r="AB47" s="122"/>
      <c r="AC47" s="77"/>
      <c r="AD47" s="121"/>
      <c r="AE47" s="71"/>
      <c r="AF47" s="431" t="str">
        <f>'Sprachen &amp; Rückgabewerte(3)'!$H$176</f>
        <v>Pulverlack Klasse:</v>
      </c>
      <c r="AG47" s="71"/>
      <c r="AH47" s="71"/>
      <c r="AI47" s="71"/>
      <c r="AJ47" s="71"/>
      <c r="AK47" s="71"/>
      <c r="AL47" s="71"/>
      <c r="AM47" s="607"/>
      <c r="AN47" s="608"/>
      <c r="AO47" s="608"/>
      <c r="AP47" s="608"/>
      <c r="AQ47" s="608"/>
      <c r="AR47" s="608"/>
      <c r="AS47" s="609"/>
      <c r="AT47" s="114"/>
      <c r="AU47" s="114"/>
      <c r="AW47" s="59"/>
      <c r="AX47" s="114"/>
    </row>
    <row r="48" spans="2:53" ht="12.75" customHeight="1" x14ac:dyDescent="0.2">
      <c r="B48" s="59"/>
      <c r="C48" s="59"/>
      <c r="D48" s="71"/>
      <c r="E48" s="71"/>
      <c r="F48" s="71"/>
      <c r="G48" s="71"/>
      <c r="H48" s="71"/>
      <c r="I48" s="685"/>
      <c r="J48" s="685"/>
      <c r="K48" s="685"/>
      <c r="L48" s="163" t="s">
        <v>193</v>
      </c>
      <c r="M48" s="71"/>
      <c r="N48" s="71"/>
      <c r="O48" s="430"/>
      <c r="P48" s="71"/>
      <c r="Q48" s="71"/>
      <c r="R48" s="71"/>
      <c r="S48" s="71"/>
      <c r="T48" s="71"/>
      <c r="U48" s="71"/>
      <c r="V48" s="71"/>
      <c r="W48" s="71"/>
      <c r="X48" s="71"/>
      <c r="Y48" s="71"/>
      <c r="Z48" s="691"/>
      <c r="AA48" s="430"/>
      <c r="AB48" s="122"/>
      <c r="AC48" s="77"/>
      <c r="AD48" s="121"/>
      <c r="AE48" s="71"/>
      <c r="AF48" s="605" t="str">
        <f>'Sprachen &amp; Rückgabewerte(3)'!$H$91</f>
        <v>Farbe Laufschiene + Schraubenarretierungen:</v>
      </c>
      <c r="AG48" s="605"/>
      <c r="AH48" s="605"/>
      <c r="AI48" s="605"/>
      <c r="AJ48" s="605"/>
      <c r="AK48" s="605"/>
      <c r="AL48" s="605"/>
      <c r="AM48" s="60"/>
      <c r="AN48" s="60"/>
      <c r="AO48" s="431"/>
      <c r="AP48" s="71"/>
      <c r="AQ48" s="71"/>
      <c r="AR48" s="71"/>
      <c r="AS48" s="71"/>
      <c r="AT48" s="114"/>
      <c r="AU48" s="114"/>
      <c r="AW48" s="559"/>
      <c r="AX48" s="560"/>
    </row>
    <row r="49" spans="2:50" ht="12.75" customHeight="1" x14ac:dyDescent="0.2">
      <c r="B49" s="59"/>
      <c r="C49" s="59"/>
      <c r="D49" s="71"/>
      <c r="E49" s="71"/>
      <c r="F49" s="71"/>
      <c r="G49" s="71"/>
      <c r="H49" s="74" t="str">
        <f>'Sprachen &amp; Rückgabewerte(3)'!$H$32</f>
        <v>Breite =</v>
      </c>
      <c r="I49" s="682"/>
      <c r="J49" s="683"/>
      <c r="K49" s="684"/>
      <c r="L49" s="72" t="s">
        <v>179</v>
      </c>
      <c r="M49" s="71"/>
      <c r="N49" s="71"/>
      <c r="O49" s="430"/>
      <c r="P49" s="71"/>
      <c r="Q49" s="71"/>
      <c r="R49" s="71"/>
      <c r="S49" s="71"/>
      <c r="T49" s="71"/>
      <c r="U49" s="71"/>
      <c r="V49" s="71"/>
      <c r="W49" s="71"/>
      <c r="X49" s="71"/>
      <c r="Y49" s="71"/>
      <c r="Z49" s="691"/>
      <c r="AA49" s="430"/>
      <c r="AB49" s="122"/>
      <c r="AC49" s="77"/>
      <c r="AD49" s="121"/>
      <c r="AE49" s="71"/>
      <c r="AF49" s="605"/>
      <c r="AG49" s="605"/>
      <c r="AH49" s="605"/>
      <c r="AI49" s="605"/>
      <c r="AJ49" s="605"/>
      <c r="AK49" s="605"/>
      <c r="AL49" s="605"/>
      <c r="AM49" s="687"/>
      <c r="AN49" s="688"/>
      <c r="AO49" s="688"/>
      <c r="AP49" s="689"/>
      <c r="AQ49" s="71"/>
      <c r="AR49" s="71"/>
      <c r="AS49" s="71"/>
      <c r="AT49" s="114"/>
      <c r="AU49" s="114"/>
      <c r="AW49" s="67"/>
      <c r="AX49" s="115"/>
    </row>
    <row r="50" spans="2:50" ht="12.75" customHeight="1" x14ac:dyDescent="0.2">
      <c r="B50" s="59"/>
      <c r="C50" s="59"/>
      <c r="D50" s="71"/>
      <c r="E50" s="71"/>
      <c r="F50" s="71"/>
      <c r="G50" s="71"/>
      <c r="H50" s="60"/>
      <c r="I50" s="60"/>
      <c r="J50" s="60"/>
      <c r="K50" s="60"/>
      <c r="L50" s="60"/>
      <c r="M50" s="71"/>
      <c r="N50" s="71"/>
      <c r="O50" s="71"/>
      <c r="P50" s="71"/>
      <c r="Q50" s="71"/>
      <c r="R50" s="71"/>
      <c r="S50" s="71"/>
      <c r="T50" s="71"/>
      <c r="U50" s="71"/>
      <c r="V50" s="71"/>
      <c r="W50" s="71"/>
      <c r="X50" s="71"/>
      <c r="Y50" s="71"/>
      <c r="Z50" s="691"/>
      <c r="AA50" s="71"/>
      <c r="AB50" s="122"/>
      <c r="AC50" s="77"/>
      <c r="AD50" s="123"/>
      <c r="AE50" s="124"/>
      <c r="AF50" s="606"/>
      <c r="AG50" s="606"/>
      <c r="AH50" s="606"/>
      <c r="AI50" s="606"/>
      <c r="AJ50" s="606"/>
      <c r="AK50" s="606"/>
      <c r="AL50" s="606"/>
      <c r="AM50" s="140"/>
      <c r="AN50" s="124"/>
      <c r="AO50" s="124"/>
      <c r="AP50" s="124"/>
      <c r="AQ50" s="124"/>
      <c r="AR50" s="124"/>
      <c r="AS50" s="124"/>
      <c r="AT50" s="115"/>
      <c r="AU50" s="114"/>
    </row>
    <row r="51" spans="2:50" ht="12.75" customHeight="1" x14ac:dyDescent="0.2">
      <c r="B51" s="59"/>
      <c r="C51" s="59"/>
      <c r="D51" s="71"/>
      <c r="E51" s="71"/>
      <c r="F51" s="71"/>
      <c r="G51" s="71"/>
      <c r="H51" s="60"/>
      <c r="I51" s="60"/>
      <c r="J51" s="60"/>
      <c r="K51" s="60"/>
      <c r="L51" s="60"/>
      <c r="M51" s="71"/>
      <c r="N51" s="71"/>
      <c r="O51" s="71"/>
      <c r="P51" s="71"/>
      <c r="Q51" s="71"/>
      <c r="R51" s="71"/>
      <c r="S51" s="71"/>
      <c r="T51" s="71"/>
      <c r="U51" s="71"/>
      <c r="V51" s="71"/>
      <c r="W51" s="71"/>
      <c r="X51" s="71"/>
      <c r="Y51" s="71"/>
      <c r="Z51" s="691"/>
      <c r="AA51" s="71"/>
      <c r="AB51" s="122"/>
      <c r="AC51" s="77"/>
      <c r="AD51" s="71"/>
      <c r="AE51" s="71"/>
      <c r="AF51" s="71"/>
      <c r="AG51" s="71"/>
      <c r="AH51" s="71"/>
      <c r="AI51" s="71"/>
      <c r="AJ51" s="71"/>
      <c r="AK51" s="71"/>
      <c r="AL51" s="71"/>
      <c r="AM51" s="431"/>
      <c r="AN51" s="71"/>
      <c r="AO51" s="71"/>
      <c r="AP51" s="71"/>
      <c r="AQ51" s="71"/>
      <c r="AR51" s="71"/>
      <c r="AS51" s="71"/>
      <c r="AT51" s="60"/>
      <c r="AU51" s="114"/>
    </row>
    <row r="52" spans="2:50" ht="12.75" customHeight="1" x14ac:dyDescent="0.2">
      <c r="B52" s="59"/>
      <c r="C52" s="59"/>
      <c r="D52" s="71"/>
      <c r="E52" s="71"/>
      <c r="F52" s="71"/>
      <c r="G52" s="71"/>
      <c r="H52" s="71"/>
      <c r="I52" s="74"/>
      <c r="J52" s="71"/>
      <c r="K52" s="71"/>
      <c r="L52" s="72"/>
      <c r="M52" s="71"/>
      <c r="N52" s="71"/>
      <c r="O52" s="71"/>
      <c r="P52" s="71"/>
      <c r="Q52" s="71"/>
      <c r="R52" s="71"/>
      <c r="S52" s="71"/>
      <c r="T52" s="71"/>
      <c r="U52" s="71"/>
      <c r="V52" s="71"/>
      <c r="W52" s="71"/>
      <c r="X52" s="71"/>
      <c r="Y52" s="71"/>
      <c r="Z52" s="691"/>
      <c r="AA52" s="71"/>
      <c r="AB52" s="122"/>
      <c r="AC52" s="77"/>
      <c r="AD52" s="118"/>
      <c r="AE52" s="120" t="str">
        <f>'Sprachen &amp; Rückgabewerte(3)'!$H$42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59"/>
      <c r="C53" s="59"/>
      <c r="D53" s="71"/>
      <c r="E53" s="71"/>
      <c r="F53" s="71"/>
      <c r="G53" s="71"/>
      <c r="H53" s="60"/>
      <c r="I53" s="60"/>
      <c r="J53" s="60"/>
      <c r="K53" s="60"/>
      <c r="L53" s="71"/>
      <c r="M53" s="72"/>
      <c r="N53" s="71"/>
      <c r="O53" s="71"/>
      <c r="P53" s="71"/>
      <c r="Q53" s="71"/>
      <c r="R53" s="71"/>
      <c r="S53" s="71"/>
      <c r="T53" s="71"/>
      <c r="U53" s="71"/>
      <c r="V53" s="71"/>
      <c r="W53" s="71"/>
      <c r="X53" s="71"/>
      <c r="Y53" s="71"/>
      <c r="Z53" s="691"/>
      <c r="AA53" s="71"/>
      <c r="AB53" s="122"/>
      <c r="AC53" s="77"/>
      <c r="AD53" s="121"/>
      <c r="AE53" s="567"/>
      <c r="AF53" s="568"/>
      <c r="AG53" s="569"/>
      <c r="AH53" s="71" t="str">
        <f>'Sprachen &amp; Rückgabewerte(3)'!$W$1</f>
        <v>Ug=</v>
      </c>
      <c r="AI53" s="610">
        <f>LOOKUP($AE$53,'Sprachen &amp; Rückgabewerte(3)'!$V$3:$V$35,'Sprachen &amp; Rückgabewerte(3)'!W3:W35)</f>
        <v>0</v>
      </c>
      <c r="AJ53" s="610"/>
      <c r="AK53" s="694" t="str">
        <f>'Sprachen &amp; Rückgabewerte(3)'!$X$1</f>
        <v>Lt=</v>
      </c>
      <c r="AL53" s="694"/>
      <c r="AM53" s="695">
        <f>LOOKUP(AE53,'Sprachen &amp; Rückgabewerte(3)'!V3:V35,'Sprachen &amp; Rückgabewerte(3)'!X3:X35)</f>
        <v>0</v>
      </c>
      <c r="AN53" s="695"/>
      <c r="AO53" s="210" t="str">
        <f>'Sprachen &amp; Rückgabewerte(3)'!$Y$1</f>
        <v>g=</v>
      </c>
      <c r="AP53" s="695">
        <f>LOOKUP(AE53,'Sprachen &amp; Rückgabewerte(3)'!V3:V35,'Sprachen &amp; Rückgabewerte(3)'!Y3:Y35)</f>
        <v>0</v>
      </c>
      <c r="AQ53" s="695"/>
      <c r="AR53" s="71"/>
      <c r="AS53" s="71"/>
      <c r="AT53" s="114"/>
      <c r="AU53" s="114"/>
    </row>
    <row r="54" spans="2:50" ht="12.75" customHeight="1" x14ac:dyDescent="0.2">
      <c r="B54" s="59"/>
      <c r="C54" s="59"/>
      <c r="D54" s="71"/>
      <c r="E54" s="71"/>
      <c r="F54" s="71"/>
      <c r="G54" s="71"/>
      <c r="H54" s="71"/>
      <c r="I54" s="71"/>
      <c r="J54" s="71"/>
      <c r="K54" s="71"/>
      <c r="L54" s="71"/>
      <c r="M54" s="71"/>
      <c r="N54" s="71"/>
      <c r="O54" s="71"/>
      <c r="P54" s="71"/>
      <c r="Q54" s="71"/>
      <c r="R54" s="71"/>
      <c r="S54" s="71"/>
      <c r="T54" s="71"/>
      <c r="U54" s="71"/>
      <c r="V54" s="71"/>
      <c r="W54" s="71"/>
      <c r="X54" s="71"/>
      <c r="Y54" s="71"/>
      <c r="Z54" s="691"/>
      <c r="AA54" s="71"/>
      <c r="AB54" s="122"/>
      <c r="AC54" s="71"/>
      <c r="AD54" s="121"/>
      <c r="AE54" s="71"/>
      <c r="AF54" s="71"/>
      <c r="AG54" s="71"/>
      <c r="AH54" s="72" t="str">
        <f>IF(AT52=1,'Sprachen &amp; Rückgabewerte(3)'!H158,LOOKUP(AE53,'Sprachen &amp; Rückgabewerte(3)'!V3:V35,'Sprachen &amp; Rückgabewerte(3)'!Z3:Z35))</f>
        <v>Glastyp wählen</v>
      </c>
      <c r="AI54" s="71"/>
      <c r="AJ54" s="71"/>
      <c r="AK54" s="71"/>
      <c r="AL54" s="71"/>
      <c r="AM54" s="431"/>
      <c r="AN54" s="78"/>
      <c r="AO54" s="78"/>
      <c r="AP54" s="71"/>
      <c r="AQ54" s="71"/>
      <c r="AR54" s="71"/>
      <c r="AS54" s="71"/>
      <c r="AT54" s="114"/>
      <c r="AU54" s="114"/>
    </row>
    <row r="55" spans="2:50" ht="12.75" customHeight="1" x14ac:dyDescent="0.2">
      <c r="B55" s="59"/>
      <c r="C55" s="59"/>
      <c r="D55" s="71"/>
      <c r="E55" s="71"/>
      <c r="F55" s="71"/>
      <c r="G55" s="71"/>
      <c r="H55" s="71"/>
      <c r="I55" s="71"/>
      <c r="J55" s="71"/>
      <c r="K55" s="71"/>
      <c r="L55" s="71"/>
      <c r="M55" s="71"/>
      <c r="N55" s="71"/>
      <c r="O55" s="71"/>
      <c r="P55" s="71"/>
      <c r="Q55" s="71"/>
      <c r="R55" s="71"/>
      <c r="S55" s="71"/>
      <c r="T55" s="71"/>
      <c r="U55" s="71"/>
      <c r="V55" s="71"/>
      <c r="W55" s="71"/>
      <c r="X55" s="71"/>
      <c r="Y55" s="71"/>
      <c r="Z55" s="71"/>
      <c r="AA55" s="71"/>
      <c r="AB55" s="122"/>
      <c r="AC55" s="71"/>
      <c r="AD55" s="121"/>
      <c r="AE55" s="210"/>
      <c r="AF55" s="210"/>
      <c r="AG55" s="210"/>
      <c r="AH55" s="210"/>
      <c r="AI55" s="210"/>
      <c r="AJ55" s="210"/>
      <c r="AK55" s="210"/>
      <c r="AL55" s="210"/>
      <c r="AM55" s="210"/>
      <c r="AN55" s="210"/>
      <c r="AO55" s="328"/>
      <c r="AP55" s="328"/>
      <c r="AQ55" s="71"/>
      <c r="AR55" s="79"/>
      <c r="AS55" s="71"/>
      <c r="AT55" s="114"/>
      <c r="AU55" s="114"/>
    </row>
    <row r="56" spans="2:50" ht="12.75" customHeight="1" x14ac:dyDescent="0.2">
      <c r="B56" s="59"/>
      <c r="C56" s="59"/>
      <c r="D56" s="71"/>
      <c r="E56" s="71"/>
      <c r="F56" s="71"/>
      <c r="G56" s="71"/>
      <c r="H56" s="71"/>
      <c r="I56" s="71"/>
      <c r="J56" s="71"/>
      <c r="K56" s="71"/>
      <c r="L56" s="71"/>
      <c r="M56" s="71"/>
      <c r="N56" s="71"/>
      <c r="O56" s="71"/>
      <c r="P56" s="71"/>
      <c r="Q56" s="71"/>
      <c r="R56" s="71"/>
      <c r="S56" s="71"/>
      <c r="T56" s="71"/>
      <c r="U56" s="71"/>
      <c r="V56" s="71"/>
      <c r="W56" s="71"/>
      <c r="X56" s="71"/>
      <c r="Y56" s="71"/>
      <c r="Z56" s="71"/>
      <c r="AA56" s="71"/>
      <c r="AB56" s="122"/>
      <c r="AC56" s="71"/>
      <c r="AD56" s="121"/>
      <c r="AE56" s="71"/>
      <c r="AF56" s="132"/>
      <c r="AG56" s="71"/>
      <c r="AH56" s="71"/>
      <c r="AI56" s="71"/>
      <c r="AJ56" s="71"/>
      <c r="AK56" s="71"/>
      <c r="AL56" s="71"/>
      <c r="AM56" s="71"/>
      <c r="AN56" s="132"/>
      <c r="AQ56" s="71"/>
      <c r="AS56" s="79"/>
      <c r="AT56" s="114"/>
      <c r="AU56" s="114"/>
    </row>
    <row r="57" spans="2:50" ht="12.75" customHeight="1" x14ac:dyDescent="0.2">
      <c r="B57" s="59"/>
      <c r="C57" s="59"/>
      <c r="D57" s="71"/>
      <c r="E57" s="71"/>
      <c r="F57" s="71"/>
      <c r="G57" s="71"/>
      <c r="H57" s="71"/>
      <c r="I57" s="71"/>
      <c r="J57" s="71"/>
      <c r="K57" s="71"/>
      <c r="L57" s="71"/>
      <c r="M57" s="71"/>
      <c r="N57" s="71"/>
      <c r="O57" s="71"/>
      <c r="P57" s="71"/>
      <c r="Q57" s="71"/>
      <c r="R57" s="71"/>
      <c r="S57" s="71"/>
      <c r="T57" s="71"/>
      <c r="U57" s="71"/>
      <c r="V57" s="71"/>
      <c r="W57" s="71"/>
      <c r="X57" s="71"/>
      <c r="Y57" s="71"/>
      <c r="Z57" s="71"/>
      <c r="AA57" s="71"/>
      <c r="AB57" s="122"/>
      <c r="AC57" s="71"/>
      <c r="AD57" s="121"/>
      <c r="AE57" s="71"/>
      <c r="AF57" s="132" t="str">
        <f>'Sprachen &amp; Rückgabewerte(3)'!$H$45</f>
        <v>Speziell:</v>
      </c>
      <c r="AG57" s="71"/>
      <c r="AH57" s="71"/>
      <c r="AI57" s="577"/>
      <c r="AJ57" s="578"/>
      <c r="AK57" s="578"/>
      <c r="AL57" s="578"/>
      <c r="AM57" s="578"/>
      <c r="AN57" s="578"/>
      <c r="AO57" s="578"/>
      <c r="AP57" s="578"/>
      <c r="AQ57" s="578"/>
      <c r="AR57" s="578"/>
      <c r="AS57" s="579"/>
      <c r="AT57" s="114"/>
      <c r="AU57" s="114"/>
    </row>
    <row r="58" spans="2:50" ht="12.75" customHeight="1" x14ac:dyDescent="0.2">
      <c r="B58" s="59"/>
      <c r="C58" s="59"/>
      <c r="D58" s="71"/>
      <c r="E58" s="71"/>
      <c r="F58" s="71"/>
      <c r="G58" s="71"/>
      <c r="H58" s="71"/>
      <c r="I58" s="74"/>
      <c r="J58" s="72"/>
      <c r="K58" s="72"/>
      <c r="L58" s="72"/>
      <c r="M58" s="72"/>
      <c r="N58" s="72"/>
      <c r="O58" s="71"/>
      <c r="P58" s="71"/>
      <c r="Q58" s="71"/>
      <c r="R58" s="71"/>
      <c r="S58" s="71"/>
      <c r="T58" s="71"/>
      <c r="U58" s="71"/>
      <c r="V58" s="71"/>
      <c r="W58" s="71"/>
      <c r="X58" s="71"/>
      <c r="Y58" s="71"/>
      <c r="Z58" s="71"/>
      <c r="AA58" s="71"/>
      <c r="AB58" s="122"/>
      <c r="AC58" s="71"/>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59"/>
      <c r="C59" s="59"/>
      <c r="D59" s="71"/>
      <c r="E59" s="71"/>
      <c r="F59" s="71"/>
      <c r="G59" s="71"/>
      <c r="H59" s="71"/>
      <c r="I59" s="74"/>
      <c r="J59" s="72"/>
      <c r="K59" s="72"/>
      <c r="L59" s="72"/>
      <c r="M59" s="72"/>
      <c r="N59" s="72"/>
      <c r="O59" s="71"/>
      <c r="P59" s="71"/>
      <c r="Q59" s="71"/>
      <c r="R59" s="71"/>
      <c r="S59" s="71"/>
      <c r="T59" s="71"/>
      <c r="U59" s="71"/>
      <c r="V59" s="71"/>
      <c r="W59" s="71"/>
      <c r="X59" s="71"/>
      <c r="Y59" s="71"/>
      <c r="Z59" s="71"/>
      <c r="AA59" s="71"/>
      <c r="AB59" s="122"/>
      <c r="AC59" s="71"/>
      <c r="AD59" s="71"/>
      <c r="AE59" s="71"/>
      <c r="AF59" s="71"/>
      <c r="AG59" s="71"/>
      <c r="AH59" s="71"/>
      <c r="AI59" s="78"/>
      <c r="AJ59" s="78"/>
      <c r="AK59" s="78"/>
      <c r="AL59" s="78"/>
      <c r="AM59" s="78"/>
      <c r="AN59" s="78"/>
      <c r="AO59" s="78"/>
      <c r="AP59" s="78"/>
      <c r="AQ59" s="78"/>
      <c r="AR59" s="78"/>
      <c r="AS59" s="78"/>
      <c r="AT59" s="60"/>
      <c r="AU59" s="114"/>
    </row>
    <row r="60" spans="2:50" ht="12.75" customHeight="1" x14ac:dyDescent="0.2">
      <c r="B60" s="59"/>
      <c r="C60" s="67"/>
      <c r="D60" s="124"/>
      <c r="E60" s="124"/>
      <c r="F60" s="183" t="str">
        <f>'Sprachen &amp; Rückgabewerte(3)'!$H$110</f>
        <v>KABA (22)</v>
      </c>
      <c r="G60" s="124"/>
      <c r="H60" s="124"/>
      <c r="I60" s="124"/>
      <c r="J60" s="124"/>
      <c r="K60" s="124"/>
      <c r="L60" s="183" t="str">
        <f>'Sprachen &amp; Rückgabewerte(3)'!$H$111</f>
        <v>PZ / Euro (17)</v>
      </c>
      <c r="M60" s="124"/>
      <c r="N60" s="124"/>
      <c r="O60" s="124"/>
      <c r="P60" s="124"/>
      <c r="Q60" s="124"/>
      <c r="R60" s="124"/>
      <c r="S60" s="124"/>
      <c r="T60" s="124"/>
      <c r="U60" s="124"/>
      <c r="V60" s="124"/>
      <c r="W60" s="124"/>
      <c r="X60" s="124"/>
      <c r="Y60" s="124"/>
      <c r="Z60" s="124"/>
      <c r="AA60" s="154"/>
      <c r="AB60" s="125"/>
      <c r="AC60" s="71"/>
      <c r="AD60" s="118"/>
      <c r="AE60" s="120" t="str">
        <f>'Sprachen &amp; Rückgabewerte(3)'!$H$64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59"/>
      <c r="C61" s="60"/>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121"/>
      <c r="AE61" s="71"/>
      <c r="AF61" s="80"/>
      <c r="AG61" s="71"/>
      <c r="AH61" s="71"/>
      <c r="AI61" s="71"/>
      <c r="AJ61" s="71"/>
      <c r="AK61" s="71"/>
      <c r="AL61" s="71"/>
      <c r="AM61" s="431"/>
      <c r="AN61" s="71"/>
      <c r="AO61" s="71"/>
      <c r="AP61" s="71"/>
      <c r="AQ61" s="71"/>
      <c r="AR61" s="71"/>
      <c r="AS61" s="71"/>
      <c r="AT61" s="114"/>
      <c r="AU61" s="114"/>
    </row>
    <row r="62" spans="2:50" ht="12.75" customHeight="1" x14ac:dyDescent="0.2">
      <c r="B62" s="59"/>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33"/>
      <c r="AC62" s="71"/>
      <c r="AD62" s="121"/>
      <c r="AE62" s="71"/>
      <c r="AF62" s="80"/>
      <c r="AG62" s="71"/>
      <c r="AH62" s="71"/>
      <c r="AI62" s="71"/>
      <c r="AJ62" s="71"/>
      <c r="AK62" s="71"/>
      <c r="AL62" s="71"/>
      <c r="AM62" s="431"/>
      <c r="AN62" s="71"/>
      <c r="AO62" s="71"/>
      <c r="AP62" s="71"/>
      <c r="AQ62" s="71"/>
      <c r="AR62" s="71"/>
      <c r="AS62" s="71"/>
      <c r="AT62" s="114"/>
      <c r="AU62" s="114"/>
    </row>
    <row r="63" spans="2:50" ht="12.75" customHeight="1" x14ac:dyDescent="0.2">
      <c r="B63" s="59"/>
      <c r="C63" s="59"/>
      <c r="D63" s="71"/>
      <c r="E63" s="71"/>
      <c r="F63" s="60"/>
      <c r="G63" s="71"/>
      <c r="H63" s="71"/>
      <c r="I63" s="71"/>
      <c r="J63" s="71"/>
      <c r="K63" s="71"/>
      <c r="L63" s="60"/>
      <c r="M63" s="71"/>
      <c r="N63" s="71"/>
      <c r="O63" s="71"/>
      <c r="P63" s="71"/>
      <c r="Q63" s="71"/>
      <c r="R63" s="71"/>
      <c r="S63" s="71"/>
      <c r="T63" s="71"/>
      <c r="U63" s="71"/>
      <c r="V63" s="71"/>
      <c r="W63" s="71"/>
      <c r="X63" s="71"/>
      <c r="Y63" s="71"/>
      <c r="Z63" s="71"/>
      <c r="AA63" s="71"/>
      <c r="AB63" s="122"/>
      <c r="AC63" s="71"/>
      <c r="AD63" s="121"/>
      <c r="AE63" s="71"/>
      <c r="AF63" s="71"/>
      <c r="AG63" s="71"/>
      <c r="AH63" s="71"/>
      <c r="AI63" s="71"/>
      <c r="AJ63" s="71"/>
      <c r="AK63" s="71"/>
      <c r="AL63" s="71"/>
      <c r="AM63" s="431"/>
      <c r="AN63" s="71"/>
      <c r="AO63" s="71"/>
      <c r="AP63" s="71"/>
      <c r="AQ63" s="71"/>
      <c r="AR63" s="71"/>
      <c r="AS63" s="71"/>
      <c r="AT63" s="114"/>
      <c r="AU63" s="114"/>
    </row>
    <row r="64" spans="2:50" ht="12.75" customHeight="1" x14ac:dyDescent="0.2">
      <c r="B64" s="59"/>
      <c r="C64" s="59"/>
      <c r="D64" s="71"/>
      <c r="E64" s="72"/>
      <c r="F64" s="72"/>
      <c r="G64" s="71"/>
      <c r="H64" s="71"/>
      <c r="I64" s="71"/>
      <c r="J64" s="71"/>
      <c r="K64" s="71"/>
      <c r="L64" s="72"/>
      <c r="M64" s="71"/>
      <c r="N64" s="71"/>
      <c r="O64" s="71"/>
      <c r="P64" s="71"/>
      <c r="Q64" s="71"/>
      <c r="R64" s="71"/>
      <c r="S64" s="71"/>
      <c r="T64" s="71"/>
      <c r="U64" s="71"/>
      <c r="V64" s="71"/>
      <c r="W64" s="71"/>
      <c r="X64" s="71"/>
      <c r="Y64" s="71"/>
      <c r="Z64" s="71"/>
      <c r="AA64" s="71"/>
      <c r="AB64" s="122"/>
      <c r="AC64" s="71"/>
      <c r="AD64" s="121"/>
      <c r="AE64" s="71"/>
      <c r="AF64" s="71"/>
      <c r="AG64" s="71"/>
      <c r="AH64" s="71"/>
      <c r="AI64" s="71"/>
      <c r="AJ64" s="71"/>
      <c r="AK64" s="71"/>
      <c r="AL64" s="71"/>
      <c r="AM64" s="431"/>
      <c r="AN64" s="71"/>
      <c r="AO64" s="71"/>
      <c r="AP64" s="71"/>
      <c r="AQ64" s="71"/>
      <c r="AR64" s="71"/>
      <c r="AS64" s="71"/>
      <c r="AT64" s="114"/>
      <c r="AU64" s="114"/>
    </row>
    <row r="65" spans="2:50" ht="12.75" customHeight="1" x14ac:dyDescent="0.2">
      <c r="B65" s="59"/>
      <c r="C65" s="59"/>
      <c r="D65" s="71"/>
      <c r="E65" s="71"/>
      <c r="F65" s="71"/>
      <c r="G65" s="71"/>
      <c r="H65" s="71"/>
      <c r="I65" s="71"/>
      <c r="J65" s="71"/>
      <c r="K65" s="71"/>
      <c r="L65" s="71"/>
      <c r="M65" s="71"/>
      <c r="N65" s="71"/>
      <c r="O65" s="71"/>
      <c r="P65" s="71"/>
      <c r="Q65" s="71"/>
      <c r="R65" s="71"/>
      <c r="S65" s="71"/>
      <c r="T65" s="71"/>
      <c r="U65" s="71"/>
      <c r="V65" s="71"/>
      <c r="W65" s="71"/>
      <c r="X65" s="71"/>
      <c r="Y65" s="71"/>
      <c r="Z65" s="71"/>
      <c r="AA65" s="71"/>
      <c r="AB65" s="122"/>
      <c r="AC65" s="71"/>
      <c r="AD65" s="121"/>
      <c r="AE65" s="71"/>
      <c r="AF65" s="71"/>
      <c r="AG65" s="71"/>
      <c r="AH65" s="71"/>
      <c r="AI65" s="71"/>
      <c r="AJ65" s="71"/>
      <c r="AK65" s="71"/>
      <c r="AL65" s="71"/>
      <c r="AM65" s="71"/>
      <c r="AN65" s="71"/>
      <c r="AO65" s="71"/>
      <c r="AP65" s="71"/>
      <c r="AQ65" s="71"/>
      <c r="AR65" s="71"/>
      <c r="AS65" s="71"/>
      <c r="AT65" s="114"/>
      <c r="AU65" s="114"/>
    </row>
    <row r="66" spans="2:50" ht="12.75" customHeight="1" x14ac:dyDescent="0.2">
      <c r="B66" s="59"/>
      <c r="C66" s="59"/>
      <c r="D66" s="71"/>
      <c r="E66" s="71"/>
      <c r="F66" s="71"/>
      <c r="G66" s="71"/>
      <c r="H66" s="71"/>
      <c r="I66" s="71"/>
      <c r="J66" s="71"/>
      <c r="K66" s="71"/>
      <c r="L66" s="71"/>
      <c r="M66" s="71"/>
      <c r="N66" s="71"/>
      <c r="O66" s="71"/>
      <c r="P66" s="71"/>
      <c r="Q66" s="71"/>
      <c r="R66" s="71"/>
      <c r="S66" s="71"/>
      <c r="T66" s="71"/>
      <c r="U66" s="71"/>
      <c r="V66" s="71"/>
      <c r="W66" s="71"/>
      <c r="X66" s="71"/>
      <c r="Y66" s="71"/>
      <c r="Z66" s="71"/>
      <c r="AA66" s="71"/>
      <c r="AB66" s="122"/>
      <c r="AC66" s="71"/>
      <c r="AD66" s="121"/>
      <c r="AE66" s="71"/>
      <c r="AF66" s="71"/>
      <c r="AG66" s="71"/>
      <c r="AH66" s="71"/>
      <c r="AI66" s="71"/>
      <c r="AJ66" s="71"/>
      <c r="AK66" s="71"/>
      <c r="AL66" s="71"/>
      <c r="AM66" s="71"/>
      <c r="AN66" s="71"/>
      <c r="AO66" s="71"/>
      <c r="AP66" s="71"/>
      <c r="AQ66" s="71"/>
      <c r="AR66" s="71"/>
      <c r="AS66" s="71"/>
      <c r="AT66" s="114"/>
      <c r="AU66" s="114"/>
    </row>
    <row r="67" spans="2:50" ht="12.75" customHeight="1" x14ac:dyDescent="0.2">
      <c r="B67" s="59"/>
      <c r="C67" s="59"/>
      <c r="D67" s="71"/>
      <c r="E67" s="71"/>
      <c r="F67" s="71"/>
      <c r="G67" s="71"/>
      <c r="H67" s="71"/>
      <c r="I67" s="71"/>
      <c r="J67" s="71"/>
      <c r="K67" s="71"/>
      <c r="L67" s="71"/>
      <c r="M67" s="71"/>
      <c r="N67" s="71"/>
      <c r="O67" s="71"/>
      <c r="P67" s="71"/>
      <c r="Q67" s="71"/>
      <c r="R67" s="71"/>
      <c r="S67" s="71"/>
      <c r="T67" s="71"/>
      <c r="U67" s="71"/>
      <c r="V67" s="71"/>
      <c r="W67" s="71"/>
      <c r="X67" s="71"/>
      <c r="Y67" s="71"/>
      <c r="Z67" s="71"/>
      <c r="AA67" s="71"/>
      <c r="AB67" s="122"/>
      <c r="AC67" s="71"/>
      <c r="AD67" s="121"/>
      <c r="AE67" s="71"/>
      <c r="AF67" s="71"/>
      <c r="AG67" s="71"/>
      <c r="AH67" s="71"/>
      <c r="AI67" s="71"/>
      <c r="AJ67" s="71"/>
      <c r="AK67" s="71"/>
      <c r="AL67" s="71"/>
      <c r="AM67" s="71"/>
      <c r="AN67" s="71"/>
      <c r="AO67" s="71"/>
      <c r="AP67" s="71"/>
      <c r="AQ67" s="71"/>
      <c r="AR67" s="71"/>
      <c r="AS67" s="71"/>
      <c r="AT67" s="114"/>
      <c r="AU67" s="114"/>
    </row>
    <row r="68" spans="2:50" ht="12.75" customHeight="1" x14ac:dyDescent="0.2">
      <c r="B68" s="59"/>
      <c r="C68" s="59"/>
      <c r="D68" s="71"/>
      <c r="E68" s="71"/>
      <c r="F68" s="71"/>
      <c r="G68" s="71"/>
      <c r="H68" s="71"/>
      <c r="I68" s="71"/>
      <c r="J68" s="71"/>
      <c r="K68" s="71"/>
      <c r="L68" s="71"/>
      <c r="M68" s="71"/>
      <c r="N68" s="71"/>
      <c r="O68" s="71"/>
      <c r="P68" s="71"/>
      <c r="Q68" s="71"/>
      <c r="R68" s="71"/>
      <c r="S68" s="71"/>
      <c r="T68" s="71"/>
      <c r="U68" s="71"/>
      <c r="V68" s="71"/>
      <c r="W68" s="71"/>
      <c r="X68" s="71"/>
      <c r="Y68" s="71"/>
      <c r="Z68" s="71"/>
      <c r="AA68" s="71"/>
      <c r="AB68" s="122"/>
      <c r="AC68" s="71"/>
      <c r="AD68" s="121"/>
      <c r="AE68" s="71"/>
      <c r="AF68" s="71"/>
      <c r="AG68" s="71"/>
      <c r="AH68" s="71"/>
      <c r="AI68" s="71"/>
      <c r="AJ68" s="71"/>
      <c r="AK68" s="71"/>
      <c r="AL68" s="71"/>
      <c r="AM68" s="71"/>
      <c r="AN68" s="71"/>
      <c r="AO68" s="71"/>
      <c r="AP68" s="71"/>
      <c r="AQ68" s="71"/>
      <c r="AR68" s="71"/>
      <c r="AS68" s="71"/>
      <c r="AT68" s="114"/>
      <c r="AU68" s="114"/>
    </row>
    <row r="69" spans="2:50" ht="12.75" customHeight="1" x14ac:dyDescent="0.2">
      <c r="B69" s="59"/>
      <c r="C69" s="59"/>
      <c r="D69" s="71"/>
      <c r="E69" s="71"/>
      <c r="F69" s="71"/>
      <c r="G69" s="71"/>
      <c r="H69" s="71"/>
      <c r="I69" s="71"/>
      <c r="J69" s="71"/>
      <c r="K69" s="71"/>
      <c r="L69" s="71"/>
      <c r="M69" s="71"/>
      <c r="N69" s="71"/>
      <c r="O69" s="71"/>
      <c r="P69" s="71"/>
      <c r="Q69" s="71"/>
      <c r="R69" s="71"/>
      <c r="S69" s="71"/>
      <c r="T69" s="71"/>
      <c r="U69" s="71"/>
      <c r="V69" s="71"/>
      <c r="W69" s="71"/>
      <c r="X69" s="71"/>
      <c r="Y69" s="71"/>
      <c r="Z69" s="71"/>
      <c r="AA69" s="71"/>
      <c r="AB69" s="122"/>
      <c r="AC69" s="71"/>
      <c r="AD69" s="121"/>
      <c r="AE69" s="71"/>
      <c r="AF69" s="71"/>
      <c r="AG69" s="71"/>
      <c r="AH69" s="71"/>
      <c r="AI69" s="71"/>
      <c r="AJ69" s="71"/>
      <c r="AK69" s="71"/>
      <c r="AL69" s="71"/>
      <c r="AM69" s="71"/>
      <c r="AN69" s="71"/>
      <c r="AO69" s="71"/>
      <c r="AP69" s="71"/>
      <c r="AQ69" s="71"/>
      <c r="AR69" s="71"/>
      <c r="AS69" s="71"/>
      <c r="AT69" s="114"/>
      <c r="AU69" s="114"/>
    </row>
    <row r="70" spans="2:50" ht="12.75" customHeight="1" x14ac:dyDescent="0.2">
      <c r="B70" s="59"/>
      <c r="C70" s="59"/>
      <c r="D70" s="71"/>
      <c r="E70" s="71"/>
      <c r="F70" s="71"/>
      <c r="G70" s="71"/>
      <c r="H70" s="71"/>
      <c r="I70" s="71"/>
      <c r="J70" s="71"/>
      <c r="K70" s="71"/>
      <c r="L70" s="71"/>
      <c r="M70" s="71"/>
      <c r="N70" s="71"/>
      <c r="O70" s="71"/>
      <c r="P70" s="71"/>
      <c r="Q70" s="71"/>
      <c r="R70" s="71"/>
      <c r="S70" s="71"/>
      <c r="T70" s="71"/>
      <c r="U70" s="71"/>
      <c r="V70" s="71"/>
      <c r="W70" s="71"/>
      <c r="X70" s="71"/>
      <c r="Y70" s="71"/>
      <c r="Z70" s="71"/>
      <c r="AA70" s="71"/>
      <c r="AB70" s="122"/>
      <c r="AC70" s="71"/>
      <c r="AD70" s="121"/>
      <c r="AE70" s="556"/>
      <c r="AF70" s="557"/>
      <c r="AG70" s="557"/>
      <c r="AH70" s="557"/>
      <c r="AI70" s="557"/>
      <c r="AJ70" s="557"/>
      <c r="AK70" s="557"/>
      <c r="AL70" s="558"/>
      <c r="AM70" s="71"/>
      <c r="AN70" s="580"/>
      <c r="AO70" s="581"/>
      <c r="AP70" s="581"/>
      <c r="AQ70" s="581"/>
      <c r="AR70" s="581"/>
      <c r="AS70" s="582"/>
      <c r="AT70" s="114"/>
      <c r="AU70" s="114"/>
    </row>
    <row r="71" spans="2:50" ht="12.75" customHeight="1" x14ac:dyDescent="0.2">
      <c r="B71" s="59"/>
      <c r="C71" s="59"/>
      <c r="D71" s="71"/>
      <c r="E71" s="71"/>
      <c r="F71" s="72" t="str">
        <f>'Sprachen &amp; Rückgabewerte(3)'!$B$41</f>
        <v>120101/120101</v>
      </c>
      <c r="G71" s="71"/>
      <c r="H71" s="71"/>
      <c r="I71" s="71"/>
      <c r="J71" s="71"/>
      <c r="K71" s="71"/>
      <c r="L71" s="72" t="str">
        <f>'Sprachen &amp; Rückgabewerte(3)'!$B$42</f>
        <v>120101/120401</v>
      </c>
      <c r="M71" s="60"/>
      <c r="N71" s="71"/>
      <c r="O71" s="71"/>
      <c r="P71" s="71"/>
      <c r="Q71" s="71"/>
      <c r="R71" s="72" t="str">
        <f>'Sprachen &amp; Rückgabewerte(3)'!$B$43</f>
        <v>120401/120401</v>
      </c>
      <c r="S71" s="71"/>
      <c r="T71" s="71"/>
      <c r="U71" s="71"/>
      <c r="V71" s="71"/>
      <c r="W71" s="71"/>
      <c r="X71" s="72" t="str">
        <f>'Sprachen &amp; Rückgabewerte(3)'!$B$44</f>
        <v>121101/121101</v>
      </c>
      <c r="Y71" s="60"/>
      <c r="Z71" s="71"/>
      <c r="AA71" s="71"/>
      <c r="AB71" s="122"/>
      <c r="AC71" s="71"/>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59"/>
      <c r="C72" s="59"/>
      <c r="D72" s="71"/>
      <c r="E72" s="71"/>
      <c r="F72" s="665"/>
      <c r="G72" s="666"/>
      <c r="H72" s="666"/>
      <c r="I72" s="667"/>
      <c r="J72" s="71"/>
      <c r="K72" s="71"/>
      <c r="L72" s="665"/>
      <c r="M72" s="666"/>
      <c r="N72" s="666"/>
      <c r="O72" s="667"/>
      <c r="P72" s="71"/>
      <c r="Q72" s="71"/>
      <c r="R72" s="665"/>
      <c r="S72" s="666"/>
      <c r="T72" s="666"/>
      <c r="U72" s="667"/>
      <c r="V72" s="71"/>
      <c r="W72" s="71"/>
      <c r="X72" s="665"/>
      <c r="Y72" s="666"/>
      <c r="Z72" s="666"/>
      <c r="AA72" s="667"/>
      <c r="AB72" s="122"/>
      <c r="AC72" s="71"/>
      <c r="AD72" s="71"/>
      <c r="AE72" s="71"/>
      <c r="AF72" s="71"/>
      <c r="AG72" s="71"/>
      <c r="AH72" s="71"/>
      <c r="AI72" s="71"/>
      <c r="AJ72" s="71"/>
      <c r="AK72" s="71"/>
      <c r="AL72" s="71"/>
      <c r="AM72" s="71"/>
      <c r="AN72" s="71"/>
      <c r="AO72" s="71"/>
      <c r="AP72" s="71"/>
      <c r="AQ72" s="71"/>
      <c r="AR72" s="71"/>
      <c r="AS72" s="71"/>
      <c r="AT72" s="60"/>
      <c r="AU72" s="114"/>
    </row>
    <row r="73" spans="2:50" ht="12.75" customHeight="1" x14ac:dyDescent="0.2">
      <c r="B73" s="59"/>
      <c r="C73" s="59"/>
      <c r="D73" s="71"/>
      <c r="E73" s="71"/>
      <c r="F73" s="71"/>
      <c r="G73" s="71"/>
      <c r="H73" s="71"/>
      <c r="I73" s="71"/>
      <c r="J73" s="71"/>
      <c r="K73" s="71"/>
      <c r="L73" s="71"/>
      <c r="M73" s="71"/>
      <c r="N73" s="71"/>
      <c r="O73" s="71"/>
      <c r="P73" s="71"/>
      <c r="Q73" s="71"/>
      <c r="R73" s="71"/>
      <c r="S73" s="71"/>
      <c r="T73" s="71"/>
      <c r="U73" s="71"/>
      <c r="V73" s="71"/>
      <c r="W73" s="71"/>
      <c r="X73" s="71"/>
      <c r="Y73" s="71"/>
      <c r="Z73" s="71"/>
      <c r="AA73" s="71"/>
      <c r="AB73" s="332"/>
      <c r="AC73" s="71"/>
      <c r="AD73" s="118"/>
      <c r="AE73" s="120" t="str">
        <f>'Sprachen &amp; Rückgabewerte(3)'!$H$70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59"/>
      <c r="C74" s="59"/>
      <c r="D74" s="71"/>
      <c r="E74" s="71"/>
      <c r="F74" s="71"/>
      <c r="G74" s="71"/>
      <c r="H74" s="71"/>
      <c r="I74" s="71"/>
      <c r="J74" s="71"/>
      <c r="K74" s="71"/>
      <c r="L74" s="71"/>
      <c r="M74" s="71"/>
      <c r="N74" s="71"/>
      <c r="O74" s="71"/>
      <c r="P74" s="71"/>
      <c r="Q74" s="71"/>
      <c r="R74" s="71"/>
      <c r="S74" s="71"/>
      <c r="T74" s="71"/>
      <c r="U74" s="71"/>
      <c r="V74" s="71"/>
      <c r="W74" s="71"/>
      <c r="X74" s="71"/>
      <c r="Y74" s="71"/>
      <c r="Z74" s="71"/>
      <c r="AA74" s="71"/>
      <c r="AB74" s="122"/>
      <c r="AC74" s="71"/>
      <c r="AD74" s="121"/>
      <c r="AE74" s="71"/>
      <c r="AF74" s="71" t="str">
        <f>'Sprachen &amp; Rückgabewerte(3)'!$H$71</f>
        <v>Universalschrauben (A2):</v>
      </c>
      <c r="AG74" s="71"/>
      <c r="AH74" s="71"/>
      <c r="AI74" s="71"/>
      <c r="AJ74" s="71"/>
      <c r="AK74" s="71"/>
      <c r="AL74" s="71"/>
      <c r="AM74" s="71" t="str">
        <f>'Sprachen &amp; Rückgabewerte(3)'!H72</f>
        <v>L=52mm</v>
      </c>
      <c r="AN74" s="380"/>
      <c r="AO74" s="382"/>
      <c r="AP74" s="383"/>
      <c r="AQ74" s="141" t="str">
        <f>'Sprachen &amp; Rückgabewerte(3)'!$H$180</f>
        <v>VE</v>
      </c>
      <c r="AR74" s="71"/>
      <c r="AS74" s="71"/>
      <c r="AT74" s="114"/>
      <c r="AU74" s="114"/>
    </row>
    <row r="75" spans="2:50" ht="12.75" customHeight="1" thickBot="1" x14ac:dyDescent="0.25">
      <c r="B75" s="59"/>
      <c r="C75" s="59"/>
      <c r="D75" s="71"/>
      <c r="E75" s="71"/>
      <c r="F75" s="71"/>
      <c r="G75" s="71"/>
      <c r="H75" s="71"/>
      <c r="I75" s="71"/>
      <c r="J75" s="71"/>
      <c r="K75" s="71"/>
      <c r="L75" s="71"/>
      <c r="M75" s="71"/>
      <c r="N75" s="71"/>
      <c r="O75" s="71"/>
      <c r="P75" s="71"/>
      <c r="Q75" s="71"/>
      <c r="R75" s="71"/>
      <c r="S75" s="71"/>
      <c r="T75" s="71"/>
      <c r="U75" s="71"/>
      <c r="V75" s="71"/>
      <c r="W75" s="71"/>
      <c r="X75" s="71"/>
      <c r="Y75" s="71"/>
      <c r="Z75" s="71"/>
      <c r="AA75" s="71"/>
      <c r="AB75" s="122"/>
      <c r="AC75" s="71"/>
      <c r="AD75" s="121"/>
      <c r="AE75" s="71"/>
      <c r="AF75" s="71"/>
      <c r="AG75" s="78" t="str">
        <f>'Sprachen &amp; Rückgabewerte(3)'!H75</f>
        <v>(VE à 100 Stk.)</v>
      </c>
      <c r="AH75" s="71"/>
      <c r="AI75" s="71"/>
      <c r="AJ75" s="71"/>
      <c r="AK75" s="71"/>
      <c r="AL75" s="71"/>
      <c r="AM75" s="71" t="str">
        <f>'Sprachen &amp; Rückgabewerte(3)'!H73</f>
        <v>L=82mm</v>
      </c>
      <c r="AN75" s="381"/>
      <c r="AO75" s="71"/>
      <c r="AP75" s="383"/>
      <c r="AQ75" s="141" t="str">
        <f>'Sprachen &amp; Rückgabewerte(3)'!$H$180</f>
        <v>VE</v>
      </c>
      <c r="AR75" s="71"/>
      <c r="AS75" s="71"/>
      <c r="AT75" s="114"/>
      <c r="AU75" s="114"/>
    </row>
    <row r="76" spans="2:50" ht="12.75" customHeight="1" x14ac:dyDescent="0.2">
      <c r="B76" s="59"/>
      <c r="C76" s="59"/>
      <c r="D76" s="71"/>
      <c r="E76" s="71"/>
      <c r="F76" s="71"/>
      <c r="G76" s="71"/>
      <c r="H76" s="71"/>
      <c r="I76" s="71"/>
      <c r="J76" s="71"/>
      <c r="K76" s="71"/>
      <c r="L76" s="71"/>
      <c r="M76" s="71"/>
      <c r="N76" s="71"/>
      <c r="O76" s="71"/>
      <c r="P76" s="71"/>
      <c r="Q76" s="71"/>
      <c r="R76" s="71"/>
      <c r="S76" s="71"/>
      <c r="T76" s="71"/>
      <c r="U76" s="71"/>
      <c r="V76" s="71"/>
      <c r="W76" s="71"/>
      <c r="X76" s="71"/>
      <c r="Y76" s="71"/>
      <c r="Z76" s="71"/>
      <c r="AA76" s="71"/>
      <c r="AB76" s="122"/>
      <c r="AC76" s="71"/>
      <c r="AD76" s="121"/>
      <c r="AE76" s="71"/>
      <c r="AF76" s="71"/>
      <c r="AG76" s="71"/>
      <c r="AH76" s="71"/>
      <c r="AI76" s="71"/>
      <c r="AJ76" s="71"/>
      <c r="AK76" s="71"/>
      <c r="AL76" s="71"/>
      <c r="AM76" s="71" t="str">
        <f>'Sprachen &amp; Rückgabewerte(3)'!H74</f>
        <v>L=112mm</v>
      </c>
      <c r="AN76" s="431"/>
      <c r="AO76" s="71"/>
      <c r="AP76" s="383"/>
      <c r="AQ76" s="141" t="str">
        <f>'Sprachen &amp; Rückgabewerte(3)'!$H$180</f>
        <v>VE</v>
      </c>
      <c r="AR76" s="71"/>
      <c r="AS76" s="71"/>
      <c r="AT76" s="114"/>
      <c r="AU76" s="114"/>
      <c r="AW76" s="587"/>
      <c r="AX76" s="587"/>
    </row>
    <row r="77" spans="2:50" ht="12.75" customHeight="1" x14ac:dyDescent="0.2">
      <c r="B77" s="59"/>
      <c r="C77" s="59"/>
      <c r="D77" s="71"/>
      <c r="E77" s="71"/>
      <c r="F77" s="71"/>
      <c r="G77" s="71"/>
      <c r="H77" s="71"/>
      <c r="I77" s="71"/>
      <c r="J77" s="71"/>
      <c r="K77" s="71"/>
      <c r="L77" s="71"/>
      <c r="M77" s="71"/>
      <c r="N77" s="71"/>
      <c r="O77" s="71"/>
      <c r="P77" s="71"/>
      <c r="Q77" s="71"/>
      <c r="R77" s="71"/>
      <c r="S77" s="71"/>
      <c r="T77" s="71"/>
      <c r="U77" s="71"/>
      <c r="V77" s="71"/>
      <c r="W77" s="71"/>
      <c r="X77" s="71"/>
      <c r="Y77" s="71"/>
      <c r="Z77" s="71"/>
      <c r="AA77" s="71"/>
      <c r="AB77" s="122"/>
      <c r="AC77" s="71"/>
      <c r="AD77" s="121"/>
      <c r="AE77" s="80" t="str">
        <f>'Sprachen &amp; Rückgabewerte(3)'!$H$76</f>
        <v>Sockelbefestigung:</v>
      </c>
      <c r="AF77" s="80"/>
      <c r="AG77" s="71"/>
      <c r="AH77" s="71"/>
      <c r="AI77" s="71"/>
      <c r="AJ77" s="71"/>
      <c r="AK77" s="71"/>
      <c r="AL77" s="71"/>
      <c r="AM77" s="71"/>
      <c r="AN77" s="71"/>
      <c r="AO77" s="71"/>
      <c r="AP77" s="71"/>
      <c r="AQ77" s="71"/>
      <c r="AR77" s="71"/>
      <c r="AS77" s="71"/>
      <c r="AT77" s="114"/>
      <c r="AU77" s="114"/>
      <c r="AW77" s="588"/>
      <c r="AX77" s="588"/>
    </row>
    <row r="78" spans="2:50" ht="12.75" customHeight="1" x14ac:dyDescent="0.2">
      <c r="B78" s="59"/>
      <c r="C78" s="59"/>
      <c r="D78" s="71"/>
      <c r="E78" s="71"/>
      <c r="F78" s="71"/>
      <c r="G78" s="71"/>
      <c r="H78" s="71"/>
      <c r="I78" s="71"/>
      <c r="J78" s="71"/>
      <c r="K78" s="71"/>
      <c r="L78" s="71"/>
      <c r="M78" s="71"/>
      <c r="N78" s="71"/>
      <c r="O78" s="71"/>
      <c r="P78" s="71"/>
      <c r="Q78" s="71"/>
      <c r="R78" s="71"/>
      <c r="S78" s="71"/>
      <c r="T78" s="71"/>
      <c r="U78" s="71"/>
      <c r="V78" s="71"/>
      <c r="W78" s="71"/>
      <c r="X78" s="71"/>
      <c r="Y78" s="71"/>
      <c r="Z78" s="71"/>
      <c r="AA78" s="71"/>
      <c r="AB78" s="122"/>
      <c r="AC78" s="71"/>
      <c r="AD78" s="121"/>
      <c r="AE78" s="71" t="str">
        <f>'Sprachen &amp; Rückgabewerte(3)'!$H$77</f>
        <v>Verstellschrauben M10 x</v>
      </c>
      <c r="AF78" s="71"/>
      <c r="AG78" s="71"/>
      <c r="AH78" s="71"/>
      <c r="AI78" s="71"/>
      <c r="AJ78" s="71"/>
      <c r="AK78" s="71"/>
      <c r="AL78" s="71"/>
      <c r="AM78" s="71"/>
      <c r="AN78" s="563"/>
      <c r="AO78" s="563"/>
      <c r="AP78" s="563"/>
      <c r="AQ78" s="71"/>
      <c r="AR78" s="71"/>
      <c r="AS78" s="71"/>
      <c r="AT78" s="114"/>
      <c r="AU78" s="114"/>
      <c r="AW78" s="588"/>
      <c r="AX78" s="588"/>
    </row>
    <row r="79" spans="2:50" ht="12.75" customHeight="1" x14ac:dyDescent="0.2">
      <c r="B79" s="59"/>
      <c r="C79" s="59"/>
      <c r="D79" s="71"/>
      <c r="E79" s="71"/>
      <c r="F79" s="71"/>
      <c r="G79" s="71"/>
      <c r="H79" s="71"/>
      <c r="I79" s="71"/>
      <c r="J79" s="71"/>
      <c r="K79" s="71"/>
      <c r="L79" s="71"/>
      <c r="M79" s="71"/>
      <c r="N79" s="71"/>
      <c r="O79" s="71"/>
      <c r="P79" s="71"/>
      <c r="Q79" s="71"/>
      <c r="R79" s="71"/>
      <c r="S79" s="71"/>
      <c r="T79" s="71"/>
      <c r="U79" s="71"/>
      <c r="V79" s="71"/>
      <c r="W79" s="71"/>
      <c r="X79" s="71"/>
      <c r="Y79" s="71"/>
      <c r="Z79" s="71"/>
      <c r="AA79" s="71"/>
      <c r="AB79" s="122"/>
      <c r="AC79" s="71"/>
      <c r="AD79" s="121"/>
      <c r="AE79" s="71" t="str">
        <f>'Sprachen &amp; Rückgabewerte(3)'!$H$52</f>
        <v>Standardgrundplatten:</v>
      </c>
      <c r="AF79" s="71"/>
      <c r="AG79" s="71"/>
      <c r="AH79" s="71"/>
      <c r="AI79" s="71"/>
      <c r="AJ79" s="71"/>
      <c r="AK79" s="71"/>
      <c r="AL79" s="71"/>
      <c r="AM79" s="71"/>
      <c r="AN79" s="563"/>
      <c r="AO79" s="563"/>
      <c r="AP79" s="563"/>
      <c r="AQ79" s="71"/>
      <c r="AR79" s="71"/>
      <c r="AS79" s="71"/>
      <c r="AT79" s="114"/>
      <c r="AU79" s="114"/>
      <c r="AW79" s="588"/>
      <c r="AX79" s="588"/>
    </row>
    <row r="80" spans="2:50" ht="12" customHeight="1" thickBot="1" x14ac:dyDescent="0.25">
      <c r="B80" s="59"/>
      <c r="C80" s="59"/>
      <c r="D80" s="71"/>
      <c r="E80" s="71"/>
      <c r="F80" s="71"/>
      <c r="G80" s="71"/>
      <c r="H80" s="71"/>
      <c r="I80" s="71"/>
      <c r="J80" s="71"/>
      <c r="K80" s="71"/>
      <c r="L80" s="71"/>
      <c r="M80" s="71"/>
      <c r="N80" s="71"/>
      <c r="O80" s="71"/>
      <c r="P80" s="71"/>
      <c r="Q80" s="71"/>
      <c r="R80" s="71"/>
      <c r="S80" s="71"/>
      <c r="T80" s="71"/>
      <c r="U80" s="71"/>
      <c r="V80" s="71"/>
      <c r="W80" s="71"/>
      <c r="X80" s="71"/>
      <c r="Y80" s="71"/>
      <c r="Z80" s="71"/>
      <c r="AA80" s="71"/>
      <c r="AB80" s="122"/>
      <c r="AC80" s="71"/>
      <c r="AD80" s="121"/>
      <c r="AE80" s="188" t="str">
        <f>'Sprachen &amp; Rückgabewerte(3)'!$H$84</f>
        <v>Rahmenzusammenbau:</v>
      </c>
      <c r="AF80" s="71"/>
      <c r="AG80" s="71"/>
      <c r="AH80" s="71"/>
      <c r="AI80" s="71"/>
      <c r="AJ80" s="71"/>
      <c r="AK80" s="71"/>
      <c r="AL80" s="71"/>
      <c r="AM80" s="71"/>
      <c r="AN80" s="564"/>
      <c r="AO80" s="565"/>
      <c r="AP80" s="565"/>
      <c r="AQ80" s="565"/>
      <c r="AR80" s="565"/>
      <c r="AS80" s="566"/>
      <c r="AT80" s="325"/>
      <c r="AU80" s="115"/>
      <c r="AV80" s="326"/>
      <c r="AW80" s="589"/>
      <c r="AX80" s="589"/>
    </row>
    <row r="81" spans="2:50" ht="12.75" customHeight="1" x14ac:dyDescent="0.2">
      <c r="B81" s="59"/>
      <c r="C81" s="59"/>
      <c r="D81" s="71"/>
      <c r="E81" s="71"/>
      <c r="F81" s="71"/>
      <c r="G81" s="71"/>
      <c r="H81" s="71"/>
      <c r="I81" s="71"/>
      <c r="J81" s="71"/>
      <c r="K81" s="71"/>
      <c r="L81" s="71"/>
      <c r="M81" s="71"/>
      <c r="N81" s="71"/>
      <c r="O81" s="71"/>
      <c r="P81" s="71"/>
      <c r="Q81" s="71"/>
      <c r="R81" s="71"/>
      <c r="S81" s="71"/>
      <c r="T81" s="71"/>
      <c r="U81" s="71"/>
      <c r="V81" s="71"/>
      <c r="W81" s="71"/>
      <c r="X81" s="71"/>
      <c r="Y81" s="71"/>
      <c r="Z81" s="71"/>
      <c r="AA81" s="71"/>
      <c r="AB81" s="122"/>
      <c r="AC81" s="71"/>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59"/>
      <c r="C82" s="59"/>
      <c r="D82" s="71"/>
      <c r="E82" s="71"/>
      <c r="F82" s="71"/>
      <c r="G82" s="71"/>
      <c r="H82" s="71"/>
      <c r="I82" s="71"/>
      <c r="J82" s="71"/>
      <c r="K82" s="71"/>
      <c r="L82" s="71"/>
      <c r="M82" s="71"/>
      <c r="N82" s="71"/>
      <c r="O82" s="71"/>
      <c r="P82" s="71"/>
      <c r="Q82" s="71"/>
      <c r="R82" s="71"/>
      <c r="S82" s="71"/>
      <c r="T82" s="71"/>
      <c r="U82" s="71"/>
      <c r="V82" s="71"/>
      <c r="W82" s="71"/>
      <c r="X82" s="71"/>
      <c r="Y82" s="71"/>
      <c r="Z82" s="71"/>
      <c r="AA82" s="71"/>
      <c r="AB82" s="122"/>
      <c r="AC82" s="71"/>
      <c r="AD82" s="71"/>
      <c r="AE82" s="71"/>
      <c r="AF82" s="71"/>
      <c r="AG82" s="71"/>
      <c r="AH82" s="71"/>
      <c r="AI82" s="71"/>
      <c r="AJ82" s="71"/>
      <c r="AK82" s="71"/>
      <c r="AL82" s="71"/>
      <c r="AM82" s="71"/>
      <c r="AN82" s="71"/>
      <c r="AO82" s="71"/>
      <c r="AP82" s="71"/>
      <c r="AQ82" s="71"/>
      <c r="AR82" s="71"/>
      <c r="AS82" s="71"/>
      <c r="AT82" s="60"/>
      <c r="AU82" s="114"/>
    </row>
    <row r="83" spans="2:50" ht="12.75" customHeight="1" x14ac:dyDescent="0.2">
      <c r="B83" s="59"/>
      <c r="C83" s="59"/>
      <c r="D83" s="71"/>
      <c r="E83" s="71"/>
      <c r="F83" s="71"/>
      <c r="G83" s="71"/>
      <c r="H83" s="71"/>
      <c r="I83" s="71"/>
      <c r="J83" s="71"/>
      <c r="K83" s="71"/>
      <c r="L83" s="71"/>
      <c r="M83" s="71"/>
      <c r="N83" s="71"/>
      <c r="O83" s="71"/>
      <c r="P83" s="71"/>
      <c r="Q83" s="71"/>
      <c r="R83" s="71"/>
      <c r="S83" s="71"/>
      <c r="T83" s="71"/>
      <c r="U83" s="71"/>
      <c r="V83" s="71"/>
      <c r="W83" s="71"/>
      <c r="X83" s="71"/>
      <c r="Y83" s="71"/>
      <c r="Z83" s="71"/>
      <c r="AA83" s="71"/>
      <c r="AB83" s="122"/>
      <c r="AC83" s="71"/>
      <c r="AD83" s="118"/>
      <c r="AE83" s="120" t="str">
        <f>'Sprachen &amp; Rückgabewerte(3)'!$H$87</f>
        <v>Logistik:</v>
      </c>
      <c r="AF83" s="120"/>
      <c r="AG83" s="119"/>
      <c r="AH83" s="119"/>
      <c r="AI83" s="119"/>
      <c r="AJ83" s="119"/>
      <c r="AK83" s="119"/>
      <c r="AL83" s="119"/>
      <c r="AM83" s="119"/>
      <c r="AN83" s="120" t="str">
        <f>'Sprachen &amp; Rückgabewerte(3)'!$H$49</f>
        <v>Zubehör:</v>
      </c>
      <c r="AO83" s="119"/>
      <c r="AP83" s="119"/>
      <c r="AQ83" s="119"/>
      <c r="AR83" s="119"/>
      <c r="AS83" s="119"/>
      <c r="AT83" s="113"/>
      <c r="AU83" s="114"/>
    </row>
    <row r="84" spans="2:50" ht="12.75" customHeight="1" x14ac:dyDescent="0.2">
      <c r="B84" s="59"/>
      <c r="C84" s="59"/>
      <c r="D84" s="71"/>
      <c r="E84" s="71"/>
      <c r="F84" s="71"/>
      <c r="G84" s="71"/>
      <c r="H84" s="72" t="str">
        <f>'Sprachen &amp; Rückgabewerte(3)'!$B$45</f>
        <v>321901/321901</v>
      </c>
      <c r="I84" s="71"/>
      <c r="J84" s="71"/>
      <c r="K84" s="71"/>
      <c r="L84" s="71"/>
      <c r="M84" s="71"/>
      <c r="N84" s="60"/>
      <c r="O84" s="72" t="str">
        <f>'Sprachen &amp; Rückgabewerte(3)'!$B$46</f>
        <v>321901/322301</v>
      </c>
      <c r="P84" s="71"/>
      <c r="Q84" s="71"/>
      <c r="R84" s="71"/>
      <c r="S84" s="71"/>
      <c r="T84" s="71"/>
      <c r="U84" s="60"/>
      <c r="V84" s="72" t="str">
        <f>'Sprachen &amp; Rückgabewerte(3)'!$B$47</f>
        <v>322301/322301</v>
      </c>
      <c r="W84" s="71"/>
      <c r="X84" s="71"/>
      <c r="Y84" s="71"/>
      <c r="Z84" s="71"/>
      <c r="AA84" s="71"/>
      <c r="AB84" s="122"/>
      <c r="AC84" s="71"/>
      <c r="AD84" s="121"/>
      <c r="AE84" s="544"/>
      <c r="AF84" s="571"/>
      <c r="AG84" s="571"/>
      <c r="AH84" s="571"/>
      <c r="AI84" s="571"/>
      <c r="AJ84" s="571"/>
      <c r="AK84" s="571"/>
      <c r="AL84" s="545"/>
      <c r="AM84" s="71"/>
      <c r="AN84" s="71"/>
      <c r="AO84" s="71" t="str">
        <f>'Sprachen &amp; Rückgabewerte(3)'!$H$50</f>
        <v>Rinne (siehe unten)</v>
      </c>
      <c r="AP84" s="71"/>
      <c r="AQ84" s="71"/>
      <c r="AR84" s="71"/>
      <c r="AS84" s="71"/>
      <c r="AT84" s="114"/>
      <c r="AU84" s="204"/>
      <c r="AV84" s="204"/>
    </row>
    <row r="85" spans="2:50" ht="12.75" customHeight="1" x14ac:dyDescent="0.2">
      <c r="B85" s="59"/>
      <c r="C85" s="59"/>
      <c r="D85" s="71"/>
      <c r="E85" s="71"/>
      <c r="F85" s="71"/>
      <c r="G85" s="71"/>
      <c r="H85" s="665"/>
      <c r="I85" s="666"/>
      <c r="J85" s="666"/>
      <c r="K85" s="667"/>
      <c r="L85" s="71"/>
      <c r="M85" s="71"/>
      <c r="N85" s="71"/>
      <c r="O85" s="665"/>
      <c r="P85" s="666"/>
      <c r="Q85" s="666"/>
      <c r="R85" s="667"/>
      <c r="S85" s="71"/>
      <c r="T85" s="71"/>
      <c r="U85" s="71"/>
      <c r="V85" s="665"/>
      <c r="W85" s="666"/>
      <c r="X85" s="666"/>
      <c r="Y85" s="667"/>
      <c r="Z85" s="71"/>
      <c r="AA85" s="71"/>
      <c r="AB85" s="122"/>
      <c r="AC85" s="71"/>
      <c r="AD85" s="121"/>
      <c r="AE85" s="576"/>
      <c r="AF85" s="576"/>
      <c r="AG85" s="576"/>
      <c r="AH85" s="576"/>
      <c r="AI85" s="576"/>
      <c r="AJ85" s="576"/>
      <c r="AK85" s="576"/>
      <c r="AL85" s="576"/>
      <c r="AM85" s="71"/>
      <c r="AN85" s="71"/>
      <c r="AO85" s="71" t="str">
        <f>'Sprachen &amp; Rückgabewerte(3)'!$H$51</f>
        <v>Wetterschenkel</v>
      </c>
      <c r="AP85" s="71"/>
      <c r="AQ85" s="71"/>
      <c r="AR85" s="71"/>
      <c r="AS85" s="71"/>
      <c r="AT85" s="114"/>
      <c r="AU85" s="114"/>
      <c r="AV85" s="227"/>
    </row>
    <row r="86" spans="2:50" ht="12.75" customHeight="1" x14ac:dyDescent="0.2">
      <c r="B86" s="59"/>
      <c r="C86" s="59"/>
      <c r="D86" s="60"/>
      <c r="E86" s="60"/>
      <c r="F86" s="60"/>
      <c r="G86" s="60"/>
      <c r="H86" s="60"/>
      <c r="I86" s="60"/>
      <c r="J86" s="60"/>
      <c r="K86" s="60"/>
      <c r="L86" s="60"/>
      <c r="M86" s="60"/>
      <c r="N86" s="60"/>
      <c r="O86" s="60"/>
      <c r="P86" s="60"/>
      <c r="Q86" s="60"/>
      <c r="R86" s="60"/>
      <c r="S86" s="60"/>
      <c r="T86" s="60"/>
      <c r="U86" s="60"/>
      <c r="V86" s="60"/>
      <c r="W86" s="60"/>
      <c r="X86" s="60"/>
      <c r="Y86" s="60"/>
      <c r="Z86" s="60"/>
      <c r="AA86" s="60"/>
      <c r="AB86" s="114"/>
      <c r="AC86" s="60"/>
      <c r="AD86" s="59"/>
      <c r="AE86" s="60"/>
      <c r="AF86" s="60"/>
      <c r="AG86" s="60"/>
      <c r="AH86" s="60"/>
      <c r="AI86" s="60"/>
      <c r="AJ86" s="60"/>
      <c r="AK86" s="60"/>
      <c r="AL86" s="60"/>
      <c r="AM86" s="60"/>
      <c r="AN86" s="60"/>
      <c r="AO86" s="60" t="str">
        <f>IF('Sprachen &amp; Rückgabewerte(3)'!$I$51=TRUE,"L=","")</f>
        <v/>
      </c>
      <c r="AP86" s="562"/>
      <c r="AQ86" s="562"/>
      <c r="AR86" s="562"/>
      <c r="AS86" s="60" t="str">
        <f>IF('Sprachen &amp; Rückgabewerte(3)'!$I$51=TRUE,"mm","")</f>
        <v/>
      </c>
      <c r="AT86" s="114"/>
      <c r="AU86" s="114"/>
      <c r="AV86" s="227"/>
    </row>
    <row r="87" spans="2:50" ht="12.75" customHeight="1" x14ac:dyDescent="0.2">
      <c r="B87" s="59"/>
      <c r="C87" s="59"/>
      <c r="D87" s="60"/>
      <c r="E87" s="60"/>
      <c r="F87" s="60"/>
      <c r="G87" s="60"/>
      <c r="H87" s="60"/>
      <c r="I87" s="60"/>
      <c r="J87" s="60"/>
      <c r="K87" s="60"/>
      <c r="L87" s="60"/>
      <c r="M87" s="60"/>
      <c r="N87" s="60"/>
      <c r="O87" s="60"/>
      <c r="P87" s="60"/>
      <c r="Q87" s="60"/>
      <c r="R87" s="60"/>
      <c r="S87" s="60"/>
      <c r="T87" s="60"/>
      <c r="U87" s="60"/>
      <c r="V87" s="60"/>
      <c r="W87" s="60"/>
      <c r="X87" s="60"/>
      <c r="Y87" s="60"/>
      <c r="Z87" s="676"/>
      <c r="AA87" s="676"/>
      <c r="AB87" s="677"/>
      <c r="AC87" s="60"/>
      <c r="AD87" s="59"/>
      <c r="AE87" s="320" t="str">
        <f>'Sprachen &amp; Rückgabewerte(3)'!$H$47</f>
        <v>Windlast:</v>
      </c>
      <c r="AF87" s="80"/>
      <c r="AG87" s="155"/>
      <c r="AH87" s="60"/>
      <c r="AI87" s="60"/>
      <c r="AJ87" s="60"/>
      <c r="AK87" s="60"/>
      <c r="AL87" s="60"/>
      <c r="AM87" s="584"/>
      <c r="AN87" s="585"/>
      <c r="AO87" s="586"/>
      <c r="AP87" s="321" t="s">
        <v>764</v>
      </c>
      <c r="AS87" s="184"/>
      <c r="AT87" s="114"/>
      <c r="AU87" s="114"/>
      <c r="AV87" s="227"/>
    </row>
    <row r="88" spans="2:50" ht="12.75" customHeight="1" x14ac:dyDescent="0.2">
      <c r="B88" s="59"/>
      <c r="C88" s="59"/>
      <c r="D88" s="60"/>
      <c r="E88" s="60"/>
      <c r="F88" s="60"/>
      <c r="G88" s="60"/>
      <c r="H88" s="60"/>
      <c r="I88" s="60"/>
      <c r="J88" s="60"/>
      <c r="K88" s="60"/>
      <c r="L88" s="60"/>
      <c r="M88" s="60"/>
      <c r="N88" s="60"/>
      <c r="O88" s="60"/>
      <c r="P88" s="60"/>
      <c r="Q88" s="60"/>
      <c r="R88" s="60"/>
      <c r="S88" s="60"/>
      <c r="T88" s="60"/>
      <c r="U88" s="60"/>
      <c r="V88" s="60"/>
      <c r="W88" s="60"/>
      <c r="X88" s="60"/>
      <c r="Y88" s="60"/>
      <c r="Z88" s="676"/>
      <c r="AA88" s="676"/>
      <c r="AB88" s="677"/>
      <c r="AC88" s="60"/>
      <c r="AD88" s="59"/>
      <c r="AE88" s="188" t="str">
        <f>'Sprachen &amp; Rückgabewerte(3)'!$H$90</f>
        <v>Wunschtermin:</v>
      </c>
      <c r="AF88" s="319"/>
      <c r="AG88" s="319"/>
      <c r="AH88" s="319"/>
      <c r="AI88" s="319"/>
      <c r="AJ88" s="319"/>
      <c r="AK88" s="319"/>
      <c r="AL88" s="319"/>
      <c r="AM88" s="572"/>
      <c r="AN88" s="573"/>
      <c r="AO88" s="573"/>
      <c r="AP88" s="574"/>
      <c r="AQ88" s="574"/>
      <c r="AR88" s="575"/>
      <c r="AS88" s="319"/>
      <c r="AT88" s="114"/>
      <c r="AU88" s="114"/>
      <c r="AV88" s="227"/>
    </row>
    <row r="89" spans="2:50" ht="12.75" customHeight="1" x14ac:dyDescent="0.2">
      <c r="B89" s="59"/>
      <c r="C89" s="59"/>
      <c r="D89" s="60"/>
      <c r="E89" s="60"/>
      <c r="F89" s="60"/>
      <c r="G89" s="60"/>
      <c r="H89" s="60"/>
      <c r="I89" s="60"/>
      <c r="J89" s="60"/>
      <c r="K89" s="60"/>
      <c r="L89" s="60"/>
      <c r="M89" s="60"/>
      <c r="N89" s="60"/>
      <c r="O89" s="60"/>
      <c r="P89" s="60"/>
      <c r="Q89" s="60"/>
      <c r="R89" s="60"/>
      <c r="S89" s="60"/>
      <c r="T89" s="60"/>
      <c r="U89" s="60"/>
      <c r="V89" s="60"/>
      <c r="W89" s="60"/>
      <c r="X89" s="60"/>
      <c r="Y89" s="60"/>
      <c r="Z89" s="676"/>
      <c r="AA89" s="676"/>
      <c r="AB89" s="677"/>
      <c r="AC89" s="60"/>
      <c r="AD89" s="59"/>
      <c r="AF89" s="319"/>
      <c r="AG89" s="319"/>
      <c r="AH89" s="319"/>
      <c r="AI89" s="319"/>
      <c r="AJ89" s="319"/>
      <c r="AK89" s="319"/>
      <c r="AL89" s="319"/>
      <c r="AS89" s="319"/>
      <c r="AT89" s="114"/>
      <c r="AU89" s="114"/>
      <c r="AV89" s="227"/>
    </row>
    <row r="90" spans="2:50" ht="12.75" customHeight="1" x14ac:dyDescent="0.2">
      <c r="B90" s="59"/>
      <c r="C90" s="59"/>
      <c r="D90" s="60"/>
      <c r="E90" s="60"/>
      <c r="F90" s="60"/>
      <c r="G90" s="60"/>
      <c r="H90" s="60"/>
      <c r="I90" s="60"/>
      <c r="J90" s="60"/>
      <c r="K90" s="60"/>
      <c r="L90" s="60"/>
      <c r="M90" s="60"/>
      <c r="N90" s="60"/>
      <c r="O90" s="60"/>
      <c r="P90" s="60"/>
      <c r="Q90" s="60"/>
      <c r="R90" s="60"/>
      <c r="S90" s="60"/>
      <c r="T90" s="60"/>
      <c r="U90" s="60"/>
      <c r="W90" s="60"/>
      <c r="X90" s="60"/>
      <c r="Y90" s="60"/>
      <c r="Z90" s="60"/>
      <c r="AA90" s="60"/>
      <c r="AB90" s="114"/>
      <c r="AC90" s="60"/>
      <c r="AD90" s="59"/>
      <c r="AE90" s="583" t="str">
        <f>'Sprachen &amp; Rückgabewerte(3)'!$H$102</f>
        <v>Diese Bestellung ist verbindlich und muss komplett ausgefüllt werden. Änderungen werden als Mehraufwand verrechnet.</v>
      </c>
      <c r="AF90" s="583"/>
      <c r="AG90" s="583"/>
      <c r="AH90" s="583"/>
      <c r="AI90" s="583"/>
      <c r="AJ90" s="583"/>
      <c r="AK90" s="583"/>
      <c r="AL90" s="583"/>
      <c r="AM90" s="583"/>
      <c r="AN90" s="583"/>
      <c r="AO90" s="583"/>
      <c r="AP90" s="583"/>
      <c r="AQ90" s="583"/>
      <c r="AR90" s="583"/>
      <c r="AS90" s="583"/>
      <c r="AT90" s="114"/>
      <c r="AU90" s="114"/>
      <c r="AV90" s="227"/>
    </row>
    <row r="91" spans="2:50" ht="12.75" customHeight="1" x14ac:dyDescent="0.2">
      <c r="B91" s="59"/>
      <c r="C91" s="59"/>
      <c r="D91" s="60"/>
      <c r="E91" s="60"/>
      <c r="F91" s="60"/>
      <c r="G91" s="60"/>
      <c r="H91" s="60"/>
      <c r="I91" s="60"/>
      <c r="J91" s="60"/>
      <c r="K91" s="60"/>
      <c r="L91" s="60"/>
      <c r="M91" s="60"/>
      <c r="N91" s="60"/>
      <c r="O91" s="60"/>
      <c r="P91" s="60"/>
      <c r="Q91" s="60"/>
      <c r="R91" s="60"/>
      <c r="S91" s="60"/>
      <c r="T91" s="60"/>
      <c r="U91" s="60"/>
      <c r="V91" s="60"/>
      <c r="W91" s="60"/>
      <c r="X91" s="60"/>
      <c r="Y91" s="60"/>
      <c r="Z91" s="678"/>
      <c r="AA91" s="678"/>
      <c r="AB91" s="679"/>
      <c r="AC91" s="60"/>
      <c r="AD91" s="59"/>
      <c r="AE91" s="583"/>
      <c r="AF91" s="583"/>
      <c r="AG91" s="583"/>
      <c r="AH91" s="583"/>
      <c r="AI91" s="583"/>
      <c r="AJ91" s="583"/>
      <c r="AK91" s="583"/>
      <c r="AL91" s="583"/>
      <c r="AM91" s="583"/>
      <c r="AN91" s="583"/>
      <c r="AO91" s="583"/>
      <c r="AP91" s="583"/>
      <c r="AQ91" s="583"/>
      <c r="AR91" s="583"/>
      <c r="AS91" s="583"/>
      <c r="AT91" s="114"/>
      <c r="AU91" s="114"/>
      <c r="AV91" s="227"/>
    </row>
    <row r="92" spans="2:50" ht="12.75" customHeight="1" x14ac:dyDescent="0.2">
      <c r="B92" s="59"/>
      <c r="C92" s="59"/>
      <c r="D92" s="60"/>
      <c r="E92" s="60"/>
      <c r="F92" s="60"/>
      <c r="G92" s="60"/>
      <c r="H92" s="60"/>
      <c r="I92" s="60"/>
      <c r="J92" s="60"/>
      <c r="K92" s="60"/>
      <c r="L92" s="60"/>
      <c r="M92" s="60"/>
      <c r="N92" s="60"/>
      <c r="O92" s="60"/>
      <c r="P92" s="60"/>
      <c r="Q92" s="60"/>
      <c r="R92" s="60"/>
      <c r="S92" s="60"/>
      <c r="T92" s="60"/>
      <c r="U92" s="60"/>
      <c r="V92" s="60"/>
      <c r="W92" s="60"/>
      <c r="X92" s="60"/>
      <c r="Y92" s="60"/>
      <c r="Z92" s="678"/>
      <c r="AA92" s="678"/>
      <c r="AB92" s="679"/>
      <c r="AC92" s="60"/>
      <c r="AD92" s="59"/>
      <c r="AE92" s="583"/>
      <c r="AF92" s="583"/>
      <c r="AG92" s="583"/>
      <c r="AH92" s="583"/>
      <c r="AI92" s="583"/>
      <c r="AJ92" s="583"/>
      <c r="AK92" s="583"/>
      <c r="AL92" s="583"/>
      <c r="AM92" s="583"/>
      <c r="AN92" s="583"/>
      <c r="AO92" s="583"/>
      <c r="AP92" s="583"/>
      <c r="AQ92" s="583"/>
      <c r="AR92" s="583"/>
      <c r="AS92" s="583"/>
      <c r="AT92" s="114"/>
      <c r="AU92" s="114"/>
      <c r="AV92" s="227"/>
    </row>
    <row r="93" spans="2:50" ht="12.75" customHeight="1" x14ac:dyDescent="0.2">
      <c r="B93" s="59"/>
      <c r="C93" s="59"/>
      <c r="D93" s="60"/>
      <c r="E93" s="60"/>
      <c r="F93" s="60"/>
      <c r="G93" s="60"/>
      <c r="H93" s="60"/>
      <c r="I93" s="60"/>
      <c r="J93" s="60"/>
      <c r="K93" s="60"/>
      <c r="L93" s="60"/>
      <c r="M93" s="60"/>
      <c r="N93" s="60"/>
      <c r="O93" s="60"/>
      <c r="P93" s="60"/>
      <c r="Q93" s="60"/>
      <c r="R93" s="60"/>
      <c r="S93" s="60"/>
      <c r="T93" s="60"/>
      <c r="U93" s="60"/>
      <c r="V93" s="60"/>
      <c r="W93" s="60"/>
      <c r="X93" s="60"/>
      <c r="Y93" s="60"/>
      <c r="Z93" s="678"/>
      <c r="AA93" s="678"/>
      <c r="AB93" s="679"/>
      <c r="AC93" s="60"/>
      <c r="AD93" s="67"/>
      <c r="AE93" s="83"/>
      <c r="AF93" s="83"/>
      <c r="AG93" s="83"/>
      <c r="AH93" s="83"/>
      <c r="AI93" s="83"/>
      <c r="AJ93" s="83"/>
      <c r="AK93" s="83"/>
      <c r="AL93" s="83"/>
      <c r="AM93" s="83"/>
      <c r="AN93" s="83"/>
      <c r="AO93" s="83"/>
      <c r="AP93" s="83"/>
      <c r="AQ93" s="83"/>
      <c r="AR93" s="83"/>
      <c r="AS93" s="83"/>
      <c r="AT93" s="115"/>
      <c r="AU93" s="114"/>
      <c r="AV93" s="227"/>
    </row>
    <row r="94" spans="2:50" ht="12.75" customHeight="1" x14ac:dyDescent="0.2">
      <c r="B94" s="59"/>
      <c r="C94" s="59"/>
      <c r="D94" s="60"/>
      <c r="E94" s="60"/>
      <c r="F94" s="60"/>
      <c r="G94" s="60"/>
      <c r="H94" s="60"/>
      <c r="I94" s="60"/>
      <c r="J94" s="60"/>
      <c r="K94" s="60"/>
      <c r="L94" s="60"/>
      <c r="M94" s="60"/>
      <c r="N94" s="60"/>
      <c r="O94" s="60"/>
      <c r="P94" s="60"/>
      <c r="Q94" s="60"/>
      <c r="R94" s="60"/>
      <c r="S94" s="60"/>
      <c r="T94" s="60"/>
      <c r="U94" s="60"/>
      <c r="V94" s="60"/>
      <c r="W94" s="60"/>
      <c r="X94" s="60"/>
      <c r="Y94" s="60"/>
      <c r="Z94" s="60"/>
      <c r="AA94" s="60"/>
      <c r="AB94" s="114"/>
      <c r="AC94" s="60"/>
      <c r="AD94" s="60"/>
      <c r="AE94" s="60"/>
      <c r="AF94" s="60"/>
      <c r="AG94" s="60"/>
      <c r="AH94" s="60"/>
      <c r="AI94" s="60"/>
      <c r="AJ94" s="60"/>
      <c r="AK94" s="71"/>
      <c r="AL94" s="71"/>
      <c r="AM94" s="71"/>
      <c r="AN94" s="71"/>
      <c r="AO94" s="71"/>
      <c r="AP94" s="71"/>
      <c r="AQ94" s="71"/>
      <c r="AR94" s="60"/>
      <c r="AS94" s="60"/>
      <c r="AT94" s="60"/>
      <c r="AU94" s="114"/>
      <c r="AV94" s="227"/>
    </row>
    <row r="95" spans="2:50" ht="12.75" customHeight="1" x14ac:dyDescent="0.2">
      <c r="B95" s="59"/>
      <c r="C95" s="59"/>
      <c r="D95" s="60"/>
      <c r="E95" s="60"/>
      <c r="F95" s="60"/>
      <c r="G95" s="60"/>
      <c r="H95" s="156" t="str">
        <f>'Sprachen &amp; Rückgabewerte(3)'!$B$48</f>
        <v>110101/110301</v>
      </c>
      <c r="I95" s="60"/>
      <c r="J95" s="60"/>
      <c r="K95" s="60"/>
      <c r="L95" s="60"/>
      <c r="M95" s="60"/>
      <c r="N95" s="60"/>
      <c r="O95" s="156" t="str">
        <f>'Sprachen &amp; Rückgabewerte(3)'!$B$49</f>
        <v>110101/110501</v>
      </c>
      <c r="P95" s="60"/>
      <c r="Q95" s="60"/>
      <c r="R95" s="60"/>
      <c r="S95" s="60"/>
      <c r="T95" s="60"/>
      <c r="U95" s="60"/>
      <c r="V95" s="156" t="str">
        <f>'Sprachen &amp; Rückgabewerte(3)'!$H$116</f>
        <v>Ganzglas-Ecke</v>
      </c>
      <c r="W95" s="60"/>
      <c r="X95" s="60"/>
      <c r="Y95" s="60"/>
      <c r="Z95" s="60"/>
      <c r="AA95" s="60"/>
      <c r="AB95" s="114"/>
      <c r="AC95" s="60"/>
      <c r="AD95" s="111"/>
      <c r="AE95" s="119"/>
      <c r="AF95" s="119"/>
      <c r="AG95" s="119"/>
      <c r="AH95" s="119"/>
      <c r="AI95" s="119"/>
      <c r="AJ95" s="119"/>
      <c r="AK95" s="119"/>
      <c r="AL95" s="119"/>
      <c r="AM95" s="119"/>
      <c r="AN95" s="119"/>
      <c r="AO95" s="119"/>
      <c r="AP95" s="119"/>
      <c r="AQ95" s="119"/>
      <c r="AR95" s="119"/>
      <c r="AS95" s="119"/>
      <c r="AT95" s="406"/>
      <c r="AU95" s="114"/>
      <c r="AV95" s="227"/>
      <c r="AW95" s="407" t="str">
        <f>'Sprachen &amp; Rückgabewerte(3)'!H182</f>
        <v>Beratungsnummer: (z.B. P123456)</v>
      </c>
    </row>
    <row r="96" spans="2:50" ht="12.75" customHeight="1" x14ac:dyDescent="0.2">
      <c r="B96" s="59"/>
      <c r="C96" s="59"/>
      <c r="D96" s="60"/>
      <c r="E96" s="60"/>
      <c r="F96" s="60"/>
      <c r="G96" s="60"/>
      <c r="H96" s="665"/>
      <c r="I96" s="666"/>
      <c r="J96" s="666"/>
      <c r="K96" s="667"/>
      <c r="L96" s="60"/>
      <c r="M96" s="60"/>
      <c r="N96" s="60"/>
      <c r="O96" s="665"/>
      <c r="P96" s="666"/>
      <c r="Q96" s="666"/>
      <c r="R96" s="667"/>
      <c r="S96" s="60"/>
      <c r="T96" s="60"/>
      <c r="U96" s="60"/>
      <c r="V96" s="60"/>
      <c r="W96" s="60"/>
      <c r="X96" s="60"/>
      <c r="Y96" s="60"/>
      <c r="Z96" s="60"/>
      <c r="AA96" s="60"/>
      <c r="AB96" s="114"/>
      <c r="AC96" s="60"/>
      <c r="AD96" s="59"/>
      <c r="AE96" s="72" t="str">
        <f>'Sprachen &amp; Rückgabewerte(3)'!H181</f>
        <v>Sky-Frame Beratung vorhanden:</v>
      </c>
      <c r="AF96" s="71"/>
      <c r="AG96" s="71"/>
      <c r="AH96" s="71"/>
      <c r="AI96" s="71"/>
      <c r="AJ96" s="71"/>
      <c r="AK96" s="71"/>
      <c r="AL96" s="71"/>
      <c r="AM96" s="71"/>
      <c r="AN96" s="71"/>
      <c r="AO96" s="71"/>
      <c r="AP96" s="71"/>
      <c r="AQ96" s="544"/>
      <c r="AR96" s="545"/>
      <c r="AS96" s="408"/>
      <c r="AT96" s="125"/>
      <c r="AU96" s="115"/>
      <c r="AV96" s="409"/>
      <c r="AW96" s="546"/>
      <c r="AX96" s="547"/>
    </row>
    <row r="97" spans="2:48" ht="12.75" customHeight="1" x14ac:dyDescent="0.2">
      <c r="B97" s="59"/>
      <c r="C97" s="67"/>
      <c r="D97" s="83"/>
      <c r="E97" s="83"/>
      <c r="F97" s="83"/>
      <c r="G97" s="83"/>
      <c r="H97" s="83"/>
      <c r="I97" s="83"/>
      <c r="J97" s="83"/>
      <c r="K97" s="83"/>
      <c r="L97" s="83"/>
      <c r="M97" s="83"/>
      <c r="N97" s="83"/>
      <c r="O97" s="83"/>
      <c r="P97" s="83"/>
      <c r="Q97" s="83"/>
      <c r="R97" s="83"/>
      <c r="S97" s="83"/>
      <c r="T97" s="83"/>
      <c r="U97" s="83"/>
      <c r="V97" s="83"/>
      <c r="W97" s="83"/>
      <c r="X97" s="83"/>
      <c r="Y97" s="83"/>
      <c r="Z97" s="83"/>
      <c r="AA97" s="83"/>
      <c r="AB97" s="115"/>
      <c r="AC97" s="60"/>
      <c r="AD97" s="67"/>
      <c r="AE97" s="124"/>
      <c r="AF97" s="124"/>
      <c r="AG97" s="124"/>
      <c r="AH97" s="124"/>
      <c r="AI97" s="124"/>
      <c r="AJ97" s="124"/>
      <c r="AK97" s="124"/>
      <c r="AL97" s="124"/>
      <c r="AM97" s="124"/>
      <c r="AN97" s="124"/>
      <c r="AO97" s="124"/>
      <c r="AP97" s="124"/>
      <c r="AQ97" s="124"/>
      <c r="AR97" s="124"/>
      <c r="AS97" s="124"/>
      <c r="AT97" s="125"/>
      <c r="AU97" s="114"/>
      <c r="AV97" s="227"/>
    </row>
    <row r="98" spans="2:48" ht="19.5" customHeight="1" x14ac:dyDescent="0.2">
      <c r="B98" s="67"/>
      <c r="C98" s="680" t="s">
        <v>891</v>
      </c>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83"/>
      <c r="AQ98" s="83"/>
      <c r="AR98" s="83"/>
      <c r="AS98" s="83"/>
      <c r="AT98" s="158" t="s">
        <v>892</v>
      </c>
      <c r="AU98" s="115"/>
      <c r="AV98" s="227"/>
    </row>
    <row r="99" spans="2:48" ht="19.5" customHeight="1" x14ac:dyDescent="0.2">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254"/>
      <c r="AU99" s="60"/>
      <c r="AV99" s="114"/>
    </row>
    <row r="100" spans="2:48" x14ac:dyDescent="0.2">
      <c r="AV100" s="115"/>
    </row>
    <row r="101" spans="2:48" ht="13.5" thickBot="1" x14ac:dyDescent="0.25">
      <c r="B101" s="11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113"/>
    </row>
    <row r="102" spans="2:48" ht="16.5" thickTop="1" x14ac:dyDescent="0.25">
      <c r="B102" s="59"/>
      <c r="C102" s="111"/>
      <c r="D102" s="81"/>
      <c r="E102" s="272" t="str">
        <f>'Sprachen &amp; Rückgabewerte(3)'!$H$138</f>
        <v>Rinnenbestellung</v>
      </c>
      <c r="F102" s="81"/>
      <c r="G102" s="81"/>
      <c r="H102" s="81"/>
      <c r="I102" s="81"/>
      <c r="J102" s="81"/>
      <c r="K102" s="81"/>
      <c r="L102" s="81"/>
      <c r="M102" s="81"/>
      <c r="N102" s="81"/>
      <c r="O102" s="81"/>
      <c r="P102" s="81"/>
      <c r="Q102" s="81"/>
      <c r="R102" s="81"/>
      <c r="S102" s="81"/>
      <c r="T102" s="81"/>
      <c r="U102" s="81"/>
      <c r="V102" s="81"/>
      <c r="W102" s="81"/>
      <c r="X102" s="81"/>
      <c r="Y102" s="81"/>
      <c r="Z102" s="113"/>
      <c r="AA102" s="60"/>
      <c r="AB102" s="239"/>
      <c r="AC102" s="240"/>
      <c r="AD102" s="240"/>
      <c r="AE102" s="240"/>
      <c r="AF102" s="255"/>
      <c r="AG102" s="256"/>
      <c r="AH102" s="259"/>
      <c r="AI102" s="255"/>
      <c r="AJ102" s="255"/>
      <c r="AK102" s="255"/>
      <c r="AL102" s="255"/>
      <c r="AM102" s="256"/>
      <c r="AN102" s="259"/>
      <c r="AO102" s="255"/>
      <c r="AP102" s="255"/>
      <c r="AQ102" s="255"/>
      <c r="AR102" s="255"/>
      <c r="AS102" s="255"/>
      <c r="AT102" s="256"/>
      <c r="AU102" s="114"/>
    </row>
    <row r="103" spans="2:48" x14ac:dyDescent="0.2">
      <c r="B103" s="59"/>
      <c r="C103" s="59"/>
      <c r="D103" s="60"/>
      <c r="E103" s="60"/>
      <c r="F103" s="60"/>
      <c r="G103" s="60"/>
      <c r="H103" s="60"/>
      <c r="I103" s="60"/>
      <c r="J103" s="60"/>
      <c r="K103" s="60"/>
      <c r="L103" s="60"/>
      <c r="M103" s="60"/>
      <c r="N103" s="60"/>
      <c r="O103" s="60"/>
      <c r="P103" s="60"/>
      <c r="Q103" s="60"/>
      <c r="R103" s="60"/>
      <c r="S103" s="60"/>
      <c r="T103" s="60"/>
      <c r="U103" s="60"/>
      <c r="V103" s="60"/>
      <c r="W103" s="60"/>
      <c r="X103" s="60"/>
      <c r="Y103" s="60"/>
      <c r="Z103" s="114"/>
      <c r="AA103" s="60"/>
      <c r="AB103" s="242"/>
      <c r="AC103" s="60"/>
      <c r="AD103" s="60"/>
      <c r="AE103" s="60"/>
      <c r="AF103" s="132"/>
      <c r="AG103" s="257"/>
      <c r="AH103" s="260"/>
      <c r="AI103" s="132"/>
      <c r="AJ103" s="132"/>
      <c r="AK103" s="132"/>
      <c r="AL103" s="132"/>
      <c r="AM103" s="257"/>
      <c r="AN103" s="260"/>
      <c r="AO103" s="132"/>
      <c r="AP103" s="132"/>
      <c r="AQ103" s="132"/>
      <c r="AR103" s="132"/>
      <c r="AS103" s="132"/>
      <c r="AT103" s="257"/>
      <c r="AU103" s="133"/>
    </row>
    <row r="104" spans="2:48" ht="15" customHeight="1" x14ac:dyDescent="0.2">
      <c r="B104" s="59"/>
      <c r="C104" s="59"/>
      <c r="D104" s="60"/>
      <c r="E104" s="71" t="str">
        <f>'Sprachen &amp; Rückgabewerte(3)'!$H$139</f>
        <v>Wahl des Rinnensystems:</v>
      </c>
      <c r="F104" s="60"/>
      <c r="G104" s="60"/>
      <c r="H104" s="60"/>
      <c r="I104" s="60"/>
      <c r="J104" s="60"/>
      <c r="K104" s="60"/>
      <c r="L104" s="60"/>
      <c r="M104" s="60"/>
      <c r="N104" s="60"/>
      <c r="O104" s="60"/>
      <c r="P104" s="60"/>
      <c r="Q104" s="60"/>
      <c r="R104" s="60"/>
      <c r="S104" s="60"/>
      <c r="T104" s="717"/>
      <c r="U104" s="718"/>
      <c r="V104" s="237"/>
      <c r="W104" s="237"/>
      <c r="X104" s="60"/>
      <c r="Y104" s="60"/>
      <c r="Z104" s="114"/>
      <c r="AB104" s="242"/>
      <c r="AC104" s="60"/>
      <c r="AD104" s="60"/>
      <c r="AE104" s="60"/>
      <c r="AF104" s="132"/>
      <c r="AG104" s="257"/>
      <c r="AH104" s="260"/>
      <c r="AI104" s="132"/>
      <c r="AJ104" s="132"/>
      <c r="AK104" s="132"/>
      <c r="AL104" s="132"/>
      <c r="AM104" s="257"/>
      <c r="AN104" s="260"/>
      <c r="AO104" s="132"/>
      <c r="AP104" s="132"/>
      <c r="AQ104" s="132"/>
      <c r="AR104" s="132"/>
      <c r="AS104" s="132"/>
      <c r="AT104" s="257"/>
      <c r="AU104" s="133"/>
    </row>
    <row r="105" spans="2:48" x14ac:dyDescent="0.2">
      <c r="B105" s="59"/>
      <c r="C105" s="59"/>
      <c r="D105" s="60"/>
      <c r="E105" s="60"/>
      <c r="F105" s="60"/>
      <c r="G105" s="60"/>
      <c r="H105" s="60"/>
      <c r="I105" s="60"/>
      <c r="J105" s="60"/>
      <c r="K105" s="60"/>
      <c r="L105" s="60"/>
      <c r="M105" s="60"/>
      <c r="N105" s="60"/>
      <c r="O105" s="60"/>
      <c r="P105" s="60"/>
      <c r="Q105" s="60"/>
      <c r="R105" s="60"/>
      <c r="S105" s="60"/>
      <c r="T105" s="60"/>
      <c r="U105" s="60"/>
      <c r="V105" s="60"/>
      <c r="W105" s="60"/>
      <c r="X105" s="60"/>
      <c r="Y105" s="60"/>
      <c r="Z105" s="114"/>
      <c r="AB105" s="242"/>
      <c r="AC105" s="60"/>
      <c r="AD105" s="60"/>
      <c r="AE105" s="60"/>
      <c r="AF105" s="132"/>
      <c r="AG105" s="257"/>
      <c r="AH105" s="260"/>
      <c r="AI105" s="132"/>
      <c r="AJ105" s="132"/>
      <c r="AK105" s="132"/>
      <c r="AL105" s="132"/>
      <c r="AM105" s="257"/>
      <c r="AN105" s="260"/>
      <c r="AO105" s="132"/>
      <c r="AP105" s="132"/>
      <c r="AQ105" s="132"/>
      <c r="AR105" s="132"/>
      <c r="AS105" s="132"/>
      <c r="AT105" s="257"/>
      <c r="AU105" s="133"/>
    </row>
    <row r="106" spans="2:48" ht="15" customHeight="1" x14ac:dyDescent="0.2">
      <c r="B106" s="59"/>
      <c r="C106" s="59"/>
      <c r="D106" s="60"/>
      <c r="E106" s="71" t="str">
        <f>'Sprachen &amp; Rückgabewerte(3)'!$H$140</f>
        <v>Einzug an der linken Anlagenseite:</v>
      </c>
      <c r="F106" s="60"/>
      <c r="G106" s="60"/>
      <c r="H106" s="60"/>
      <c r="I106" s="60"/>
      <c r="J106" s="60"/>
      <c r="K106" s="60"/>
      <c r="L106" s="60"/>
      <c r="M106" s="60"/>
      <c r="N106" s="60"/>
      <c r="O106" s="60"/>
      <c r="P106" s="60"/>
      <c r="Q106" s="60"/>
      <c r="R106" s="60"/>
      <c r="S106" s="60"/>
      <c r="T106" s="670"/>
      <c r="U106" s="719"/>
      <c r="V106" s="60" t="s">
        <v>179</v>
      </c>
      <c r="W106" s="60"/>
      <c r="X106" s="60"/>
      <c r="Y106" s="60"/>
      <c r="Z106" s="114"/>
      <c r="AB106" s="242"/>
      <c r="AC106" s="60"/>
      <c r="AD106" s="60"/>
      <c r="AE106" s="60"/>
      <c r="AF106" s="132"/>
      <c r="AG106" s="257"/>
      <c r="AH106" s="260"/>
      <c r="AI106" s="132"/>
      <c r="AJ106" s="132"/>
      <c r="AK106" s="132"/>
      <c r="AL106" s="132"/>
      <c r="AM106" s="257"/>
      <c r="AN106" s="260"/>
      <c r="AO106" s="132"/>
      <c r="AP106" s="132"/>
      <c r="AQ106" s="132"/>
      <c r="AR106" s="132"/>
      <c r="AS106" s="132"/>
      <c r="AT106" s="257"/>
      <c r="AU106" s="133"/>
    </row>
    <row r="107" spans="2:48" x14ac:dyDescent="0.2">
      <c r="B107" s="59"/>
      <c r="C107" s="59"/>
      <c r="D107" s="60"/>
      <c r="E107" s="60"/>
      <c r="F107" s="60"/>
      <c r="G107" s="60"/>
      <c r="H107" s="60"/>
      <c r="I107" s="60"/>
      <c r="J107" s="60"/>
      <c r="K107" s="60"/>
      <c r="L107" s="60"/>
      <c r="M107" s="60"/>
      <c r="N107" s="60"/>
      <c r="O107" s="60"/>
      <c r="P107" s="60"/>
      <c r="Q107" s="60"/>
      <c r="R107" s="60"/>
      <c r="S107" s="60"/>
      <c r="T107" s="60"/>
      <c r="U107" s="60"/>
      <c r="V107" s="60"/>
      <c r="W107" s="60"/>
      <c r="X107" s="60"/>
      <c r="Y107" s="60"/>
      <c r="Z107" s="114"/>
      <c r="AB107" s="242"/>
      <c r="AC107" s="60"/>
      <c r="AD107" s="60"/>
      <c r="AE107" s="60"/>
      <c r="AF107" s="132"/>
      <c r="AG107" s="257"/>
      <c r="AH107" s="260"/>
      <c r="AI107" s="132"/>
      <c r="AJ107" s="132"/>
      <c r="AK107" s="132"/>
      <c r="AL107" s="132"/>
      <c r="AM107" s="257"/>
      <c r="AN107" s="260"/>
      <c r="AO107" s="132"/>
      <c r="AP107" s="132"/>
      <c r="AQ107" s="132"/>
      <c r="AR107" s="132"/>
      <c r="AS107" s="132"/>
      <c r="AT107" s="257"/>
      <c r="AU107" s="133"/>
    </row>
    <row r="108" spans="2:48" ht="15" customHeight="1" x14ac:dyDescent="0.2">
      <c r="B108" s="59"/>
      <c r="C108" s="59"/>
      <c r="D108" s="60"/>
      <c r="E108" s="71" t="str">
        <f>'Sprachen &amp; Rückgabewerte(3)'!$H$141</f>
        <v>Einzug an der rechten Anlagenseite:</v>
      </c>
      <c r="F108" s="60"/>
      <c r="G108" s="60"/>
      <c r="H108" s="60"/>
      <c r="I108" s="60"/>
      <c r="J108" s="60"/>
      <c r="K108" s="60"/>
      <c r="L108" s="60"/>
      <c r="M108" s="60"/>
      <c r="N108" s="60"/>
      <c r="O108" s="60"/>
      <c r="P108" s="60"/>
      <c r="Q108" s="60"/>
      <c r="R108" s="60"/>
      <c r="S108" s="60"/>
      <c r="T108" s="670"/>
      <c r="U108" s="719"/>
      <c r="V108" s="60" t="s">
        <v>179</v>
      </c>
      <c r="W108" s="60"/>
      <c r="X108" s="60"/>
      <c r="Y108" s="60"/>
      <c r="Z108" s="114"/>
      <c r="AB108" s="242"/>
      <c r="AC108" s="60"/>
      <c r="AD108" s="60"/>
      <c r="AE108" s="60"/>
      <c r="AF108" s="132"/>
      <c r="AG108" s="257"/>
      <c r="AH108" s="260"/>
      <c r="AI108" s="132"/>
      <c r="AJ108" s="132"/>
      <c r="AK108" s="132"/>
      <c r="AL108" s="132"/>
      <c r="AM108" s="257"/>
      <c r="AN108" s="260"/>
      <c r="AO108" s="132"/>
      <c r="AP108" s="132"/>
      <c r="AQ108" s="132"/>
      <c r="AR108" s="132"/>
      <c r="AS108" s="132"/>
      <c r="AT108" s="257"/>
      <c r="AU108" s="133"/>
    </row>
    <row r="109" spans="2:48" x14ac:dyDescent="0.2">
      <c r="B109" s="59"/>
      <c r="C109" s="59"/>
      <c r="D109" s="60"/>
      <c r="E109" s="60"/>
      <c r="F109" s="60"/>
      <c r="G109" s="60"/>
      <c r="H109" s="60"/>
      <c r="I109" s="60"/>
      <c r="J109" s="60"/>
      <c r="K109" s="60"/>
      <c r="L109" s="60"/>
      <c r="M109" s="60"/>
      <c r="N109" s="60"/>
      <c r="O109" s="60"/>
      <c r="P109" s="60"/>
      <c r="Q109" s="60"/>
      <c r="R109" s="60"/>
      <c r="S109" s="60"/>
      <c r="T109" s="60"/>
      <c r="U109" s="60"/>
      <c r="V109" s="60"/>
      <c r="W109" s="60"/>
      <c r="X109" s="60"/>
      <c r="Y109" s="60"/>
      <c r="Z109" s="114"/>
      <c r="AB109" s="242"/>
      <c r="AC109" s="60"/>
      <c r="AD109" s="60"/>
      <c r="AE109" s="60"/>
      <c r="AF109" s="132"/>
      <c r="AG109" s="257"/>
      <c r="AH109" s="260"/>
      <c r="AI109" s="132"/>
      <c r="AJ109" s="132"/>
      <c r="AK109" s="132"/>
      <c r="AL109" s="132"/>
      <c r="AM109" s="257"/>
      <c r="AN109" s="260"/>
      <c r="AO109" s="132"/>
      <c r="AP109" s="132"/>
      <c r="AQ109" s="132"/>
      <c r="AR109" s="132"/>
      <c r="AS109" s="132"/>
      <c r="AT109" s="257"/>
      <c r="AU109" s="133"/>
    </row>
    <row r="110" spans="2:48" ht="15" customHeight="1" x14ac:dyDescent="0.2">
      <c r="B110" s="59"/>
      <c r="C110" s="59"/>
      <c r="D110" s="60"/>
      <c r="E110" s="71" t="str">
        <f>'Sprachen &amp; Rückgabewerte(3)'!$H$142</f>
        <v>Anschlussstutzen:</v>
      </c>
      <c r="F110" s="60"/>
      <c r="G110" s="60"/>
      <c r="H110" s="60"/>
      <c r="I110" s="60"/>
      <c r="J110" s="60"/>
      <c r="K110" s="60"/>
      <c r="L110" s="60"/>
      <c r="M110" s="60"/>
      <c r="N110" s="60"/>
      <c r="O110" s="60"/>
      <c r="P110" s="60"/>
      <c r="Q110" s="60"/>
      <c r="R110" s="60"/>
      <c r="S110" s="60"/>
      <c r="T110" s="717"/>
      <c r="U110" s="720"/>
      <c r="V110" s="720"/>
      <c r="W110" s="720"/>
      <c r="X110" s="720"/>
      <c r="Y110" s="718"/>
      <c r="Z110" s="530"/>
      <c r="AB110" s="261"/>
      <c r="AC110" s="262"/>
      <c r="AD110" s="262"/>
      <c r="AE110" s="262"/>
      <c r="AF110" s="263"/>
      <c r="AG110" s="264"/>
      <c r="AH110" s="265"/>
      <c r="AI110" s="263"/>
      <c r="AJ110" s="263"/>
      <c r="AK110" s="263"/>
      <c r="AL110" s="263"/>
      <c r="AM110" s="264"/>
      <c r="AN110" s="265"/>
      <c r="AO110" s="263"/>
      <c r="AP110" s="263"/>
      <c r="AQ110" s="263"/>
      <c r="AR110" s="263"/>
      <c r="AS110" s="263"/>
      <c r="AT110" s="264"/>
      <c r="AU110" s="133"/>
    </row>
    <row r="111" spans="2:48" x14ac:dyDescent="0.2">
      <c r="B111" s="59"/>
      <c r="C111" s="59"/>
      <c r="D111" s="60"/>
      <c r="E111" s="60"/>
      <c r="F111" s="60"/>
      <c r="G111" s="60"/>
      <c r="H111" s="60"/>
      <c r="I111" s="60"/>
      <c r="J111" s="60"/>
      <c r="K111" s="60"/>
      <c r="L111" s="60"/>
      <c r="M111" s="60"/>
      <c r="N111" s="60"/>
      <c r="O111" s="60"/>
      <c r="P111" s="60"/>
      <c r="Q111" s="60"/>
      <c r="R111" s="60"/>
      <c r="S111" s="60"/>
      <c r="T111" s="60"/>
      <c r="U111" s="60"/>
      <c r="V111" s="60"/>
      <c r="W111" s="60"/>
      <c r="X111" s="60"/>
      <c r="Y111" s="60"/>
      <c r="Z111" s="114"/>
      <c r="AB111" s="266"/>
      <c r="AC111" s="267"/>
      <c r="AD111" s="267"/>
      <c r="AE111" s="267"/>
      <c r="AF111" s="268"/>
      <c r="AG111" s="269"/>
      <c r="AH111" s="268"/>
      <c r="AI111" s="268"/>
      <c r="AJ111" s="268"/>
      <c r="AK111" s="268"/>
      <c r="AL111" s="268"/>
      <c r="AM111" s="268"/>
      <c r="AN111" s="270"/>
      <c r="AO111" s="268"/>
      <c r="AP111" s="268"/>
      <c r="AQ111" s="268"/>
      <c r="AR111" s="268"/>
      <c r="AS111" s="268"/>
      <c r="AT111" s="269"/>
      <c r="AU111" s="133"/>
    </row>
    <row r="112" spans="2:48" ht="15" customHeight="1" x14ac:dyDescent="0.2">
      <c r="B112" s="59"/>
      <c r="C112" s="59"/>
      <c r="D112" s="60"/>
      <c r="E112" s="60"/>
      <c r="F112" s="60"/>
      <c r="G112" s="60"/>
      <c r="H112" s="60"/>
      <c r="I112" s="60"/>
      <c r="J112" s="60"/>
      <c r="K112" s="60"/>
      <c r="L112" s="60"/>
      <c r="M112" s="60"/>
      <c r="N112" s="60"/>
      <c r="O112" s="60"/>
      <c r="P112" s="60"/>
      <c r="Q112" s="60"/>
      <c r="R112" s="275" t="str">
        <f>IF($T$110='Sprachen &amp; Rückgabewerte(3)'!$J$143,'Sprachen &amp; Rückgabewerte(3)'!$H$145,'Sprachen &amp; Rückgabewerte(3)'!$H$148)</f>
        <v>Abstände Ablaufstutzen (E):</v>
      </c>
      <c r="S112" s="60"/>
      <c r="T112" s="721"/>
      <c r="U112" s="722"/>
      <c r="V112" s="722"/>
      <c r="W112" s="722"/>
      <c r="X112" s="722"/>
      <c r="Y112" s="723"/>
      <c r="Z112" s="531"/>
      <c r="AB112" s="242"/>
      <c r="AC112" s="60"/>
      <c r="AD112" s="60"/>
      <c r="AE112" s="60"/>
      <c r="AF112" s="132"/>
      <c r="AG112" s="257"/>
      <c r="AH112" s="132"/>
      <c r="AI112" s="132"/>
      <c r="AJ112" s="132"/>
      <c r="AK112" s="132"/>
      <c r="AL112" s="132"/>
      <c r="AM112" s="132"/>
      <c r="AN112" s="260"/>
      <c r="AO112" s="132"/>
      <c r="AP112" s="132"/>
      <c r="AQ112" s="132"/>
      <c r="AR112" s="132"/>
      <c r="AS112" s="132"/>
      <c r="AT112" s="257"/>
      <c r="AU112" s="133"/>
    </row>
    <row r="113" spans="2:47" x14ac:dyDescent="0.2">
      <c r="B113" s="59"/>
      <c r="C113" s="59"/>
      <c r="D113" s="60"/>
      <c r="E113" s="276"/>
      <c r="F113" s="276"/>
      <c r="G113" s="276"/>
      <c r="H113" s="276"/>
      <c r="I113" s="276"/>
      <c r="J113" s="276"/>
      <c r="K113" s="276"/>
      <c r="L113" s="276"/>
      <c r="M113" s="276"/>
      <c r="N113" s="276"/>
      <c r="O113" s="276"/>
      <c r="P113" s="276"/>
      <c r="Q113" s="276"/>
      <c r="R113" s="276"/>
      <c r="S113" s="276"/>
      <c r="T113" s="60"/>
      <c r="U113" s="60"/>
      <c r="V113" s="60"/>
      <c r="W113" s="60"/>
      <c r="X113" s="60"/>
      <c r="Y113" s="60"/>
      <c r="Z113" s="114"/>
      <c r="AB113" s="242"/>
      <c r="AC113" s="60"/>
      <c r="AD113" s="60"/>
      <c r="AE113" s="60"/>
      <c r="AF113" s="132"/>
      <c r="AG113" s="257"/>
      <c r="AH113" s="132"/>
      <c r="AI113" s="132"/>
      <c r="AJ113" s="132"/>
      <c r="AK113" s="132"/>
      <c r="AL113" s="132"/>
      <c r="AM113" s="132"/>
      <c r="AN113" s="260"/>
      <c r="AO113" s="132"/>
      <c r="AP113" s="132"/>
      <c r="AQ113" s="132"/>
      <c r="AR113" s="132"/>
      <c r="AS113" s="132"/>
      <c r="AT113" s="257"/>
      <c r="AU113" s="114"/>
    </row>
    <row r="114" spans="2:47" ht="15" customHeight="1" x14ac:dyDescent="0.2">
      <c r="B114" s="59"/>
      <c r="C114" s="59"/>
      <c r="D114" s="60"/>
      <c r="E114" s="276"/>
      <c r="F114" s="276"/>
      <c r="G114" s="276"/>
      <c r="H114" s="276"/>
      <c r="I114" s="276"/>
      <c r="J114" s="276"/>
      <c r="K114" s="276"/>
      <c r="L114" s="276"/>
      <c r="M114" s="276"/>
      <c r="N114" s="276"/>
      <c r="O114" s="276"/>
      <c r="P114" s="276"/>
      <c r="Q114" s="276"/>
      <c r="R114" s="275" t="str">
        <f>'Sprachen &amp; Rückgabewerte(3)'!H149</f>
        <v>Rinnenanschluss:</v>
      </c>
      <c r="S114" s="276"/>
      <c r="T114" s="717"/>
      <c r="U114" s="718"/>
      <c r="V114" s="60"/>
      <c r="W114" s="60"/>
      <c r="X114" s="60"/>
      <c r="Y114" s="60"/>
      <c r="Z114" s="114"/>
      <c r="AB114" s="242"/>
      <c r="AC114" s="60"/>
      <c r="AD114" s="60"/>
      <c r="AE114" s="60"/>
      <c r="AF114" s="132"/>
      <c r="AG114" s="257"/>
      <c r="AH114" s="132"/>
      <c r="AI114" s="132"/>
      <c r="AJ114" s="132"/>
      <c r="AK114" s="132"/>
      <c r="AL114" s="132"/>
      <c r="AM114" s="132"/>
      <c r="AN114" s="260"/>
      <c r="AO114" s="132"/>
      <c r="AP114" s="132"/>
      <c r="AQ114" s="132"/>
      <c r="AR114" s="132"/>
      <c r="AS114" s="132"/>
      <c r="AT114" s="257"/>
      <c r="AU114" s="114"/>
    </row>
    <row r="115" spans="2:47" x14ac:dyDescent="0.2">
      <c r="B115" s="59"/>
      <c r="C115" s="59"/>
      <c r="D115" s="60"/>
      <c r="E115" s="60"/>
      <c r="F115" s="60"/>
      <c r="G115" s="60"/>
      <c r="H115" s="60"/>
      <c r="I115" s="60"/>
      <c r="J115" s="60"/>
      <c r="K115" s="60"/>
      <c r="L115" s="60"/>
      <c r="M115" s="60"/>
      <c r="N115" s="60"/>
      <c r="O115" s="60"/>
      <c r="P115" s="60"/>
      <c r="Q115" s="60"/>
      <c r="R115" s="60"/>
      <c r="S115" s="60"/>
      <c r="T115" s="60"/>
      <c r="U115" s="60"/>
      <c r="V115" s="60"/>
      <c r="W115" s="60"/>
      <c r="X115" s="60"/>
      <c r="Y115" s="60"/>
      <c r="Z115" s="114"/>
      <c r="AA115" s="60"/>
      <c r="AB115" s="242"/>
      <c r="AC115" s="60"/>
      <c r="AD115" s="60"/>
      <c r="AE115" s="60"/>
      <c r="AF115" s="60"/>
      <c r="AG115" s="257"/>
      <c r="AH115" s="132"/>
      <c r="AI115" s="132"/>
      <c r="AJ115" s="132"/>
      <c r="AK115" s="132"/>
      <c r="AL115" s="132"/>
      <c r="AM115" s="132"/>
      <c r="AN115" s="260"/>
      <c r="AO115" s="60"/>
      <c r="AP115" s="60"/>
      <c r="AQ115" s="60"/>
      <c r="AR115" s="60"/>
      <c r="AS115" s="60"/>
      <c r="AT115" s="244"/>
      <c r="AU115" s="114"/>
    </row>
    <row r="116" spans="2:47" x14ac:dyDescent="0.2">
      <c r="B116" s="59"/>
      <c r="C116" s="59"/>
      <c r="D116" s="60"/>
      <c r="E116" s="664" t="str">
        <f>IF('Sprachen &amp; Rückgabewerte(3)'!$I$50=TRUE,'Sprachen &amp; Rückgabewerte(3)'!$H$102,"")</f>
        <v/>
      </c>
      <c r="F116" s="664"/>
      <c r="G116" s="664"/>
      <c r="H116" s="664"/>
      <c r="I116" s="664"/>
      <c r="J116" s="664"/>
      <c r="K116" s="664"/>
      <c r="L116" s="664"/>
      <c r="M116" s="664"/>
      <c r="N116" s="664"/>
      <c r="O116" s="664"/>
      <c r="P116" s="664"/>
      <c r="Q116" s="664"/>
      <c r="R116" s="664"/>
      <c r="S116" s="60"/>
      <c r="T116" s="60"/>
      <c r="U116" s="60"/>
      <c r="V116" s="60"/>
      <c r="W116" s="60"/>
      <c r="X116" s="60"/>
      <c r="Y116" s="60"/>
      <c r="Z116" s="114"/>
      <c r="AA116" s="60"/>
      <c r="AB116" s="242"/>
      <c r="AC116" s="60"/>
      <c r="AD116" s="60"/>
      <c r="AE116" s="60"/>
      <c r="AF116" s="60"/>
      <c r="AG116" s="257"/>
      <c r="AH116" s="132"/>
      <c r="AI116" s="132"/>
      <c r="AJ116" s="132"/>
      <c r="AK116" s="132"/>
      <c r="AL116" s="132"/>
      <c r="AM116" s="132"/>
      <c r="AN116" s="260"/>
      <c r="AO116" s="60"/>
      <c r="AP116" s="60"/>
      <c r="AQ116" s="60"/>
      <c r="AR116" s="60"/>
      <c r="AS116" s="60"/>
      <c r="AT116" s="244"/>
      <c r="AU116" s="114"/>
    </row>
    <row r="117" spans="2:47" ht="12.75" customHeight="1" x14ac:dyDescent="0.2">
      <c r="B117" s="59"/>
      <c r="C117" s="59"/>
      <c r="D117" s="60"/>
      <c r="E117" s="664"/>
      <c r="F117" s="664"/>
      <c r="G117" s="664"/>
      <c r="H117" s="664"/>
      <c r="I117" s="664"/>
      <c r="J117" s="664"/>
      <c r="K117" s="664"/>
      <c r="L117" s="664"/>
      <c r="M117" s="664"/>
      <c r="N117" s="664"/>
      <c r="O117" s="664"/>
      <c r="P117" s="664"/>
      <c r="Q117" s="664"/>
      <c r="R117" s="664"/>
      <c r="S117" s="132"/>
      <c r="T117" s="132"/>
      <c r="U117" s="132"/>
      <c r="V117" s="132"/>
      <c r="W117" s="132"/>
      <c r="X117" s="132"/>
      <c r="Y117" s="132"/>
      <c r="Z117" s="133"/>
      <c r="AA117" s="132"/>
      <c r="AB117" s="260"/>
      <c r="AC117" s="132"/>
      <c r="AD117" s="132"/>
      <c r="AE117" s="132"/>
      <c r="AF117" s="132"/>
      <c r="AG117" s="257"/>
      <c r="AH117" s="132"/>
      <c r="AI117" s="132"/>
      <c r="AJ117" s="132"/>
      <c r="AK117" s="132"/>
      <c r="AL117" s="132"/>
      <c r="AM117" s="132"/>
      <c r="AN117" s="260"/>
      <c r="AO117" s="60"/>
      <c r="AP117" s="60"/>
      <c r="AQ117" s="60"/>
      <c r="AR117" s="60"/>
      <c r="AS117" s="60"/>
      <c r="AT117" s="244"/>
      <c r="AU117" s="114"/>
    </row>
    <row r="118" spans="2:47" x14ac:dyDescent="0.2">
      <c r="B118" s="59"/>
      <c r="C118" s="59"/>
      <c r="D118" s="60"/>
      <c r="E118" s="664"/>
      <c r="F118" s="664"/>
      <c r="G118" s="664"/>
      <c r="H118" s="664"/>
      <c r="I118" s="664"/>
      <c r="J118" s="664"/>
      <c r="K118" s="664"/>
      <c r="L118" s="664"/>
      <c r="M118" s="664"/>
      <c r="N118" s="664"/>
      <c r="O118" s="664"/>
      <c r="P118" s="664"/>
      <c r="Q118" s="664"/>
      <c r="R118" s="664"/>
      <c r="S118" s="60"/>
      <c r="T118" s="60"/>
      <c r="U118" s="60"/>
      <c r="V118" s="60"/>
      <c r="W118" s="60"/>
      <c r="X118" s="60"/>
      <c r="Y118" s="60"/>
      <c r="Z118" s="114"/>
      <c r="AB118" s="242"/>
      <c r="AC118" s="60"/>
      <c r="AD118" s="60"/>
      <c r="AE118" s="60"/>
      <c r="AF118" s="60"/>
      <c r="AG118" s="244"/>
      <c r="AH118" s="60"/>
      <c r="AI118" s="60"/>
      <c r="AJ118" s="60"/>
      <c r="AK118" s="60"/>
      <c r="AL118" s="60"/>
      <c r="AM118" s="60"/>
      <c r="AN118" s="242"/>
      <c r="AO118" s="60"/>
      <c r="AP118" s="60"/>
      <c r="AQ118" s="60"/>
      <c r="AR118" s="60"/>
      <c r="AS118" s="60"/>
      <c r="AT118" s="244"/>
      <c r="AU118" s="114"/>
    </row>
    <row r="119" spans="2:47" x14ac:dyDescent="0.2">
      <c r="B119" s="59"/>
      <c r="C119" s="59"/>
      <c r="D119" s="60"/>
      <c r="E119" s="60"/>
      <c r="F119" s="60"/>
      <c r="G119" s="60"/>
      <c r="H119" s="60"/>
      <c r="I119" s="60"/>
      <c r="J119" s="60"/>
      <c r="K119" s="60"/>
      <c r="L119" s="60"/>
      <c r="M119" s="60"/>
      <c r="N119" s="60"/>
      <c r="O119" s="60"/>
      <c r="P119" s="60"/>
      <c r="Q119" s="60"/>
      <c r="R119" s="60"/>
      <c r="S119" s="60"/>
      <c r="T119" s="60"/>
      <c r="U119" s="60"/>
      <c r="V119" s="60"/>
      <c r="W119" s="60"/>
      <c r="X119" s="60"/>
      <c r="Y119" s="60"/>
      <c r="Z119" s="114"/>
      <c r="AB119" s="242"/>
      <c r="AC119" s="60"/>
      <c r="AD119" s="60"/>
      <c r="AE119" s="60"/>
      <c r="AF119" s="60"/>
      <c r="AG119" s="244"/>
      <c r="AH119" s="60"/>
      <c r="AI119" s="60"/>
      <c r="AJ119" s="60"/>
      <c r="AK119" s="60"/>
      <c r="AL119" s="60"/>
      <c r="AM119" s="60"/>
      <c r="AN119" s="242"/>
      <c r="AO119" s="60"/>
      <c r="AP119" s="60"/>
      <c r="AQ119" s="60"/>
      <c r="AR119" s="60"/>
      <c r="AS119" s="60"/>
      <c r="AT119" s="244"/>
      <c r="AU119" s="114"/>
    </row>
    <row r="120" spans="2:47" ht="13.5" thickBot="1" x14ac:dyDescent="0.25">
      <c r="B120" s="59"/>
      <c r="C120" s="67"/>
      <c r="D120" s="83"/>
      <c r="E120" s="83"/>
      <c r="F120" s="83"/>
      <c r="G120" s="83"/>
      <c r="H120" s="83"/>
      <c r="I120" s="83"/>
      <c r="J120" s="83"/>
      <c r="K120" s="83"/>
      <c r="L120" s="83"/>
      <c r="M120" s="83"/>
      <c r="N120" s="83"/>
      <c r="O120" s="83"/>
      <c r="P120" s="83"/>
      <c r="Q120" s="83"/>
      <c r="R120" s="83"/>
      <c r="S120" s="83"/>
      <c r="T120" s="83"/>
      <c r="U120" s="83"/>
      <c r="V120" s="83"/>
      <c r="W120" s="83"/>
      <c r="X120" s="83"/>
      <c r="Y120" s="83"/>
      <c r="Z120" s="115"/>
      <c r="AB120" s="258"/>
      <c r="AC120" s="248"/>
      <c r="AD120" s="248"/>
      <c r="AE120" s="248"/>
      <c r="AF120" s="248"/>
      <c r="AG120" s="250"/>
      <c r="AH120" s="248"/>
      <c r="AI120" s="248"/>
      <c r="AJ120" s="248"/>
      <c r="AK120" s="248"/>
      <c r="AL120" s="248"/>
      <c r="AM120" s="248"/>
      <c r="AN120" s="258"/>
      <c r="AO120" s="248"/>
      <c r="AP120" s="248"/>
      <c r="AQ120" s="248"/>
      <c r="AR120" s="248"/>
      <c r="AS120" s="248"/>
      <c r="AT120" s="250"/>
      <c r="AU120" s="114"/>
    </row>
    <row r="121" spans="2:47" ht="13.5" thickTop="1" x14ac:dyDescent="0.2">
      <c r="B121" s="59"/>
      <c r="AU121" s="114"/>
    </row>
    <row r="122" spans="2:47" ht="12.95" customHeight="1" x14ac:dyDescent="0.2">
      <c r="B122" s="59"/>
      <c r="L122" s="60"/>
      <c r="M122" s="60"/>
      <c r="N122" s="60"/>
      <c r="O122" s="60"/>
      <c r="P122" s="60"/>
      <c r="Q122" s="60"/>
      <c r="R122" s="60"/>
      <c r="S122" s="60"/>
      <c r="T122" s="60"/>
      <c r="U122" s="60"/>
      <c r="V122" s="60"/>
      <c r="W122" s="60"/>
      <c r="X122" s="60"/>
      <c r="Y122" s="60"/>
      <c r="Z122" s="60"/>
      <c r="AA122" s="60"/>
      <c r="AB122" s="111"/>
      <c r="AC122" s="81"/>
      <c r="AD122" s="81"/>
      <c r="AE122" s="81"/>
      <c r="AF122" s="81"/>
      <c r="AG122" s="81"/>
      <c r="AH122" s="81"/>
      <c r="AI122" s="81"/>
      <c r="AJ122" s="81"/>
      <c r="AK122" s="81"/>
      <c r="AL122" s="81"/>
      <c r="AM122" s="81"/>
      <c r="AN122" s="81"/>
      <c r="AO122" s="81"/>
      <c r="AP122" s="81"/>
      <c r="AQ122" s="81"/>
      <c r="AR122" s="81"/>
      <c r="AS122" s="81"/>
      <c r="AT122" s="113"/>
      <c r="AU122" s="114"/>
    </row>
    <row r="123" spans="2:47" ht="12.95" customHeight="1" x14ac:dyDescent="0.2">
      <c r="B123" s="59"/>
      <c r="L123" s="60"/>
      <c r="M123" s="60"/>
      <c r="N123" s="60"/>
      <c r="O123" s="60"/>
      <c r="P123" s="60"/>
      <c r="Q123" s="60"/>
      <c r="R123" s="60"/>
      <c r="S123" s="60"/>
      <c r="T123" s="60"/>
      <c r="U123" s="60"/>
      <c r="V123" s="60"/>
      <c r="W123" s="60"/>
      <c r="X123" s="60"/>
      <c r="Y123" s="60"/>
      <c r="Z123" s="60"/>
      <c r="AA123" s="60"/>
      <c r="AB123" s="59"/>
      <c r="AC123" s="60"/>
      <c r="AD123" s="60"/>
      <c r="AE123" s="60"/>
      <c r="AF123" s="60"/>
      <c r="AG123" s="60"/>
      <c r="AH123" s="60"/>
      <c r="AI123" s="60"/>
      <c r="AJ123" s="60"/>
      <c r="AK123" s="60"/>
      <c r="AL123" s="60"/>
      <c r="AM123" s="60"/>
      <c r="AN123" s="60"/>
      <c r="AO123" s="60"/>
      <c r="AP123" s="60"/>
      <c r="AQ123" s="60"/>
      <c r="AR123" s="60"/>
      <c r="AS123" s="60"/>
      <c r="AT123" s="114"/>
      <c r="AU123" s="114"/>
    </row>
    <row r="124" spans="2:47" ht="12.95" customHeight="1" x14ac:dyDescent="0.2">
      <c r="B124" s="59"/>
      <c r="L124" s="60"/>
      <c r="M124" s="60"/>
      <c r="N124" s="60"/>
      <c r="O124" s="60"/>
      <c r="P124" s="60"/>
      <c r="Q124" s="60"/>
      <c r="R124" s="60"/>
      <c r="S124" s="60"/>
      <c r="T124" s="60"/>
      <c r="U124" s="60"/>
      <c r="V124" s="60"/>
      <c r="W124" s="60"/>
      <c r="X124" s="60"/>
      <c r="Y124" s="60"/>
      <c r="Z124" s="60"/>
      <c r="AA124" s="60"/>
      <c r="AB124" s="59"/>
      <c r="AC124" s="60"/>
      <c r="AD124" s="60"/>
      <c r="AE124" s="60"/>
      <c r="AF124" s="60"/>
      <c r="AG124" s="60"/>
      <c r="AH124" s="60"/>
      <c r="AI124" s="60"/>
      <c r="AJ124" s="60"/>
      <c r="AK124" s="60"/>
      <c r="AL124" s="60"/>
      <c r="AM124" s="60"/>
      <c r="AN124" s="60"/>
      <c r="AO124" s="60"/>
      <c r="AP124" s="60"/>
      <c r="AQ124" s="60"/>
      <c r="AR124" s="60"/>
      <c r="AS124" s="60"/>
      <c r="AT124" s="114"/>
      <c r="AU124" s="114"/>
    </row>
    <row r="125" spans="2:47" ht="12.95" customHeight="1" x14ac:dyDescent="0.2">
      <c r="B125" s="59"/>
      <c r="L125" s="60"/>
      <c r="M125" s="60"/>
      <c r="N125" s="60"/>
      <c r="O125" s="60"/>
      <c r="P125" s="60"/>
      <c r="Q125" s="60"/>
      <c r="R125" s="60"/>
      <c r="S125" s="60"/>
      <c r="T125" s="60"/>
      <c r="U125" s="60"/>
      <c r="V125" s="60"/>
      <c r="W125" s="60"/>
      <c r="X125" s="60"/>
      <c r="Y125" s="60"/>
      <c r="Z125" s="60"/>
      <c r="AA125" s="60"/>
      <c r="AB125" s="59"/>
      <c r="AC125" s="60"/>
      <c r="AD125" s="60"/>
      <c r="AE125" s="60"/>
      <c r="AF125" s="60"/>
      <c r="AG125" s="60"/>
      <c r="AH125" s="60"/>
      <c r="AI125" s="60"/>
      <c r="AJ125" s="60"/>
      <c r="AK125" s="60"/>
      <c r="AL125" s="60"/>
      <c r="AM125" s="60"/>
      <c r="AN125" s="60"/>
      <c r="AO125" s="60"/>
      <c r="AP125" s="60"/>
      <c r="AQ125" s="60"/>
      <c r="AR125" s="60"/>
      <c r="AS125" s="60"/>
      <c r="AT125" s="114"/>
      <c r="AU125" s="114"/>
    </row>
    <row r="126" spans="2:47" ht="12.95" customHeight="1" x14ac:dyDescent="0.2">
      <c r="B126" s="59"/>
      <c r="L126" s="60"/>
      <c r="M126" s="60"/>
      <c r="N126" s="60"/>
      <c r="O126" s="60"/>
      <c r="P126" s="60"/>
      <c r="Q126" s="60"/>
      <c r="R126" s="60"/>
      <c r="S126" s="60"/>
      <c r="T126" s="60"/>
      <c r="U126" s="60"/>
      <c r="V126" s="60"/>
      <c r="W126" s="60"/>
      <c r="X126" s="60"/>
      <c r="Y126" s="60"/>
      <c r="Z126" s="60"/>
      <c r="AA126" s="60"/>
      <c r="AB126" s="59"/>
      <c r="AC126" s="60"/>
      <c r="AD126" s="60"/>
      <c r="AE126" s="60"/>
      <c r="AF126" s="60"/>
      <c r="AG126" s="60"/>
      <c r="AH126" s="60"/>
      <c r="AI126" s="60"/>
      <c r="AJ126" s="60"/>
      <c r="AK126" s="132"/>
      <c r="AL126" s="132"/>
      <c r="AM126" s="132"/>
      <c r="AN126" s="132"/>
      <c r="AO126" s="132"/>
      <c r="AP126" s="60"/>
      <c r="AQ126" s="60"/>
      <c r="AR126" s="60"/>
      <c r="AS126" s="60"/>
      <c r="AT126" s="114"/>
      <c r="AU126" s="114"/>
    </row>
    <row r="127" spans="2:47" ht="12.95" customHeight="1" x14ac:dyDescent="0.2">
      <c r="B127" s="59"/>
      <c r="L127" s="60"/>
      <c r="M127" s="60"/>
      <c r="N127" s="60"/>
      <c r="O127" s="60"/>
      <c r="P127" s="60"/>
      <c r="Q127" s="60"/>
      <c r="R127" s="60"/>
      <c r="S127" s="60"/>
      <c r="T127" s="60"/>
      <c r="U127" s="60"/>
      <c r="V127" s="60"/>
      <c r="W127" s="60"/>
      <c r="X127" s="60"/>
      <c r="Y127" s="60"/>
      <c r="Z127" s="60"/>
      <c r="AA127" s="60"/>
      <c r="AB127" s="59"/>
      <c r="AC127" s="60"/>
      <c r="AD127" s="60"/>
      <c r="AE127" s="60"/>
      <c r="AF127" s="60"/>
      <c r="AG127" s="60"/>
      <c r="AH127" s="60"/>
      <c r="AI127" s="60"/>
      <c r="AJ127" s="60"/>
      <c r="AK127" s="132"/>
      <c r="AL127" s="132"/>
      <c r="AM127" s="132"/>
      <c r="AN127" s="132"/>
      <c r="AO127" s="132"/>
      <c r="AP127" s="60"/>
      <c r="AQ127" s="60"/>
      <c r="AR127" s="60"/>
      <c r="AS127" s="60"/>
      <c r="AT127" s="114"/>
      <c r="AU127" s="114"/>
    </row>
    <row r="128" spans="2:47" ht="12.95" customHeight="1" x14ac:dyDescent="0.2">
      <c r="B128" s="59"/>
      <c r="L128" s="60"/>
      <c r="M128" s="60"/>
      <c r="N128" s="60"/>
      <c r="O128" s="60"/>
      <c r="P128" s="60"/>
      <c r="Q128" s="60"/>
      <c r="R128" s="60"/>
      <c r="S128" s="60"/>
      <c r="T128" s="60"/>
      <c r="U128" s="60"/>
      <c r="V128" s="60"/>
      <c r="W128" s="60"/>
      <c r="X128" s="60"/>
      <c r="Y128" s="60"/>
      <c r="Z128" s="60"/>
      <c r="AA128" s="60"/>
      <c r="AB128" s="59"/>
      <c r="AC128" s="60"/>
      <c r="AD128" s="60"/>
      <c r="AE128" s="60"/>
      <c r="AF128" s="60"/>
      <c r="AG128" s="60"/>
      <c r="AH128" s="60"/>
      <c r="AI128" s="60"/>
      <c r="AJ128" s="60"/>
      <c r="AK128" s="132"/>
      <c r="AL128" s="132"/>
      <c r="AM128" s="132"/>
      <c r="AN128" s="132"/>
      <c r="AO128" s="132"/>
      <c r="AP128" s="60"/>
      <c r="AQ128" s="60"/>
      <c r="AR128" s="60"/>
      <c r="AS128" s="60"/>
      <c r="AT128" s="114"/>
      <c r="AU128" s="114"/>
    </row>
    <row r="129" spans="2:47" ht="12.95" customHeight="1" x14ac:dyDescent="0.2">
      <c r="B129" s="59"/>
      <c r="L129" s="60"/>
      <c r="M129" s="60"/>
      <c r="N129" s="60"/>
      <c r="O129" s="60"/>
      <c r="P129" s="60"/>
      <c r="Q129" s="60"/>
      <c r="R129" s="60"/>
      <c r="S129" s="60"/>
      <c r="T129" s="60"/>
      <c r="U129" s="60"/>
      <c r="V129" s="60"/>
      <c r="W129" s="60"/>
      <c r="X129" s="60"/>
      <c r="Y129" s="60"/>
      <c r="Z129" s="60"/>
      <c r="AA129" s="60"/>
      <c r="AB129" s="59"/>
      <c r="AC129" s="60"/>
      <c r="AD129" s="60"/>
      <c r="AE129" s="60"/>
      <c r="AF129" s="155"/>
      <c r="AG129" s="60"/>
      <c r="AH129" s="60"/>
      <c r="AI129" s="60"/>
      <c r="AJ129" s="60"/>
      <c r="AK129" s="132"/>
      <c r="AL129" s="132"/>
      <c r="AM129" s="132"/>
      <c r="AN129" s="132"/>
      <c r="AO129" s="132"/>
      <c r="AP129" s="60"/>
      <c r="AQ129" s="60"/>
      <c r="AR129" s="60"/>
      <c r="AS129" s="60"/>
      <c r="AT129" s="114"/>
      <c r="AU129" s="114"/>
    </row>
    <row r="130" spans="2:47" ht="12.95" customHeight="1" x14ac:dyDescent="0.2">
      <c r="B130" s="59"/>
      <c r="L130" s="60"/>
      <c r="M130" s="60"/>
      <c r="N130" s="60"/>
      <c r="O130" s="60"/>
      <c r="P130" s="60"/>
      <c r="Q130" s="60"/>
      <c r="R130" s="60"/>
      <c r="S130" s="60"/>
      <c r="T130" s="60"/>
      <c r="U130" s="60"/>
      <c r="V130" s="60"/>
      <c r="W130" s="60"/>
      <c r="X130" s="60"/>
      <c r="Y130" s="60"/>
      <c r="Z130" s="60"/>
      <c r="AA130" s="60"/>
      <c r="AB130" s="59"/>
      <c r="AC130" s="60"/>
      <c r="AD130" s="60"/>
      <c r="AE130" s="60"/>
      <c r="AF130" s="60"/>
      <c r="AG130" s="60"/>
      <c r="AH130" s="60"/>
      <c r="AI130" s="60"/>
      <c r="AJ130" s="60"/>
      <c r="AK130" s="132"/>
      <c r="AL130" s="132"/>
      <c r="AM130" s="132"/>
      <c r="AN130" s="132"/>
      <c r="AO130" s="132"/>
      <c r="AP130" s="60"/>
      <c r="AQ130" s="60"/>
      <c r="AR130" s="60"/>
      <c r="AS130" s="60"/>
      <c r="AT130" s="114"/>
      <c r="AU130" s="114"/>
    </row>
    <row r="131" spans="2:47" ht="12.95" customHeight="1" x14ac:dyDescent="0.2">
      <c r="B131" s="59"/>
      <c r="L131" s="60"/>
      <c r="M131" s="60"/>
      <c r="N131" s="60"/>
      <c r="O131" s="60"/>
      <c r="P131" s="60"/>
      <c r="Q131" s="60"/>
      <c r="R131" s="60"/>
      <c r="S131" s="60"/>
      <c r="T131" s="60"/>
      <c r="U131" s="60"/>
      <c r="V131" s="60"/>
      <c r="W131" s="60"/>
      <c r="X131" s="60"/>
      <c r="Y131" s="60"/>
      <c r="Z131" s="60"/>
      <c r="AA131" s="60"/>
      <c r="AB131" s="59"/>
      <c r="AC131" s="60"/>
      <c r="AD131" s="60"/>
      <c r="AE131" s="215"/>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59"/>
      <c r="L132" s="60"/>
      <c r="M132" s="60"/>
      <c r="N132" s="60"/>
      <c r="O132" s="60"/>
      <c r="P132" s="60"/>
      <c r="Q132" s="60"/>
      <c r="R132" s="60"/>
      <c r="S132" s="60"/>
      <c r="T132" s="60"/>
      <c r="U132" s="60"/>
      <c r="V132" s="60"/>
      <c r="W132" s="60"/>
      <c r="X132" s="60"/>
      <c r="Y132" s="60"/>
      <c r="Z132" s="60"/>
      <c r="AA132" s="60"/>
      <c r="AB132" s="59"/>
      <c r="AC132" s="60"/>
      <c r="AD132" s="60"/>
      <c r="AE132" s="215"/>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59"/>
      <c r="L133" s="60"/>
      <c r="M133" s="60"/>
      <c r="N133" s="60"/>
      <c r="O133" s="60"/>
      <c r="P133" s="60"/>
      <c r="Q133" s="60"/>
      <c r="R133" s="60"/>
      <c r="S133" s="60"/>
      <c r="T133" s="60"/>
      <c r="U133" s="60"/>
      <c r="V133" s="60"/>
      <c r="W133" s="60"/>
      <c r="X133" s="60"/>
      <c r="Y133" s="60"/>
      <c r="Z133" s="60"/>
      <c r="AA133" s="60"/>
      <c r="AB133" s="59"/>
      <c r="AC133" s="60"/>
      <c r="AD133" s="60"/>
      <c r="AE133" s="215"/>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59"/>
      <c r="L134" s="60"/>
      <c r="M134" s="60"/>
      <c r="N134" s="60"/>
      <c r="O134" s="60"/>
      <c r="P134" s="60"/>
      <c r="Q134" s="60"/>
      <c r="R134" s="60"/>
      <c r="S134" s="60"/>
      <c r="T134" s="60"/>
      <c r="U134" s="60"/>
      <c r="V134" s="60"/>
      <c r="W134" s="60"/>
      <c r="X134" s="60"/>
      <c r="Y134" s="60"/>
      <c r="Z134" s="60"/>
      <c r="AA134" s="60"/>
      <c r="AB134" s="59"/>
      <c r="AC134" s="60"/>
      <c r="AD134" s="60"/>
      <c r="AE134" s="215"/>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59"/>
      <c r="L135" s="60"/>
      <c r="M135" s="60"/>
      <c r="N135" s="60"/>
      <c r="O135" s="60"/>
      <c r="P135" s="60"/>
      <c r="Q135" s="60"/>
      <c r="R135" s="60"/>
      <c r="S135" s="60"/>
      <c r="T135" s="60"/>
      <c r="U135" s="60"/>
      <c r="V135" s="60"/>
      <c r="W135" s="60"/>
      <c r="X135" s="60"/>
      <c r="Y135" s="60"/>
      <c r="Z135" s="60"/>
      <c r="AA135" s="60"/>
      <c r="AB135" s="67"/>
      <c r="AC135" s="83"/>
      <c r="AD135" s="83"/>
      <c r="AE135" s="271"/>
      <c r="AF135" s="136"/>
      <c r="AG135" s="136"/>
      <c r="AH135" s="136"/>
      <c r="AI135" s="136"/>
      <c r="AJ135" s="136"/>
      <c r="AK135" s="136"/>
      <c r="AL135" s="136"/>
      <c r="AM135" s="136"/>
      <c r="AN135" s="136"/>
      <c r="AO135" s="136"/>
      <c r="AP135" s="136"/>
      <c r="AQ135" s="136"/>
      <c r="AR135" s="136"/>
      <c r="AS135" s="136"/>
      <c r="AT135" s="137"/>
      <c r="AU135" s="114"/>
    </row>
    <row r="136" spans="2:47" x14ac:dyDescent="0.2">
      <c r="B136" s="67"/>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115"/>
    </row>
    <row r="137" spans="2:47" x14ac:dyDescent="0.2">
      <c r="AE137" s="211"/>
      <c r="AF137" s="132"/>
      <c r="AG137" s="132"/>
      <c r="AH137" s="132"/>
      <c r="AI137" s="132"/>
      <c r="AJ137" s="132"/>
      <c r="AK137" s="132"/>
      <c r="AL137" s="132"/>
      <c r="AM137" s="132"/>
      <c r="AN137" s="132"/>
      <c r="AO137" s="132"/>
      <c r="AP137" s="132"/>
      <c r="AQ137" s="132"/>
      <c r="AR137" s="132"/>
      <c r="AS137" s="132"/>
      <c r="AT137" s="132"/>
    </row>
    <row r="138" spans="2:47" x14ac:dyDescent="0.2">
      <c r="AE138" s="211"/>
      <c r="AF138" s="132"/>
      <c r="AG138" s="132"/>
      <c r="AH138" s="132"/>
      <c r="AI138" s="132"/>
      <c r="AJ138" s="132"/>
      <c r="AK138" s="132"/>
      <c r="AL138" s="132"/>
      <c r="AM138" s="132"/>
      <c r="AN138" s="132"/>
      <c r="AO138" s="132"/>
      <c r="AP138" s="132"/>
      <c r="AQ138" s="132"/>
      <c r="AR138" s="132"/>
      <c r="AS138" s="132"/>
      <c r="AT138" s="132"/>
    </row>
    <row r="139" spans="2:47" x14ac:dyDescent="0.2">
      <c r="AE139" s="211"/>
      <c r="AF139" s="132"/>
      <c r="AG139" s="132"/>
      <c r="AH139" s="132"/>
      <c r="AI139" s="132"/>
      <c r="AJ139" s="132"/>
      <c r="AK139" s="132"/>
      <c r="AL139" s="132"/>
      <c r="AM139" s="132"/>
      <c r="AN139" s="132"/>
      <c r="AO139" s="132"/>
      <c r="AP139" s="132"/>
      <c r="AQ139" s="132"/>
      <c r="AR139" s="132"/>
      <c r="AS139" s="132"/>
      <c r="AT139" s="132"/>
    </row>
    <row r="140" spans="2:47" x14ac:dyDescent="0.2">
      <c r="AE140" s="211"/>
      <c r="AF140" s="132"/>
      <c r="AG140" s="132"/>
      <c r="AH140" s="132"/>
      <c r="AI140" s="132"/>
      <c r="AJ140" s="132"/>
      <c r="AK140" s="132"/>
      <c r="AL140" s="132"/>
      <c r="AM140" s="132"/>
      <c r="AN140" s="132"/>
      <c r="AO140" s="132"/>
      <c r="AP140" s="132"/>
      <c r="AQ140" s="132"/>
      <c r="AR140" s="132"/>
      <c r="AS140" s="132"/>
      <c r="AT140" s="132"/>
    </row>
    <row r="141" spans="2:47" x14ac:dyDescent="0.2">
      <c r="AE141" s="211"/>
      <c r="AF141" s="132"/>
      <c r="AG141" s="132"/>
      <c r="AH141" s="132"/>
      <c r="AI141" s="132"/>
      <c r="AJ141" s="132"/>
      <c r="AK141" s="132"/>
      <c r="AL141" s="132"/>
      <c r="AM141" s="132"/>
      <c r="AN141" s="132"/>
      <c r="AO141" s="132"/>
      <c r="AP141" s="132"/>
      <c r="AQ141" s="132"/>
      <c r="AR141" s="132"/>
      <c r="AS141" s="132"/>
      <c r="AT141" s="132"/>
    </row>
    <row r="142" spans="2:47" x14ac:dyDescent="0.2">
      <c r="AE142" s="211"/>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1"/>
      <c r="AF143" s="132"/>
      <c r="AG143" s="132"/>
      <c r="AH143" s="132"/>
      <c r="AI143" s="132"/>
      <c r="AJ143" s="132"/>
      <c r="AK143" s="132"/>
      <c r="AL143" s="132"/>
      <c r="AM143" s="132"/>
      <c r="AN143" s="132"/>
      <c r="AO143" s="132"/>
      <c r="AP143" s="132"/>
      <c r="AQ143" s="132"/>
      <c r="AR143" s="132"/>
      <c r="AS143" s="132"/>
      <c r="AT143" s="132"/>
    </row>
    <row r="144" spans="2:47" x14ac:dyDescent="0.2">
      <c r="AE144" s="211"/>
      <c r="AG144" s="132"/>
      <c r="AH144" s="132"/>
      <c r="AI144" s="132"/>
      <c r="AJ144" s="132"/>
      <c r="AK144" s="132"/>
      <c r="AL144" s="132"/>
      <c r="AM144" s="132"/>
      <c r="AN144" s="132"/>
      <c r="AO144" s="132"/>
    </row>
    <row r="145" spans="24:47" x14ac:dyDescent="0.2">
      <c r="AE145" s="211"/>
      <c r="AF145" s="132"/>
      <c r="AG145" s="132"/>
      <c r="AH145" s="132"/>
      <c r="AI145" s="132"/>
      <c r="AJ145" s="132"/>
      <c r="AK145" s="132"/>
      <c r="AL145" s="132"/>
      <c r="AM145" s="132"/>
      <c r="AN145" s="132"/>
      <c r="AO145" s="132"/>
      <c r="AP145" s="132"/>
      <c r="AQ145" s="132"/>
      <c r="AR145" s="132"/>
      <c r="AS145" s="132"/>
      <c r="AT145" s="132"/>
    </row>
    <row r="146" spans="24:47" x14ac:dyDescent="0.2">
      <c r="AE146" s="211"/>
      <c r="AF146" s="132"/>
      <c r="AG146" s="132"/>
      <c r="AH146" s="132"/>
      <c r="AI146" s="132"/>
      <c r="AJ146" s="132"/>
      <c r="AK146" s="132"/>
      <c r="AL146" s="132"/>
      <c r="AM146" s="132"/>
      <c r="AN146" s="132"/>
      <c r="AO146" s="132"/>
      <c r="AP146" s="132"/>
      <c r="AQ146" s="132"/>
      <c r="AR146" s="132"/>
      <c r="AS146" s="132"/>
      <c r="AT146" s="132"/>
      <c r="AU146" s="212"/>
    </row>
    <row r="147" spans="24:47" x14ac:dyDescent="0.2">
      <c r="AE147" s="211"/>
      <c r="AF147" s="132"/>
      <c r="AG147" s="132"/>
      <c r="AH147" s="132"/>
      <c r="AI147" s="132"/>
      <c r="AJ147" s="132"/>
      <c r="AK147" s="132"/>
      <c r="AL147" s="132"/>
      <c r="AM147" s="132"/>
      <c r="AN147" s="132"/>
      <c r="AO147" s="132"/>
      <c r="AP147" s="132"/>
      <c r="AQ147" s="132"/>
      <c r="AR147" s="132"/>
      <c r="AS147" s="132"/>
      <c r="AT147" s="132"/>
      <c r="AU147" s="212"/>
    </row>
    <row r="148" spans="24:47" x14ac:dyDescent="0.2">
      <c r="AE148" s="211"/>
      <c r="AF148" s="132"/>
      <c r="AG148" s="132"/>
      <c r="AH148" s="132"/>
      <c r="AI148" s="132"/>
      <c r="AJ148" s="132"/>
      <c r="AK148" s="132"/>
      <c r="AL148" s="132"/>
      <c r="AM148" s="132"/>
      <c r="AN148" s="132"/>
      <c r="AO148" s="132"/>
      <c r="AP148" s="132"/>
      <c r="AQ148" s="132"/>
      <c r="AR148" s="132"/>
      <c r="AS148" s="132"/>
      <c r="AT148" s="132"/>
      <c r="AU148" s="212"/>
    </row>
    <row r="149" spans="24:47" x14ac:dyDescent="0.2">
      <c r="AE149" s="211"/>
      <c r="AF149" s="132"/>
      <c r="AG149" s="132"/>
      <c r="AH149" s="132"/>
      <c r="AI149" s="132"/>
      <c r="AJ149" s="132"/>
      <c r="AK149" s="132"/>
      <c r="AL149" s="132"/>
      <c r="AM149" s="132"/>
      <c r="AN149" s="132"/>
      <c r="AO149" s="132"/>
      <c r="AP149" s="132"/>
      <c r="AQ149" s="132"/>
      <c r="AR149" s="132"/>
      <c r="AS149" s="132"/>
      <c r="AT149" s="132"/>
      <c r="AU149" s="212"/>
    </row>
    <row r="150" spans="24:47" x14ac:dyDescent="0.2">
      <c r="AE150" s="211"/>
      <c r="AF150" s="132"/>
      <c r="AG150" s="132"/>
      <c r="AH150" s="132"/>
      <c r="AI150" s="132"/>
      <c r="AJ150" s="132"/>
      <c r="AK150" s="132"/>
      <c r="AL150" s="132"/>
      <c r="AM150" s="132"/>
      <c r="AN150" s="132"/>
      <c r="AO150" s="132"/>
      <c r="AP150" s="132"/>
      <c r="AQ150" s="132"/>
      <c r="AR150" s="132"/>
      <c r="AS150" s="132"/>
      <c r="AT150" s="132"/>
      <c r="AU150" s="212"/>
    </row>
    <row r="151" spans="24:47" x14ac:dyDescent="0.2">
      <c r="AE151" s="211"/>
      <c r="AF151" s="132"/>
      <c r="AG151" s="132"/>
      <c r="AH151" s="132"/>
      <c r="AI151" s="132"/>
      <c r="AJ151" s="132"/>
      <c r="AK151" s="132"/>
      <c r="AL151" s="132"/>
      <c r="AM151" s="132"/>
      <c r="AN151" s="132"/>
      <c r="AO151" s="132"/>
      <c r="AP151" s="132"/>
      <c r="AQ151" s="132"/>
      <c r="AR151" s="132"/>
      <c r="AS151" s="132"/>
      <c r="AT151" s="132"/>
      <c r="AU151" s="212"/>
    </row>
    <row r="152" spans="24:47" x14ac:dyDescent="0.2">
      <c r="AE152" s="211"/>
      <c r="AF152" s="132"/>
      <c r="AG152" s="132"/>
      <c r="AH152" s="132"/>
      <c r="AI152" s="132"/>
      <c r="AJ152" s="132"/>
      <c r="AK152" s="132"/>
      <c r="AL152" s="132"/>
      <c r="AM152" s="132"/>
      <c r="AN152" s="132"/>
      <c r="AO152" s="132"/>
      <c r="AP152" s="132"/>
      <c r="AQ152" s="132"/>
      <c r="AR152" s="132"/>
      <c r="AS152" s="132"/>
      <c r="AT152" s="132"/>
      <c r="AU152" s="212"/>
    </row>
    <row r="153" spans="24:47" x14ac:dyDescent="0.2">
      <c r="AE153" s="211"/>
      <c r="AF153" s="132"/>
      <c r="AG153" s="132"/>
      <c r="AH153" s="132"/>
      <c r="AI153" s="132"/>
      <c r="AJ153" s="132"/>
      <c r="AK153" s="132"/>
      <c r="AL153" s="132"/>
      <c r="AM153" s="132"/>
      <c r="AN153" s="132"/>
      <c r="AO153" s="132"/>
      <c r="AP153" s="132"/>
      <c r="AQ153" s="132"/>
      <c r="AR153" s="132"/>
      <c r="AS153" s="132"/>
      <c r="AT153" s="132"/>
      <c r="AU153" s="212"/>
    </row>
    <row r="154" spans="24:47" x14ac:dyDescent="0.2">
      <c r="AE154" s="211"/>
      <c r="AF154" s="132"/>
      <c r="AG154" s="132"/>
      <c r="AH154" s="132"/>
      <c r="AI154" s="132"/>
      <c r="AJ154" s="132"/>
      <c r="AK154" s="132"/>
      <c r="AL154" s="132"/>
      <c r="AM154" s="132"/>
      <c r="AN154" s="132"/>
      <c r="AO154" s="132"/>
      <c r="AP154" s="132"/>
      <c r="AQ154" s="132"/>
      <c r="AR154" s="132"/>
      <c r="AS154" s="132"/>
      <c r="AT154" s="132"/>
      <c r="AU154" s="212"/>
    </row>
    <row r="155" spans="24:47" x14ac:dyDescent="0.2">
      <c r="AE155" s="211"/>
      <c r="AF155" s="132"/>
      <c r="AG155" s="132"/>
      <c r="AH155" s="132"/>
      <c r="AI155" s="132"/>
      <c r="AJ155" s="132"/>
      <c r="AK155" s="132"/>
      <c r="AL155" s="132"/>
      <c r="AM155" s="132"/>
      <c r="AN155" s="132"/>
      <c r="AO155" s="132"/>
      <c r="AP155" s="132"/>
      <c r="AQ155" s="132"/>
      <c r="AR155" s="132"/>
      <c r="AS155" s="132"/>
      <c r="AT155" s="132"/>
      <c r="AU155" s="212"/>
    </row>
    <row r="156" spans="24:47" x14ac:dyDescent="0.2">
      <c r="AE156" s="211"/>
      <c r="AF156" s="132"/>
      <c r="AG156" s="132"/>
      <c r="AH156" s="132"/>
      <c r="AI156" s="132"/>
      <c r="AJ156" s="132"/>
      <c r="AK156" s="132"/>
      <c r="AL156" s="132"/>
      <c r="AM156" s="132"/>
      <c r="AN156" s="132"/>
      <c r="AO156" s="132"/>
      <c r="AP156" s="132"/>
      <c r="AQ156" s="132"/>
      <c r="AR156" s="132"/>
      <c r="AS156" s="132"/>
      <c r="AT156" s="132"/>
      <c r="AU156" s="212"/>
    </row>
    <row r="157" spans="24:47" x14ac:dyDescent="0.2">
      <c r="AE157" s="211"/>
      <c r="AF157" s="132"/>
      <c r="AG157" s="132"/>
      <c r="AH157" s="132"/>
      <c r="AI157" s="132"/>
      <c r="AJ157" s="132"/>
      <c r="AK157" s="132"/>
      <c r="AL157" s="132"/>
      <c r="AM157" s="132"/>
      <c r="AN157" s="132"/>
      <c r="AO157" s="132"/>
      <c r="AP157" s="132"/>
      <c r="AQ157" s="132"/>
      <c r="AR157" s="132"/>
      <c r="AS157" s="132"/>
      <c r="AT157" s="132"/>
      <c r="AU157" s="212"/>
    </row>
    <row r="158" spans="24:47" ht="15" customHeight="1" x14ac:dyDescent="0.2">
      <c r="X158" s="132"/>
      <c r="Y158" s="132"/>
      <c r="AE158" s="211"/>
      <c r="AF158" s="212"/>
      <c r="AG158" s="212"/>
      <c r="AH158" s="212"/>
      <c r="AI158" s="212"/>
      <c r="AJ158" s="212"/>
      <c r="AK158" s="212"/>
      <c r="AL158" s="212"/>
      <c r="AM158" s="212"/>
      <c r="AN158" s="212"/>
      <c r="AO158" s="212"/>
      <c r="AP158" s="212"/>
      <c r="AQ158" s="212"/>
      <c r="AR158" s="212"/>
      <c r="AS158" s="212"/>
      <c r="AT158" s="212"/>
      <c r="AU158" s="212"/>
    </row>
    <row r="159" spans="24:47" x14ac:dyDescent="0.2">
      <c r="AE159" s="211"/>
      <c r="AF159" s="132"/>
      <c r="AG159" s="132"/>
      <c r="AH159" s="132"/>
      <c r="AI159" s="132"/>
      <c r="AJ159" s="132"/>
      <c r="AK159" s="132"/>
      <c r="AL159" s="132"/>
      <c r="AM159" s="132"/>
      <c r="AN159" s="132"/>
      <c r="AO159" s="132"/>
      <c r="AP159" s="132"/>
      <c r="AQ159" s="132"/>
      <c r="AR159" s="132"/>
      <c r="AS159" s="132"/>
      <c r="AT159" s="132"/>
      <c r="AU159" s="212"/>
    </row>
    <row r="160" spans="24:47" x14ac:dyDescent="0.2">
      <c r="AE160" s="211"/>
      <c r="AF160" s="132"/>
      <c r="AG160" s="132"/>
      <c r="AH160" s="132"/>
      <c r="AI160" s="132"/>
      <c r="AJ160" s="132"/>
      <c r="AK160" s="132"/>
      <c r="AL160" s="132"/>
      <c r="AM160" s="132"/>
      <c r="AN160" s="132"/>
      <c r="AO160" s="132"/>
      <c r="AP160" s="132"/>
      <c r="AQ160" s="132"/>
      <c r="AR160" s="132"/>
      <c r="AS160" s="132"/>
      <c r="AT160" s="132"/>
      <c r="AU160" s="212"/>
    </row>
    <row r="161" spans="24:47" x14ac:dyDescent="0.2">
      <c r="AE161" s="211"/>
      <c r="AF161" s="132"/>
      <c r="AG161" s="132"/>
      <c r="AH161" s="132"/>
      <c r="AI161" s="132"/>
      <c r="AJ161" s="132"/>
      <c r="AK161" s="132"/>
      <c r="AL161" s="132"/>
      <c r="AM161" s="132"/>
      <c r="AN161" s="132"/>
      <c r="AO161" s="132"/>
      <c r="AP161" s="132"/>
      <c r="AQ161" s="132"/>
      <c r="AR161" s="132"/>
      <c r="AS161" s="132"/>
      <c r="AT161" s="132"/>
      <c r="AU161" s="212"/>
    </row>
    <row r="162" spans="24:47" x14ac:dyDescent="0.2">
      <c r="AE162" s="211"/>
      <c r="AF162" s="132"/>
      <c r="AG162" s="132"/>
      <c r="AH162" s="132"/>
      <c r="AI162" s="132"/>
      <c r="AJ162" s="132"/>
      <c r="AK162" s="132"/>
      <c r="AL162" s="132"/>
      <c r="AM162" s="132"/>
      <c r="AN162" s="132"/>
      <c r="AO162" s="132"/>
      <c r="AP162" s="132"/>
      <c r="AQ162" s="132"/>
      <c r="AR162" s="132"/>
      <c r="AS162" s="132"/>
      <c r="AT162" s="132"/>
      <c r="AU162" s="212"/>
    </row>
    <row r="163" spans="24:47" x14ac:dyDescent="0.2">
      <c r="AE163" s="211"/>
      <c r="AF163" s="132"/>
      <c r="AG163" s="132"/>
      <c r="AH163" s="132"/>
      <c r="AI163" s="132"/>
      <c r="AJ163" s="132"/>
      <c r="AK163" s="132"/>
      <c r="AL163" s="132"/>
      <c r="AM163" s="132"/>
      <c r="AN163" s="132"/>
      <c r="AO163" s="132"/>
      <c r="AP163" s="132"/>
      <c r="AQ163" s="132"/>
      <c r="AR163" s="132"/>
      <c r="AS163" s="132"/>
      <c r="AT163" s="132"/>
      <c r="AU163" s="212"/>
    </row>
    <row r="164" spans="24:47" x14ac:dyDescent="0.2">
      <c r="AE164" s="211"/>
      <c r="AF164" s="132"/>
      <c r="AG164" s="132"/>
      <c r="AH164" s="132"/>
      <c r="AI164" s="132"/>
      <c r="AJ164" s="132"/>
      <c r="AK164" s="132"/>
      <c r="AL164" s="132"/>
      <c r="AM164" s="132"/>
      <c r="AN164" s="132"/>
      <c r="AO164" s="132"/>
      <c r="AP164" s="132"/>
      <c r="AQ164" s="132"/>
      <c r="AR164" s="132"/>
      <c r="AS164" s="132"/>
      <c r="AT164" s="132"/>
      <c r="AU164" s="212"/>
    </row>
    <row r="165" spans="24:47" x14ac:dyDescent="0.2">
      <c r="AE165" s="211"/>
      <c r="AF165" s="132"/>
      <c r="AG165" s="132"/>
      <c r="AH165" s="132"/>
      <c r="AI165" s="132"/>
      <c r="AJ165" s="132"/>
      <c r="AK165" s="132"/>
      <c r="AL165" s="132"/>
      <c r="AM165" s="132"/>
      <c r="AN165" s="132"/>
      <c r="AO165" s="132"/>
      <c r="AP165" s="132"/>
      <c r="AQ165" s="132"/>
      <c r="AR165" s="132"/>
      <c r="AS165" s="132"/>
      <c r="AT165" s="132"/>
      <c r="AU165" s="212"/>
    </row>
    <row r="166" spans="24:47" x14ac:dyDescent="0.2">
      <c r="AE166" s="211"/>
      <c r="AF166" s="132"/>
      <c r="AG166" s="132"/>
      <c r="AH166" s="132"/>
      <c r="AI166" s="132"/>
      <c r="AJ166" s="132"/>
      <c r="AK166" s="132"/>
      <c r="AL166" s="132"/>
      <c r="AM166" s="132"/>
      <c r="AN166" s="132"/>
      <c r="AO166" s="132"/>
      <c r="AP166" s="132"/>
      <c r="AQ166" s="132"/>
      <c r="AR166" s="132"/>
      <c r="AS166" s="132"/>
      <c r="AT166" s="132"/>
    </row>
    <row r="167" spans="24:47" x14ac:dyDescent="0.2">
      <c r="AE167" s="211"/>
      <c r="AF167" s="132"/>
      <c r="AG167" s="132"/>
      <c r="AH167" s="132"/>
      <c r="AI167" s="132"/>
      <c r="AJ167" s="132"/>
      <c r="AK167" s="132"/>
      <c r="AL167" s="132"/>
      <c r="AM167" s="132"/>
      <c r="AN167" s="132"/>
      <c r="AO167" s="132"/>
      <c r="AP167" s="132"/>
      <c r="AQ167" s="132"/>
      <c r="AR167" s="132"/>
      <c r="AS167" s="132"/>
      <c r="AT167" s="132"/>
    </row>
    <row r="168" spans="24:47" x14ac:dyDescent="0.2">
      <c r="AE168" s="211"/>
      <c r="AF168" s="132"/>
      <c r="AG168" s="132"/>
      <c r="AH168" s="132"/>
      <c r="AI168" s="132"/>
      <c r="AJ168" s="132"/>
      <c r="AK168" s="132"/>
      <c r="AL168" s="132"/>
      <c r="AM168" s="132"/>
      <c r="AN168" s="132"/>
      <c r="AO168" s="132"/>
      <c r="AP168" s="132"/>
      <c r="AQ168" s="132"/>
      <c r="AR168" s="132"/>
      <c r="AS168" s="132"/>
      <c r="AT168" s="132"/>
    </row>
    <row r="169" spans="24:47" x14ac:dyDescent="0.2">
      <c r="AE169" s="211"/>
      <c r="AF169" s="132"/>
      <c r="AG169" s="132"/>
      <c r="AH169" s="132"/>
      <c r="AI169" s="132"/>
      <c r="AJ169" s="132"/>
      <c r="AK169" s="132"/>
      <c r="AL169" s="132"/>
      <c r="AM169" s="132"/>
      <c r="AN169" s="132"/>
      <c r="AO169" s="132"/>
      <c r="AP169" s="132"/>
      <c r="AQ169" s="132"/>
      <c r="AR169" s="132"/>
      <c r="AS169" s="132"/>
      <c r="AT169" s="132"/>
    </row>
    <row r="170" spans="24:47" x14ac:dyDescent="0.2">
      <c r="AE170" s="211"/>
      <c r="AF170" s="132"/>
      <c r="AG170" s="132"/>
      <c r="AH170" s="132"/>
      <c r="AI170" s="132"/>
      <c r="AJ170" s="132"/>
      <c r="AK170" s="132"/>
      <c r="AL170" s="132"/>
      <c r="AM170" s="132"/>
      <c r="AN170" s="132"/>
      <c r="AO170" s="132"/>
      <c r="AP170" s="132"/>
      <c r="AQ170" s="132"/>
      <c r="AR170" s="132"/>
      <c r="AS170" s="132"/>
      <c r="AT170" s="132"/>
    </row>
    <row r="171" spans="24:47" x14ac:dyDescent="0.2">
      <c r="AE171" s="211"/>
      <c r="AF171" s="132"/>
      <c r="AG171" s="132"/>
      <c r="AH171" s="132"/>
      <c r="AI171" s="132"/>
      <c r="AJ171" s="132"/>
      <c r="AK171" s="132"/>
      <c r="AL171" s="132"/>
      <c r="AM171" s="132"/>
      <c r="AN171" s="132"/>
      <c r="AO171" s="132"/>
      <c r="AP171" s="132"/>
      <c r="AQ171" s="132"/>
      <c r="AR171" s="132"/>
      <c r="AS171" s="132"/>
      <c r="AT171" s="132"/>
    </row>
    <row r="172" spans="24:47" x14ac:dyDescent="0.2">
      <c r="AE172" s="211"/>
      <c r="AG172" s="132"/>
      <c r="AH172" s="132"/>
      <c r="AI172" s="132"/>
      <c r="AJ172" s="132"/>
      <c r="AK172" s="132"/>
      <c r="AL172" s="132"/>
      <c r="AM172" s="132"/>
      <c r="AN172" s="132"/>
    </row>
    <row r="173" spans="24:47" ht="15" customHeight="1" x14ac:dyDescent="0.2">
      <c r="X173" s="132"/>
      <c r="Y173" s="132"/>
      <c r="AE173" s="211"/>
      <c r="AF173" s="132"/>
      <c r="AG173" s="132"/>
      <c r="AH173" s="132"/>
      <c r="AI173" s="132"/>
      <c r="AJ173" s="132"/>
      <c r="AK173" s="132"/>
      <c r="AL173" s="132"/>
      <c r="AM173" s="132"/>
      <c r="AN173" s="132"/>
      <c r="AO173" s="132"/>
      <c r="AP173" s="132"/>
      <c r="AQ173" s="132"/>
      <c r="AR173" s="132"/>
      <c r="AS173" s="132"/>
      <c r="AT173" s="132"/>
    </row>
    <row r="174" spans="24:47" x14ac:dyDescent="0.2">
      <c r="AE174" s="211"/>
      <c r="AF174" s="132"/>
      <c r="AG174" s="132"/>
      <c r="AH174" s="132"/>
      <c r="AI174" s="132"/>
      <c r="AJ174" s="132"/>
      <c r="AK174" s="132"/>
      <c r="AL174" s="132"/>
      <c r="AM174" s="132"/>
      <c r="AN174" s="132"/>
      <c r="AO174" s="132"/>
      <c r="AP174" s="132"/>
      <c r="AQ174" s="132"/>
      <c r="AR174" s="132"/>
      <c r="AS174" s="132"/>
      <c r="AT174" s="132"/>
    </row>
    <row r="175" spans="24:47" x14ac:dyDescent="0.2">
      <c r="AE175" s="211"/>
      <c r="AF175" s="132"/>
      <c r="AG175" s="132"/>
      <c r="AH175" s="132"/>
      <c r="AI175" s="132"/>
      <c r="AJ175" s="132"/>
      <c r="AK175" s="132"/>
      <c r="AL175" s="132"/>
      <c r="AM175" s="132"/>
      <c r="AN175" s="132"/>
      <c r="AO175" s="132"/>
      <c r="AP175" s="132"/>
      <c r="AQ175" s="132"/>
      <c r="AR175" s="132"/>
      <c r="AS175" s="132"/>
      <c r="AT175" s="132"/>
    </row>
    <row r="176" spans="24:47" x14ac:dyDescent="0.2">
      <c r="AE176" s="211"/>
      <c r="AF176" s="132"/>
      <c r="AG176" s="132"/>
      <c r="AH176" s="132"/>
      <c r="AI176" s="132"/>
      <c r="AJ176" s="132"/>
      <c r="AK176" s="132"/>
      <c r="AL176" s="132"/>
      <c r="AM176" s="132"/>
      <c r="AN176" s="132"/>
      <c r="AO176" s="132"/>
      <c r="AP176" s="132"/>
      <c r="AQ176" s="132"/>
      <c r="AR176" s="132"/>
      <c r="AS176" s="132"/>
      <c r="AT176" s="132"/>
    </row>
    <row r="177" spans="31:46" x14ac:dyDescent="0.2">
      <c r="AE177" s="211"/>
      <c r="AF177" s="132"/>
      <c r="AG177" s="132"/>
      <c r="AH177" s="132"/>
      <c r="AI177" s="132"/>
      <c r="AJ177" s="132"/>
      <c r="AK177" s="132"/>
      <c r="AL177" s="132"/>
      <c r="AM177" s="132"/>
      <c r="AN177" s="132"/>
      <c r="AO177" s="132"/>
      <c r="AP177" s="132"/>
      <c r="AQ177" s="132"/>
      <c r="AR177" s="132"/>
      <c r="AS177" s="132"/>
      <c r="AT177" s="132"/>
    </row>
    <row r="178" spans="31:46" x14ac:dyDescent="0.2">
      <c r="AE178" s="211"/>
      <c r="AF178" s="132"/>
      <c r="AG178" s="132"/>
      <c r="AH178" s="132"/>
      <c r="AI178" s="132"/>
      <c r="AJ178" s="132"/>
      <c r="AK178" s="132"/>
      <c r="AL178" s="132"/>
      <c r="AM178" s="132"/>
      <c r="AN178" s="132"/>
      <c r="AO178" s="132"/>
      <c r="AP178" s="132"/>
      <c r="AQ178" s="132"/>
      <c r="AR178" s="132"/>
      <c r="AS178" s="132"/>
      <c r="AT178" s="132"/>
    </row>
    <row r="179" spans="31:46" x14ac:dyDescent="0.2">
      <c r="AE179" s="211"/>
      <c r="AF179" s="132"/>
      <c r="AG179" s="132"/>
      <c r="AH179" s="132"/>
      <c r="AI179" s="132"/>
      <c r="AJ179" s="132"/>
      <c r="AK179" s="132"/>
      <c r="AL179" s="132"/>
      <c r="AM179" s="132"/>
      <c r="AN179" s="132"/>
      <c r="AO179" s="132"/>
      <c r="AP179" s="132"/>
      <c r="AQ179" s="132"/>
      <c r="AR179" s="132"/>
      <c r="AS179" s="132"/>
      <c r="AT179" s="132"/>
    </row>
    <row r="180" spans="31:46" x14ac:dyDescent="0.2">
      <c r="AE180" s="211"/>
      <c r="AF180" s="132"/>
      <c r="AG180" s="132"/>
      <c r="AH180" s="132"/>
      <c r="AI180" s="132"/>
      <c r="AJ180" s="132"/>
      <c r="AK180" s="132"/>
      <c r="AL180" s="132"/>
      <c r="AM180" s="132"/>
      <c r="AN180" s="132"/>
      <c r="AO180" s="132"/>
      <c r="AP180" s="132"/>
      <c r="AQ180" s="132"/>
      <c r="AR180" s="132"/>
      <c r="AS180" s="132"/>
      <c r="AT180" s="132"/>
    </row>
    <row r="181" spans="31:46" x14ac:dyDescent="0.2">
      <c r="AE181" s="211"/>
      <c r="AF181" s="132"/>
      <c r="AG181" s="132"/>
      <c r="AH181" s="132"/>
      <c r="AI181" s="132"/>
      <c r="AJ181" s="132"/>
      <c r="AK181" s="132"/>
      <c r="AL181" s="132"/>
      <c r="AM181" s="132"/>
      <c r="AN181" s="132"/>
      <c r="AO181" s="132"/>
      <c r="AP181" s="132"/>
      <c r="AQ181" s="132"/>
      <c r="AR181" s="132"/>
      <c r="AS181" s="132"/>
      <c r="AT181" s="132"/>
    </row>
    <row r="182" spans="31:46" x14ac:dyDescent="0.2">
      <c r="AE182" s="211"/>
      <c r="AF182" s="132"/>
      <c r="AG182" s="132"/>
      <c r="AH182" s="132"/>
      <c r="AI182" s="132"/>
      <c r="AJ182" s="132"/>
      <c r="AK182" s="132"/>
      <c r="AL182" s="132"/>
      <c r="AM182" s="132"/>
      <c r="AN182" s="132"/>
      <c r="AO182" s="132"/>
      <c r="AP182" s="132"/>
      <c r="AQ182" s="132"/>
      <c r="AR182" s="132"/>
      <c r="AS182" s="132"/>
      <c r="AT182" s="132"/>
    </row>
    <row r="183" spans="31:46" x14ac:dyDescent="0.2">
      <c r="AE183" s="211"/>
      <c r="AF183" s="132"/>
      <c r="AG183" s="132"/>
      <c r="AH183" s="132"/>
      <c r="AI183" s="132"/>
      <c r="AJ183" s="132"/>
      <c r="AK183" s="132"/>
      <c r="AL183" s="132"/>
      <c r="AM183" s="132"/>
      <c r="AN183" s="132"/>
      <c r="AO183" s="132"/>
      <c r="AP183" s="132"/>
      <c r="AQ183" s="132"/>
      <c r="AR183" s="132"/>
      <c r="AS183" s="132"/>
      <c r="AT183" s="132"/>
    </row>
    <row r="184" spans="31:46" x14ac:dyDescent="0.2">
      <c r="AE184" s="211"/>
      <c r="AF184" s="132"/>
      <c r="AG184" s="132"/>
      <c r="AH184" s="132"/>
      <c r="AI184" s="132"/>
      <c r="AJ184" s="132"/>
      <c r="AK184" s="132"/>
      <c r="AL184" s="132"/>
      <c r="AM184" s="132"/>
      <c r="AN184" s="132"/>
      <c r="AO184" s="132"/>
      <c r="AP184" s="132"/>
      <c r="AQ184" s="132"/>
      <c r="AR184" s="132"/>
      <c r="AS184" s="132"/>
      <c r="AT184" s="132"/>
    </row>
    <row r="185" spans="31:46" x14ac:dyDescent="0.2">
      <c r="AE185" s="211"/>
      <c r="AF185" s="132"/>
      <c r="AG185" s="132"/>
      <c r="AH185" s="132"/>
      <c r="AI185" s="132"/>
      <c r="AJ185" s="132"/>
      <c r="AK185" s="132"/>
      <c r="AL185" s="132"/>
      <c r="AM185" s="132"/>
      <c r="AN185" s="132"/>
      <c r="AO185" s="132"/>
      <c r="AP185" s="132"/>
      <c r="AQ185" s="132"/>
      <c r="AR185" s="132"/>
      <c r="AS185" s="132"/>
      <c r="AT185" s="132"/>
    </row>
    <row r="186" spans="31:46" x14ac:dyDescent="0.2">
      <c r="AE186" s="211"/>
      <c r="AG186" s="132"/>
      <c r="AH186" s="132"/>
      <c r="AI186" s="132"/>
      <c r="AJ186" s="132"/>
      <c r="AK186" s="132"/>
      <c r="AL186" s="132"/>
      <c r="AM186" s="132"/>
      <c r="AN186" s="132"/>
    </row>
    <row r="187" spans="31:46" x14ac:dyDescent="0.2">
      <c r="AE187" s="211"/>
      <c r="AF187" s="132"/>
      <c r="AG187" s="132"/>
      <c r="AH187" s="132"/>
      <c r="AI187" s="132"/>
      <c r="AJ187" s="132"/>
      <c r="AK187" s="132"/>
      <c r="AL187" s="132"/>
      <c r="AM187" s="132"/>
      <c r="AN187" s="132"/>
      <c r="AO187" s="132"/>
      <c r="AP187" s="132"/>
      <c r="AQ187" s="132"/>
      <c r="AR187" s="132"/>
      <c r="AS187" s="132"/>
      <c r="AT187" s="132"/>
    </row>
    <row r="188" spans="31:46" x14ac:dyDescent="0.2">
      <c r="AE188" s="211"/>
      <c r="AF188" s="132"/>
      <c r="AG188" s="132"/>
      <c r="AH188" s="132"/>
      <c r="AI188" s="132"/>
      <c r="AJ188" s="132"/>
      <c r="AK188" s="132"/>
      <c r="AL188" s="132"/>
      <c r="AM188" s="132"/>
      <c r="AN188" s="132"/>
      <c r="AO188" s="132"/>
      <c r="AP188" s="132"/>
      <c r="AQ188" s="132"/>
      <c r="AR188" s="132"/>
      <c r="AS188" s="132"/>
      <c r="AT188" s="132"/>
    </row>
    <row r="189" spans="31:46" x14ac:dyDescent="0.2">
      <c r="AE189" s="211"/>
      <c r="AF189" s="132"/>
      <c r="AG189" s="132"/>
      <c r="AH189" s="132"/>
      <c r="AI189" s="132"/>
      <c r="AJ189" s="132"/>
      <c r="AK189" s="132"/>
      <c r="AL189" s="132"/>
      <c r="AM189" s="132"/>
      <c r="AN189" s="132"/>
      <c r="AO189" s="132"/>
      <c r="AP189" s="132"/>
      <c r="AQ189" s="132"/>
      <c r="AR189" s="132"/>
      <c r="AS189" s="132"/>
      <c r="AT189" s="132"/>
    </row>
    <row r="190" spans="31:46" x14ac:dyDescent="0.2">
      <c r="AE190" s="211"/>
      <c r="AF190" s="132"/>
      <c r="AG190" s="132"/>
      <c r="AH190" s="132"/>
      <c r="AI190" s="132"/>
      <c r="AJ190" s="132"/>
      <c r="AK190" s="132"/>
      <c r="AL190" s="132"/>
      <c r="AM190" s="132"/>
      <c r="AN190" s="132"/>
      <c r="AO190" s="132"/>
      <c r="AP190" s="132"/>
      <c r="AQ190" s="132"/>
      <c r="AR190" s="132"/>
      <c r="AS190" s="132"/>
      <c r="AT190" s="132"/>
    </row>
    <row r="191" spans="31:46" x14ac:dyDescent="0.2">
      <c r="AE191" s="211"/>
      <c r="AF191" s="132"/>
      <c r="AG191" s="132"/>
      <c r="AH191" s="132"/>
      <c r="AI191" s="132"/>
      <c r="AJ191" s="132"/>
      <c r="AK191" s="132"/>
      <c r="AL191" s="132"/>
      <c r="AM191" s="132"/>
      <c r="AN191" s="132"/>
      <c r="AO191" s="132"/>
      <c r="AP191" s="132"/>
      <c r="AQ191" s="132"/>
      <c r="AR191" s="132"/>
      <c r="AS191" s="132"/>
      <c r="AT191" s="132"/>
    </row>
    <row r="192" spans="31:46" x14ac:dyDescent="0.2">
      <c r="AE192" s="211"/>
      <c r="AF192" s="132"/>
      <c r="AG192" s="132"/>
      <c r="AH192" s="132"/>
      <c r="AI192" s="132"/>
      <c r="AJ192" s="132"/>
      <c r="AK192" s="132"/>
      <c r="AL192" s="132"/>
      <c r="AM192" s="132"/>
      <c r="AN192" s="132"/>
      <c r="AO192" s="132"/>
      <c r="AP192" s="132"/>
      <c r="AQ192" s="132"/>
      <c r="AR192" s="132"/>
      <c r="AS192" s="132"/>
      <c r="AT192" s="132"/>
    </row>
    <row r="193" spans="31:46" x14ac:dyDescent="0.2">
      <c r="AE193" s="211"/>
      <c r="AF193" s="132"/>
      <c r="AG193" s="132"/>
      <c r="AH193" s="132"/>
      <c r="AI193" s="132"/>
      <c r="AJ193" s="132"/>
      <c r="AK193" s="132"/>
      <c r="AL193" s="132"/>
      <c r="AM193" s="132"/>
      <c r="AN193" s="132"/>
      <c r="AO193" s="132"/>
      <c r="AP193" s="132"/>
      <c r="AQ193" s="132"/>
      <c r="AR193" s="132"/>
      <c r="AS193" s="132"/>
      <c r="AT193" s="132"/>
    </row>
    <row r="194" spans="31:46" x14ac:dyDescent="0.2">
      <c r="AE194" s="211"/>
      <c r="AF194" s="132"/>
      <c r="AG194" s="132"/>
      <c r="AH194" s="132"/>
      <c r="AI194" s="132"/>
      <c r="AJ194" s="132"/>
      <c r="AK194" s="132"/>
      <c r="AL194" s="132"/>
      <c r="AM194" s="132"/>
      <c r="AN194" s="132"/>
      <c r="AO194" s="132"/>
      <c r="AP194" s="132"/>
      <c r="AQ194" s="132"/>
      <c r="AR194" s="132"/>
      <c r="AS194" s="132"/>
      <c r="AT194" s="132"/>
    </row>
    <row r="195" spans="31:46" x14ac:dyDescent="0.2">
      <c r="AE195" s="211"/>
      <c r="AF195" s="132"/>
      <c r="AG195" s="132"/>
      <c r="AH195" s="132"/>
      <c r="AI195" s="132"/>
      <c r="AJ195" s="132"/>
      <c r="AK195" s="132"/>
      <c r="AL195" s="132"/>
      <c r="AM195" s="132"/>
      <c r="AN195" s="132"/>
      <c r="AO195" s="132"/>
      <c r="AP195" s="132"/>
      <c r="AQ195" s="132"/>
      <c r="AR195" s="132"/>
      <c r="AS195" s="132"/>
      <c r="AT195" s="132"/>
    </row>
    <row r="196" spans="31:46" x14ac:dyDescent="0.2">
      <c r="AE196" s="211"/>
      <c r="AF196" s="132"/>
      <c r="AG196" s="132"/>
      <c r="AH196" s="132"/>
      <c r="AI196" s="132"/>
      <c r="AJ196" s="132"/>
      <c r="AK196" s="132"/>
      <c r="AL196" s="132"/>
      <c r="AM196" s="132"/>
      <c r="AN196" s="132"/>
      <c r="AO196" s="132"/>
      <c r="AP196" s="132"/>
      <c r="AQ196" s="132"/>
      <c r="AR196" s="132"/>
      <c r="AS196" s="132"/>
      <c r="AT196" s="132"/>
    </row>
    <row r="197" spans="31:46" x14ac:dyDescent="0.2">
      <c r="AE197" s="211"/>
      <c r="AF197" s="132"/>
      <c r="AG197" s="132"/>
      <c r="AH197" s="132"/>
      <c r="AI197" s="132"/>
      <c r="AJ197" s="132"/>
      <c r="AK197" s="132"/>
      <c r="AL197" s="132"/>
      <c r="AM197" s="132"/>
      <c r="AN197" s="132"/>
      <c r="AO197" s="132"/>
      <c r="AP197" s="132"/>
      <c r="AQ197" s="132"/>
      <c r="AR197" s="132"/>
      <c r="AS197" s="132"/>
      <c r="AT197" s="132"/>
    </row>
    <row r="198" spans="31:46" x14ac:dyDescent="0.2">
      <c r="AE198" s="211"/>
      <c r="AF198" s="132"/>
      <c r="AG198" s="132"/>
      <c r="AH198" s="132"/>
      <c r="AI198" s="132"/>
      <c r="AJ198" s="132"/>
      <c r="AK198" s="132"/>
      <c r="AL198" s="132"/>
      <c r="AM198" s="132"/>
      <c r="AN198" s="132"/>
      <c r="AO198" s="132"/>
      <c r="AP198" s="132"/>
      <c r="AQ198" s="132"/>
      <c r="AR198" s="132"/>
      <c r="AS198" s="132"/>
      <c r="AT198" s="132"/>
    </row>
    <row r="199" spans="31:46" x14ac:dyDescent="0.2">
      <c r="AE199" s="211"/>
      <c r="AF199" s="132"/>
      <c r="AG199" s="132"/>
      <c r="AH199" s="132"/>
      <c r="AI199" s="132"/>
      <c r="AJ199" s="132"/>
      <c r="AK199" s="132"/>
      <c r="AL199" s="132"/>
      <c r="AM199" s="132"/>
      <c r="AN199" s="132"/>
      <c r="AO199" s="132"/>
      <c r="AP199" s="132"/>
      <c r="AQ199" s="132"/>
      <c r="AR199" s="132"/>
      <c r="AS199" s="132"/>
      <c r="AT199" s="132"/>
    </row>
    <row r="200" spans="31:46" x14ac:dyDescent="0.2">
      <c r="AE200" s="211"/>
    </row>
    <row r="201" spans="31:46" x14ac:dyDescent="0.2">
      <c r="AE201" s="211"/>
      <c r="AF201" s="132"/>
      <c r="AG201" s="132"/>
      <c r="AH201" s="132"/>
      <c r="AI201" s="132"/>
      <c r="AJ201" s="132"/>
      <c r="AK201" s="132"/>
      <c r="AL201" s="132"/>
      <c r="AM201" s="132"/>
      <c r="AN201" s="132"/>
      <c r="AO201" s="132"/>
      <c r="AP201" s="132"/>
      <c r="AQ201" s="132"/>
      <c r="AR201" s="132"/>
      <c r="AS201" s="132"/>
      <c r="AT201" s="132"/>
    </row>
    <row r="202" spans="31:46" x14ac:dyDescent="0.2">
      <c r="AE202" s="211"/>
      <c r="AF202" s="132"/>
      <c r="AG202" s="132"/>
      <c r="AH202" s="132"/>
      <c r="AI202" s="132"/>
      <c r="AJ202" s="132"/>
      <c r="AK202" s="132"/>
      <c r="AL202" s="132"/>
      <c r="AM202" s="132"/>
      <c r="AN202" s="132"/>
      <c r="AO202" s="132"/>
      <c r="AP202" s="132"/>
      <c r="AQ202" s="132"/>
      <c r="AR202" s="132"/>
      <c r="AS202" s="132"/>
      <c r="AT202" s="132"/>
    </row>
    <row r="203" spans="31:46" x14ac:dyDescent="0.2">
      <c r="AE203" s="211"/>
      <c r="AF203" s="132"/>
      <c r="AG203" s="132"/>
      <c r="AH203" s="132"/>
      <c r="AI203" s="132"/>
      <c r="AJ203" s="132"/>
      <c r="AK203" s="132"/>
      <c r="AL203" s="132"/>
      <c r="AM203" s="132"/>
      <c r="AN203" s="132"/>
      <c r="AO203" s="132"/>
      <c r="AP203" s="132"/>
      <c r="AQ203" s="132"/>
      <c r="AR203" s="132"/>
      <c r="AS203" s="132"/>
      <c r="AT203" s="132"/>
    </row>
    <row r="204" spans="31:46" x14ac:dyDescent="0.2">
      <c r="AE204" s="211"/>
      <c r="AF204" s="132"/>
      <c r="AG204" s="132"/>
      <c r="AH204" s="132"/>
      <c r="AI204" s="132"/>
      <c r="AJ204" s="132"/>
      <c r="AK204" s="132"/>
      <c r="AL204" s="132"/>
      <c r="AM204" s="132"/>
      <c r="AN204" s="132"/>
      <c r="AO204" s="132"/>
      <c r="AP204" s="132"/>
      <c r="AQ204" s="132"/>
      <c r="AR204" s="132"/>
      <c r="AS204" s="132"/>
      <c r="AT204" s="132"/>
    </row>
    <row r="205" spans="31:46" x14ac:dyDescent="0.2">
      <c r="AE205" s="211"/>
      <c r="AF205" s="132"/>
      <c r="AG205" s="132"/>
      <c r="AH205" s="132"/>
      <c r="AI205" s="132"/>
      <c r="AJ205" s="132"/>
      <c r="AK205" s="132"/>
      <c r="AL205" s="132"/>
      <c r="AM205" s="132"/>
      <c r="AN205" s="132"/>
      <c r="AO205" s="132"/>
      <c r="AP205" s="132"/>
      <c r="AQ205" s="132"/>
      <c r="AR205" s="132"/>
      <c r="AS205" s="132"/>
      <c r="AT205" s="132"/>
    </row>
    <row r="206" spans="31:46" x14ac:dyDescent="0.2">
      <c r="AE206" s="211"/>
      <c r="AF206" s="132"/>
      <c r="AG206" s="132"/>
      <c r="AH206" s="132"/>
      <c r="AI206" s="132"/>
      <c r="AJ206" s="132"/>
      <c r="AK206" s="132"/>
      <c r="AL206" s="132"/>
      <c r="AM206" s="132"/>
      <c r="AN206" s="132"/>
      <c r="AO206" s="132"/>
      <c r="AP206" s="132"/>
      <c r="AQ206" s="132"/>
      <c r="AR206" s="132"/>
      <c r="AS206" s="132"/>
      <c r="AT206" s="132"/>
    </row>
    <row r="207" spans="31:46" x14ac:dyDescent="0.2">
      <c r="AE207" s="211"/>
      <c r="AF207" s="132"/>
      <c r="AG207" s="132"/>
      <c r="AH207" s="132"/>
      <c r="AI207" s="132"/>
      <c r="AJ207" s="132"/>
      <c r="AK207" s="132"/>
      <c r="AL207" s="132"/>
      <c r="AM207" s="132"/>
      <c r="AN207" s="132"/>
      <c r="AO207" s="132"/>
      <c r="AP207" s="132"/>
      <c r="AQ207" s="132"/>
      <c r="AR207" s="132"/>
      <c r="AS207" s="132"/>
      <c r="AT207" s="132"/>
    </row>
    <row r="208" spans="31:46" x14ac:dyDescent="0.2">
      <c r="AE208" s="211"/>
      <c r="AF208" s="132"/>
      <c r="AG208" s="132"/>
      <c r="AH208" s="132"/>
      <c r="AI208" s="132"/>
      <c r="AJ208" s="132"/>
      <c r="AK208" s="132"/>
      <c r="AL208" s="132"/>
      <c r="AM208" s="132"/>
      <c r="AN208" s="132"/>
      <c r="AO208" s="132"/>
      <c r="AP208" s="132"/>
      <c r="AQ208" s="132"/>
      <c r="AR208" s="132"/>
      <c r="AS208" s="132"/>
      <c r="AT208" s="132"/>
    </row>
    <row r="209" spans="31:46" x14ac:dyDescent="0.2">
      <c r="AE209" s="211"/>
      <c r="AF209" s="132"/>
      <c r="AG209" s="132"/>
      <c r="AH209" s="132"/>
      <c r="AI209" s="132"/>
      <c r="AJ209" s="132"/>
      <c r="AK209" s="132"/>
      <c r="AL209" s="132"/>
      <c r="AM209" s="132"/>
      <c r="AN209" s="132"/>
      <c r="AO209" s="132"/>
      <c r="AP209" s="132"/>
      <c r="AQ209" s="132"/>
      <c r="AR209" s="132"/>
      <c r="AS209" s="132"/>
      <c r="AT209" s="132"/>
    </row>
    <row r="210" spans="31:46" x14ac:dyDescent="0.2">
      <c r="AE210" s="211"/>
      <c r="AF210" s="132"/>
      <c r="AG210" s="132"/>
      <c r="AH210" s="132"/>
      <c r="AI210" s="132"/>
      <c r="AJ210" s="132"/>
      <c r="AK210" s="132"/>
      <c r="AL210" s="132"/>
      <c r="AM210" s="132"/>
      <c r="AN210" s="132"/>
      <c r="AO210" s="132"/>
      <c r="AP210" s="132"/>
      <c r="AQ210" s="132"/>
      <c r="AR210" s="132"/>
      <c r="AS210" s="132"/>
      <c r="AT210" s="132"/>
    </row>
    <row r="211" spans="31:46" x14ac:dyDescent="0.2">
      <c r="AE211" s="211"/>
      <c r="AF211" s="132"/>
      <c r="AG211" s="132"/>
      <c r="AH211" s="132"/>
      <c r="AI211" s="132"/>
      <c r="AJ211" s="132"/>
      <c r="AK211" s="132"/>
      <c r="AL211" s="132"/>
      <c r="AM211" s="132"/>
      <c r="AN211" s="132"/>
      <c r="AO211" s="132"/>
      <c r="AP211" s="132"/>
      <c r="AQ211" s="132"/>
      <c r="AR211" s="132"/>
      <c r="AS211" s="132"/>
      <c r="AT211" s="132"/>
    </row>
    <row r="212" spans="31:46" x14ac:dyDescent="0.2">
      <c r="AE212" s="211"/>
      <c r="AF212" s="132"/>
      <c r="AG212" s="132"/>
      <c r="AH212" s="132"/>
      <c r="AI212" s="132"/>
      <c r="AJ212" s="132"/>
      <c r="AK212" s="132"/>
      <c r="AL212" s="132"/>
      <c r="AM212" s="132"/>
      <c r="AN212" s="132"/>
      <c r="AO212" s="132"/>
      <c r="AP212" s="132"/>
      <c r="AQ212" s="132"/>
      <c r="AR212" s="132"/>
      <c r="AS212" s="132"/>
      <c r="AT212" s="132"/>
    </row>
    <row r="213" spans="31:46" x14ac:dyDescent="0.2">
      <c r="AE213" s="211"/>
      <c r="AF213" s="132"/>
      <c r="AG213" s="132"/>
      <c r="AH213" s="132"/>
      <c r="AI213" s="132"/>
      <c r="AJ213" s="132"/>
      <c r="AK213" s="132"/>
      <c r="AL213" s="132"/>
      <c r="AM213" s="132"/>
      <c r="AN213" s="132"/>
      <c r="AO213" s="132"/>
      <c r="AP213" s="132"/>
      <c r="AQ213" s="132"/>
      <c r="AR213" s="132"/>
      <c r="AS213" s="132"/>
      <c r="AT213" s="132"/>
    </row>
    <row r="215" spans="31:46" x14ac:dyDescent="0.2">
      <c r="AE215" s="211"/>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3"/>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4"/>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4"/>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tHGWuMWUalAhQFme0NKxetJgoujkAV5TGNW/z0+OFB4hCHAOVm7JG1kQcGfvzAroKkL/Qnx2CGU1bEtVhGHYeg==" saltValue="lm5/YQuPDY04ZxXl9nqlww==" spinCount="100000" sheet="1" objects="1" scenarios="1"/>
  <mergeCells count="219">
    <mergeCell ref="T114:U114"/>
    <mergeCell ref="E116:R118"/>
    <mergeCell ref="C98:AO98"/>
    <mergeCell ref="T104:U104"/>
    <mergeCell ref="T106:U106"/>
    <mergeCell ref="T108:U108"/>
    <mergeCell ref="T110:Y110"/>
    <mergeCell ref="T112:Y112"/>
    <mergeCell ref="AE90:AS92"/>
    <mergeCell ref="Z91:AB93"/>
    <mergeCell ref="H96:K96"/>
    <mergeCell ref="O96:R96"/>
    <mergeCell ref="AQ96:AR96"/>
    <mergeCell ref="AW96:AX96"/>
    <mergeCell ref="H85:K85"/>
    <mergeCell ref="O85:R85"/>
    <mergeCell ref="V85:Y85"/>
    <mergeCell ref="AE85:AL85"/>
    <mergeCell ref="AP86:AR86"/>
    <mergeCell ref="Z87:AB89"/>
    <mergeCell ref="AM87:AO87"/>
    <mergeCell ref="AM88:AR88"/>
    <mergeCell ref="AW76:AW80"/>
    <mergeCell ref="AX76:AX80"/>
    <mergeCell ref="AN78:AP78"/>
    <mergeCell ref="AN79:AP79"/>
    <mergeCell ref="AN80:AS80"/>
    <mergeCell ref="AE84:AL84"/>
    <mergeCell ref="AI57:AS57"/>
    <mergeCell ref="AE70:AL70"/>
    <mergeCell ref="AN70:AS70"/>
    <mergeCell ref="F72:I72"/>
    <mergeCell ref="L72:O72"/>
    <mergeCell ref="R72:U72"/>
    <mergeCell ref="X72:AA72"/>
    <mergeCell ref="AW48:AX48"/>
    <mergeCell ref="I49:K49"/>
    <mergeCell ref="AM49:AP49"/>
    <mergeCell ref="AE53:AG53"/>
    <mergeCell ref="AI53:AJ53"/>
    <mergeCell ref="AK53:AL53"/>
    <mergeCell ref="AM53:AN53"/>
    <mergeCell ref="AP53:AQ53"/>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E28:H28"/>
    <mergeCell ref="I28:L28"/>
    <mergeCell ref="M28:P28"/>
    <mergeCell ref="Q28:T28"/>
    <mergeCell ref="U28:X28"/>
    <mergeCell ref="Y28:AB28"/>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N14:O15"/>
    <mergeCell ref="R14:S15"/>
    <mergeCell ref="V14:W15"/>
    <mergeCell ref="Z14:AA15"/>
    <mergeCell ref="AD14:AE15"/>
    <mergeCell ref="AD16:AE17"/>
    <mergeCell ref="AH16:AI17"/>
    <mergeCell ref="AL16:AM17"/>
    <mergeCell ref="AP16:AQ17"/>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s>
  <conditionalFormatting sqref="AG45:AL45">
    <cfRule type="expression" dxfId="950" priority="281">
      <formula>$AC$43="x"</formula>
    </cfRule>
  </conditionalFormatting>
  <conditionalFormatting sqref="AO44:AS44">
    <cfRule type="expression" dxfId="949" priority="280">
      <formula>$AK$42="x"</formula>
    </cfRule>
  </conditionalFormatting>
  <conditionalFormatting sqref="AP7:AS7">
    <cfRule type="expression" dxfId="948" priority="279">
      <formula>$AM$5&gt;0</formula>
    </cfRule>
  </conditionalFormatting>
  <conditionalFormatting sqref="E28:AR28">
    <cfRule type="expression" dxfId="947" priority="264">
      <formula>AND($A$28&lt;&gt;"",F$10&lt;&gt;"")</formula>
    </cfRule>
  </conditionalFormatting>
  <conditionalFormatting sqref="F72:I72">
    <cfRule type="expression" dxfId="946" priority="303">
      <formula>$F$72=""</formula>
    </cfRule>
  </conditionalFormatting>
  <conditionalFormatting sqref="H85:K85">
    <cfRule type="expression" dxfId="945" priority="270">
      <formula>$H$85=""</formula>
    </cfRule>
  </conditionalFormatting>
  <conditionalFormatting sqref="O85:R85">
    <cfRule type="expression" dxfId="944" priority="301">
      <formula>$O$85=""</formula>
    </cfRule>
  </conditionalFormatting>
  <conditionalFormatting sqref="V85:Y85">
    <cfRule type="expression" dxfId="943" priority="269">
      <formula>$V$85=""</formula>
    </cfRule>
  </conditionalFormatting>
  <conditionalFormatting sqref="O96:R96">
    <cfRule type="expression" dxfId="942" priority="267">
      <formula>$O$96=""</formula>
    </cfRule>
  </conditionalFormatting>
  <conditionalFormatting sqref="AM49:AP49">
    <cfRule type="expression" dxfId="941" priority="163">
      <formula>$AM$49=""</formula>
    </cfRule>
  </conditionalFormatting>
  <conditionalFormatting sqref="AH54">
    <cfRule type="expression" dxfId="940" priority="282">
      <formula>$AE$53=0</formula>
    </cfRule>
  </conditionalFormatting>
  <conditionalFormatting sqref="L72:O72">
    <cfRule type="expression" dxfId="939" priority="273">
      <formula>$L$72=""</formula>
    </cfRule>
  </conditionalFormatting>
  <conditionalFormatting sqref="R72:U72">
    <cfRule type="expression" dxfId="938" priority="272">
      <formula>$R$72=""</formula>
    </cfRule>
  </conditionalFormatting>
  <conditionalFormatting sqref="X72:AA72">
    <cfRule type="expression" dxfId="937" priority="271">
      <formula>$X$72=""</formula>
    </cfRule>
  </conditionalFormatting>
  <conditionalFormatting sqref="AT5">
    <cfRule type="expression" dxfId="936" priority="137">
      <formula>$AT$5=1</formula>
    </cfRule>
  </conditionalFormatting>
  <conditionalFormatting sqref="AM43:AQ43">
    <cfRule type="expression" dxfId="935" priority="166">
      <formula>$AM$43=""</formula>
    </cfRule>
  </conditionalFormatting>
  <conditionalFormatting sqref="AR43:AS43">
    <cfRule type="expression" dxfId="934" priority="136">
      <formula>$AR$43=""</formula>
    </cfRule>
  </conditionalFormatting>
  <conditionalFormatting sqref="AM45:AS45">
    <cfRule type="expression" dxfId="933" priority="165">
      <formula>$AM$45=""</formula>
    </cfRule>
  </conditionalFormatting>
  <conditionalFormatting sqref="AE70:AL70">
    <cfRule type="expression" dxfId="932" priority="147">
      <formula>$AE$70=""</formula>
    </cfRule>
  </conditionalFormatting>
  <conditionalFormatting sqref="AN70:AS70">
    <cfRule type="expression" dxfId="931" priority="132">
      <formula>$AN$70=""</formula>
    </cfRule>
  </conditionalFormatting>
  <conditionalFormatting sqref="AN80:AS80">
    <cfRule type="expression" dxfId="930" priority="128">
      <formula>$AN$80=""</formula>
    </cfRule>
  </conditionalFormatting>
  <conditionalFormatting sqref="H96:K96">
    <cfRule type="expression" dxfId="929" priority="287">
      <formula>$H$96=""</formula>
    </cfRule>
  </conditionalFormatting>
  <conditionalFormatting sqref="AM88:AR88">
    <cfRule type="expression" dxfId="928" priority="121">
      <formula>$AM$88=""</formula>
    </cfRule>
  </conditionalFormatting>
  <conditionalFormatting sqref="Y5:AF5">
    <cfRule type="expression" dxfId="927" priority="258">
      <formula>$Y$5=""</formula>
    </cfRule>
  </conditionalFormatting>
  <conditionalFormatting sqref="Y6:AF6">
    <cfRule type="expression" dxfId="926" priority="118">
      <formula>$Y$6=""</formula>
    </cfRule>
  </conditionalFormatting>
  <conditionalFormatting sqref="Y7:AF7">
    <cfRule type="expression" dxfId="925" priority="117">
      <formula>$Y$7=""</formula>
    </cfRule>
  </conditionalFormatting>
  <conditionalFormatting sqref="AJ5:AL5">
    <cfRule type="expression" dxfId="924" priority="254">
      <formula>$AJ$5=""</formula>
    </cfRule>
  </conditionalFormatting>
  <conditionalFormatting sqref="AJ6:AL6">
    <cfRule type="expression" dxfId="923" priority="115">
      <formula>$AJ$6=""</formula>
    </cfRule>
  </conditionalFormatting>
  <conditionalFormatting sqref="AJ7:AL7">
    <cfRule type="expression" dxfId="922" priority="114">
      <formula>$AJ$7=""</formula>
    </cfRule>
  </conditionalFormatting>
  <conditionalFormatting sqref="I49:K49">
    <cfRule type="expression" dxfId="921" priority="113">
      <formula>$I$49=""</formula>
    </cfRule>
  </conditionalFormatting>
  <conditionalFormatting sqref="T45:U45">
    <cfRule type="expression" dxfId="920" priority="112">
      <formula>$T$45=""</formula>
    </cfRule>
  </conditionalFormatting>
  <conditionalFormatting sqref="Z42:Z45">
    <cfRule type="expression" dxfId="919" priority="111">
      <formula>$Z$42=""</formula>
    </cfRule>
  </conditionalFormatting>
  <conditionalFormatting sqref="AX33:AY42">
    <cfRule type="expression" dxfId="918" priority="109">
      <formula>AW33=""</formula>
    </cfRule>
  </conditionalFormatting>
  <conditionalFormatting sqref="A9:A11">
    <cfRule type="expression" dxfId="917" priority="50">
      <formula>$C$11&lt;36</formula>
    </cfRule>
  </conditionalFormatting>
  <conditionalFormatting sqref="A28">
    <cfRule type="expression" dxfId="916" priority="107">
      <formula>$E$28&gt;0</formula>
    </cfRule>
  </conditionalFormatting>
  <conditionalFormatting sqref="AX33:AY42">
    <cfRule type="expression" dxfId="915" priority="110">
      <formula>AX33=""</formula>
    </cfRule>
  </conditionalFormatting>
  <conditionalFormatting sqref="R112:Y114">
    <cfRule type="expression" dxfId="914" priority="57">
      <formula>$T$110=""</formula>
    </cfRule>
  </conditionalFormatting>
  <conditionalFormatting sqref="AE53:AG53">
    <cfRule type="expression" dxfId="913" priority="47">
      <formula>$AT$52=1</formula>
    </cfRule>
    <cfRule type="expression" dxfId="912" priority="84">
      <formula>$AE$53=0</formula>
    </cfRule>
  </conditionalFormatting>
  <conditionalFormatting sqref="AW48:AX48">
    <cfRule type="expression" dxfId="911" priority="83">
      <formula>$AW$48=""</formula>
    </cfRule>
  </conditionalFormatting>
  <conditionalFormatting sqref="AE84:AL84">
    <cfRule type="expression" dxfId="910" priority="75">
      <formula>$AE$84=""</formula>
    </cfRule>
  </conditionalFormatting>
  <conditionalFormatting sqref="AB102:AB120">
    <cfRule type="expression" dxfId="909" priority="73">
      <formula>$T$104&lt;&gt;105</formula>
    </cfRule>
  </conditionalFormatting>
  <conditionalFormatting sqref="AB120:AG120">
    <cfRule type="expression" dxfId="908" priority="72">
      <formula>$T$104&lt;&gt;105</formula>
    </cfRule>
  </conditionalFormatting>
  <conditionalFormatting sqref="AG102:AG120">
    <cfRule type="expression" dxfId="907" priority="71">
      <formula>AND($T$104&lt;&gt;105,$T$104&lt;&gt;85)</formula>
    </cfRule>
  </conditionalFormatting>
  <conditionalFormatting sqref="AB102:AG102">
    <cfRule type="expression" dxfId="906" priority="70">
      <formula>$T$104&lt;&gt;105</formula>
    </cfRule>
  </conditionalFormatting>
  <conditionalFormatting sqref="AH120:AM120">
    <cfRule type="expression" dxfId="905" priority="69">
      <formula>$T$104&lt;&gt;85</formula>
    </cfRule>
  </conditionalFormatting>
  <conditionalFormatting sqref="AH102:AM102">
    <cfRule type="expression" dxfId="904" priority="68">
      <formula>$T$104&lt;&gt;85</formula>
    </cfRule>
  </conditionalFormatting>
  <conditionalFormatting sqref="AN102:AN120">
    <cfRule type="expression" dxfId="903" priority="67">
      <formula>AND($T$104&lt;&gt;85,$T$104&lt;&gt;110)</formula>
    </cfRule>
  </conditionalFormatting>
  <conditionalFormatting sqref="AN120:AT120">
    <cfRule type="expression" dxfId="902" priority="66">
      <formula>$T$104&lt;&gt;110</formula>
    </cfRule>
  </conditionalFormatting>
  <conditionalFormatting sqref="AT102:AT120">
    <cfRule type="expression" dxfId="901" priority="65">
      <formula>$T$104&lt;&gt;110</formula>
    </cfRule>
  </conditionalFormatting>
  <conditionalFormatting sqref="AN102:AT102">
    <cfRule type="expression" dxfId="900" priority="64">
      <formula>$T$104&lt;&gt;110</formula>
    </cfRule>
  </conditionalFormatting>
  <conditionalFormatting sqref="T104:U104">
    <cfRule type="expression" dxfId="899" priority="63">
      <formula>$T$104=""</formula>
    </cfRule>
  </conditionalFormatting>
  <conditionalFormatting sqref="T106:U106">
    <cfRule type="expression" dxfId="898" priority="62">
      <formula>$T$106=""</formula>
    </cfRule>
  </conditionalFormatting>
  <conditionalFormatting sqref="T108:U108">
    <cfRule type="expression" dxfId="897" priority="61">
      <formula>$T$108=""</formula>
    </cfRule>
  </conditionalFormatting>
  <conditionalFormatting sqref="T114:U114">
    <cfRule type="expression" dxfId="896" priority="60">
      <formula>$T$114=""</formula>
    </cfRule>
  </conditionalFormatting>
  <conditionalFormatting sqref="T110:Y110">
    <cfRule type="expression" dxfId="895" priority="58">
      <formula>$T$110=""</formula>
    </cfRule>
  </conditionalFormatting>
  <conditionalFormatting sqref="T112:Y112">
    <cfRule type="expression" dxfId="894" priority="59">
      <formula>$T$112=""</formula>
    </cfRule>
  </conditionalFormatting>
  <conditionalFormatting sqref="AI57:AS57">
    <cfRule type="expression" dxfId="893" priority="162">
      <formula>$AI$57=""</formula>
    </cfRule>
  </conditionalFormatting>
  <conditionalFormatting sqref="AX25:AZ26">
    <cfRule type="expression" dxfId="892" priority="52">
      <formula>$AX$25=""</formula>
    </cfRule>
  </conditionalFormatting>
  <conditionalFormatting sqref="AM87:AO87">
    <cfRule type="expression" dxfId="891" priority="48">
      <formula>$AM$87=""</formula>
    </cfRule>
  </conditionalFormatting>
  <conditionalFormatting sqref="AT52">
    <cfRule type="expression" dxfId="890" priority="46">
      <formula>$AT$52=1</formula>
    </cfRule>
  </conditionalFormatting>
  <conditionalFormatting sqref="AX76:AX80">
    <cfRule type="expression" dxfId="889" priority="43">
      <formula>$AN$80=""</formula>
    </cfRule>
  </conditionalFormatting>
  <conditionalFormatting sqref="AB62">
    <cfRule type="expression" dxfId="888" priority="42">
      <formula>$AB$62&gt;0</formula>
    </cfRule>
  </conditionalFormatting>
  <conditionalFormatting sqref="AB73">
    <cfRule type="expression" dxfId="887" priority="41">
      <formula>$AB$73&gt;0</formula>
    </cfRule>
  </conditionalFormatting>
  <conditionalFormatting sqref="M6:Q6">
    <cfRule type="expression" dxfId="886" priority="40">
      <formula>$M$6=""</formula>
    </cfRule>
  </conditionalFormatting>
  <conditionalFormatting sqref="AN78:AP78">
    <cfRule type="expression" dxfId="885" priority="130">
      <formula>$AN$78=""</formula>
    </cfRule>
  </conditionalFormatting>
  <conditionalFormatting sqref="AN79:AP79">
    <cfRule type="expression" dxfId="884" priority="129">
      <formula>$AN$79=""</formula>
    </cfRule>
  </conditionalFormatting>
  <conditionalFormatting sqref="AM46:AS46">
    <cfRule type="expression" dxfId="883" priority="133">
      <formula>$AM$46=""</formula>
    </cfRule>
  </conditionalFormatting>
  <conditionalFormatting sqref="AM47:AS47">
    <cfRule type="expression" dxfId="882" priority="31">
      <formula>$AM$47=""</formula>
    </cfRule>
  </conditionalFormatting>
  <conditionalFormatting sqref="AQ96:AR96">
    <cfRule type="expression" dxfId="881" priority="17">
      <formula>$AQ$96=""</formula>
    </cfRule>
  </conditionalFormatting>
  <conditionalFormatting sqref="BD2:BI10">
    <cfRule type="expression" dxfId="880" priority="7">
      <formula>$AW$2=""</formula>
    </cfRule>
  </conditionalFormatting>
  <conditionalFormatting sqref="AZ9:BA9">
    <cfRule type="expression" dxfId="879" priority="6">
      <formula>$AZ$9=""</formula>
    </cfRule>
  </conditionalFormatting>
  <conditionalFormatting sqref="AZ10:BA10">
    <cfRule type="expression" dxfId="878" priority="5">
      <formula>$AZ$10=""</formula>
    </cfRule>
  </conditionalFormatting>
  <dataValidations count="8">
    <dataValidation type="whole" allowBlank="1" showInputMessage="1" showErrorMessage="1" sqref="J58:M59 I46:K49" xr:uid="{BB3F7271-C4A9-4AF6-9D91-5698579FDEF2}">
      <formula1>0</formula1>
      <formula2>100000</formula2>
    </dataValidation>
    <dataValidation type="custom" operator="equal" allowBlank="1" showInputMessage="1" showErrorMessage="1" sqref="AA60 E33:E34 E40:E41 Q40:Q41 E6:E7 AN33 AN44 AA47:AA49" xr:uid="{3AE8266D-C3C8-451C-A66A-AB205D284A99}">
      <formula1>E6="X"</formula1>
    </dataValidation>
    <dataValidation type="whole" allowBlank="1" showInputMessage="1" showErrorMessage="1" sqref="H21:I21 AJ21:AK21 L21:M21 P21:Q21 T21:U21 X21:Y21 AB21:AC21 AF21:AG21 AN21:AO21" xr:uid="{7CC805CA-679F-401D-9C2D-2A003E325508}">
      <formula1>0</formula1>
      <formula2>360</formula2>
    </dataValidation>
    <dataValidation type="whole" allowBlank="1" showInputMessage="1" showErrorMessage="1" sqref="E28:AR28 Z42:Z45" xr:uid="{875BB32A-B497-4CEA-8631-3AC954C70685}">
      <formula1>0</formula1>
      <formula2>10000</formula2>
    </dataValidation>
    <dataValidation type="whole" allowBlank="1" showInputMessage="1" showErrorMessage="1" sqref="T45:U45" xr:uid="{3FCB3E4F-8254-49BF-8D62-3803E7E28EC7}">
      <formula1>0</formula1>
      <formula2>3000</formula2>
    </dataValidation>
    <dataValidation type="date" operator="greaterThanOrEqual" allowBlank="1" showInputMessage="1" showErrorMessage="1" sqref="Y7:AF7" xr:uid="{FA68F9A9-D270-48F8-B639-6BD648E72B35}">
      <formula1>TODAY()-3</formula1>
    </dataValidation>
    <dataValidation type="whole" operator="equal" allowBlank="1" showInputMessage="1" showErrorMessage="1" sqref="AB73 AB62" xr:uid="{8E85C7CC-9DCE-4A35-91A9-4399BA2B9C65}">
      <formula1>1</formula1>
    </dataValidation>
    <dataValidation type="whole" allowBlank="1" showInputMessage="1" showErrorMessage="1" sqref="AJ6:AL6" xr:uid="{E5A26B94-C1F0-4909-881F-2D250E72FF6F}">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1266"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1267"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1268" r:id="rId7" name="Check Box 4">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1269" r:id="rId8" name="Check Box 5">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1270" r:id="rId9" name="Check Box 6">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1271" r:id="rId10" name="Check Box 7">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1272" r:id="rId11" name="Check Box 8">
              <controlPr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1273" r:id="rId12" name="Check Box 9">
              <controlPr locked="0" defaultSize="0" autoFill="0" autoLine="0" autoPict="0">
                <anchor moveWithCells="1">
                  <from>
                    <xdr:col>30</xdr:col>
                    <xdr:colOff>0</xdr:colOff>
                    <xdr:row>36</xdr:row>
                    <xdr:rowOff>0</xdr:rowOff>
                  </from>
                  <to>
                    <xdr:col>31</xdr:col>
                    <xdr:colOff>0</xdr:colOff>
                    <xdr:row>37</xdr:row>
                    <xdr:rowOff>0</xdr:rowOff>
                  </to>
                </anchor>
              </controlPr>
            </control>
          </mc:Choice>
        </mc:AlternateContent>
        <mc:AlternateContent xmlns:mc="http://schemas.openxmlformats.org/markup-compatibility/2006">
          <mc:Choice Requires="x14">
            <control shapeId="11274" r:id="rId13" name="Check Box 10">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1275" r:id="rId14" name="Check Box 11">
              <controlPr locked="0" defaultSize="0" autoFill="0" autoLine="0" autoPict="0">
                <anchor moveWithCells="1">
                  <from>
                    <xdr:col>42</xdr:col>
                    <xdr:colOff>0</xdr:colOff>
                    <xdr:row>5</xdr:row>
                    <xdr:rowOff>0</xdr:rowOff>
                  </from>
                  <to>
                    <xdr:col>43</xdr:col>
                    <xdr:colOff>0</xdr:colOff>
                    <xdr:row>6</xdr:row>
                    <xdr:rowOff>9525</xdr:rowOff>
                  </to>
                </anchor>
              </controlPr>
            </control>
          </mc:Choice>
        </mc:AlternateContent>
        <mc:AlternateContent xmlns:mc="http://schemas.openxmlformats.org/markup-compatibility/2006">
          <mc:Choice Requires="x14">
            <control shapeId="11276" r:id="rId15" name="Check Box 12">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1277" r:id="rId16" name="Check Box 13">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1278" r:id="rId17" name="Check Box 14">
              <controlPr locked="0" defaultSize="0" autoFill="0" autoLine="0" autoPict="0">
                <anchor moveWithCells="1">
                  <from>
                    <xdr:col>4</xdr:col>
                    <xdr:colOff>0</xdr:colOff>
                    <xdr:row>5</xdr:row>
                    <xdr:rowOff>0</xdr:rowOff>
                  </from>
                  <to>
                    <xdr:col>5</xdr:col>
                    <xdr:colOff>0</xdr:colOff>
                    <xdr:row>6</xdr:row>
                    <xdr:rowOff>9525</xdr:rowOff>
                  </to>
                </anchor>
              </controlPr>
            </control>
          </mc:Choice>
        </mc:AlternateContent>
        <mc:AlternateContent xmlns:mc="http://schemas.openxmlformats.org/markup-compatibility/2006">
          <mc:Choice Requires="x14">
            <control shapeId="11279" r:id="rId18" name="Check Box 15">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1280" r:id="rId19" name="Check Box 16">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1281" r:id="rId20" name="Check Box 17">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1282" r:id="rId21" name="Check Box 18">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1283" r:id="rId22" name="Check Box 19">
              <controlPr locked="0" defaultSize="0" autoFill="0" autoLine="0" autoPict="0">
                <anchor moveWithCells="1">
                  <from>
                    <xdr:col>9</xdr:col>
                    <xdr:colOff>114300</xdr:colOff>
                    <xdr:row>52</xdr:row>
                    <xdr:rowOff>114300</xdr:rowOff>
                  </from>
                  <to>
                    <xdr:col>10</xdr:col>
                    <xdr:colOff>114300</xdr:colOff>
                    <xdr:row>53</xdr:row>
                    <xdr:rowOff>114300</xdr:rowOff>
                  </to>
                </anchor>
              </controlPr>
            </control>
          </mc:Choice>
        </mc:AlternateContent>
        <mc:AlternateContent xmlns:mc="http://schemas.openxmlformats.org/markup-compatibility/2006">
          <mc:Choice Requires="x14">
            <control shapeId="11284" r:id="rId23" name="Check Box 20">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1285" r:id="rId24" name="Check Box 21">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1286" r:id="rId25" name="Check Box 22">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1287" r:id="rId26" name="Check Box 23">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1288" r:id="rId27" name="Check Box 24">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1289" r:id="rId28" name="Check Box 25">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1290" r:id="rId29" name="Check Box 26">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1291" r:id="rId30" name="Check Box 27">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1292" r:id="rId31" name="Check Box 28">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1293" r:id="rId32" name="Check Box 29">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1294" r:id="rId33" name="Check Box 30">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1295" r:id="rId34" name="Check Box 3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1296" r:id="rId35" name="Check Box 3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1297" r:id="rId36" name="Check Box 3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1298" r:id="rId37" name="Check Box 3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1299" r:id="rId38" name="Check Box 35">
              <controlPr locked="0" defaultSize="0" autoFill="0" autoLine="0" autoPict="0">
                <anchor moveWithCells="1">
                  <from>
                    <xdr:col>13</xdr:col>
                    <xdr:colOff>57150</xdr:colOff>
                    <xdr:row>81</xdr:row>
                    <xdr:rowOff>9525</xdr:rowOff>
                  </from>
                  <to>
                    <xdr:col>14</xdr:col>
                    <xdr:colOff>57150</xdr:colOff>
                    <xdr:row>82</xdr:row>
                    <xdr:rowOff>9525</xdr:rowOff>
                  </to>
                </anchor>
              </controlPr>
            </control>
          </mc:Choice>
        </mc:AlternateContent>
        <mc:AlternateContent xmlns:mc="http://schemas.openxmlformats.org/markup-compatibility/2006">
          <mc:Choice Requires="x14">
            <control shapeId="11300" r:id="rId39" name="Check Box 36">
              <controlPr locked="0" defaultSize="0" autoFill="0" autoLine="0" autoPict="0">
                <anchor moveWithCells="1">
                  <from>
                    <xdr:col>13</xdr:col>
                    <xdr:colOff>19050</xdr:colOff>
                    <xdr:row>62</xdr:row>
                    <xdr:rowOff>9525</xdr:rowOff>
                  </from>
                  <to>
                    <xdr:col>14</xdr:col>
                    <xdr:colOff>19050</xdr:colOff>
                    <xdr:row>63</xdr:row>
                    <xdr:rowOff>9525</xdr:rowOff>
                  </to>
                </anchor>
              </controlPr>
            </control>
          </mc:Choice>
        </mc:AlternateContent>
        <mc:AlternateContent xmlns:mc="http://schemas.openxmlformats.org/markup-compatibility/2006">
          <mc:Choice Requires="x14">
            <control shapeId="11301" r:id="rId40" name="Check Box 37">
              <controlPr locked="0" defaultSize="0" autoFill="0" autoLine="0" autoPict="0">
                <anchor moveWithCells="1">
                  <from>
                    <xdr:col>11</xdr:col>
                    <xdr:colOff>66675</xdr:colOff>
                    <xdr:row>68</xdr:row>
                    <xdr:rowOff>0</xdr:rowOff>
                  </from>
                  <to>
                    <xdr:col>12</xdr:col>
                    <xdr:colOff>66675</xdr:colOff>
                    <xdr:row>69</xdr:row>
                    <xdr:rowOff>0</xdr:rowOff>
                  </to>
                </anchor>
              </controlPr>
            </control>
          </mc:Choice>
        </mc:AlternateContent>
        <mc:AlternateContent xmlns:mc="http://schemas.openxmlformats.org/markup-compatibility/2006">
          <mc:Choice Requires="x14">
            <control shapeId="11302" r:id="rId41" name="Check Box 3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1303" r:id="rId42" name="Check Box 3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1304" r:id="rId43" name="Check Box 40">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1305" r:id="rId44" name="Check Box 41">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1306" r:id="rId45" name="Check Box 42">
              <controlPr locked="0" defaultSize="0" autoFill="0" autoLine="0" autoPict="0">
                <anchor moveWithCells="1">
                  <from>
                    <xdr:col>29</xdr:col>
                    <xdr:colOff>219075</xdr:colOff>
                    <xdr:row>55</xdr:row>
                    <xdr:rowOff>142875</xdr:rowOff>
                  </from>
                  <to>
                    <xdr:col>31</xdr:col>
                    <xdr:colOff>0</xdr:colOff>
                    <xdr:row>57</xdr:row>
                    <xdr:rowOff>0</xdr:rowOff>
                  </to>
                </anchor>
              </controlPr>
            </control>
          </mc:Choice>
        </mc:AlternateContent>
        <mc:AlternateContent xmlns:mc="http://schemas.openxmlformats.org/markup-compatibility/2006">
          <mc:Choice Requires="x14">
            <control shapeId="11307" r:id="rId46" name="Check Box 43">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1308" r:id="rId47" name="Check Box 4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1309" r:id="rId48" name="Check Box 45">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1310" r:id="rId49" name="Check Box 46">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1311" r:id="rId50" name="Check Box 47">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9" id="{5B2B6CC7-F7AC-42F9-93DF-52F11172617F}">
            <xm:f>$A$9&lt;&gt;'Sprachen &amp; Rückgabewerte(3)'!$H$132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278" id="{FE7CACED-79D9-429F-976D-D18F69450CED}">
            <xm:f>'Sprachen &amp; Rückgabewerte(3)'!$I$12=FALSE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36" id="{11BE0D28-7015-4E4F-9DA3-3E28A42C0032}">
            <xm:f>'Sprachen &amp; Rückgabewerte(3)'!$U$49=FALSE</xm:f>
            <x14:dxf>
              <border>
                <bottom style="thin">
                  <color rgb="FFFF0000"/>
                </bottom>
                <vertical/>
                <horizontal/>
              </border>
            </x14:dxf>
          </x14:cfRule>
          <x14:cfRule type="expression" priority="277" id="{2C7EA897-D926-41BE-94A3-AE53619B0193}">
            <xm:f>AND('Sprachen &amp; Rückgabewerte(3)'!$I$11=FALSE,'Sprachen &amp; Rückgabewerte(3)'!$I$12=FALSE)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6" id="{6D8992C7-E1DA-457B-B249-F2710DBBFAD4}">
            <xm:f>AND('Sprachen &amp; Rückgabewerte(3)'!$I$10=FALSE,'Sprachen &amp; Rückgabewerte(3)'!$I$11=FALSE,'Sprachen &amp; Rückgabewerte(3)'!$I$12=FALSE)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411F8E2F-CECE-4A7E-AD4C-A537BDDB94D2}">
            <xm:f>AND($AP$86="",'Sprachen &amp; Rückgabewerte(3)'!$I$51=TRUE)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5" id="{88EDCBF2-A320-4452-BD5F-EB61314C524D}">
            <xm:f>'Sprachen &amp; Rückgabewerte(3)'!$I$51=TRUE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4" id="{63D57844-32C2-44ED-825B-BD30EE38D045}">
            <xm:f>'Sprachen &amp; Rückgabewerte(3)'!$C$41=FALSE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8" id="{F98C69EE-131F-40E0-9DF4-6E370632B09C}">
            <xm:f>'Sprachen &amp; Rückgabewerte(3)'!$C$42=FALSE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3" id="{57BC5378-7FDD-45B0-A93A-010EEAD5C765}">
            <xm:f>'Sprachen &amp; Rückgabewerte(3)'!$C$43=FALSE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2" id="{2F27438D-E3C6-461A-BDDC-BF9448EE425D}">
            <xm:f>'Sprachen &amp; Rückgabewerte(3)'!$C$44=FALSE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0" id="{1E1A4604-3181-4B33-9A90-995509A19375}">
            <xm:f>'Sprachen &amp; Rückgabewerte(3)'!$C$45=FALSE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5" id="{59D42220-479D-469D-AF2E-1AF2D023D628}">
            <xm:f>'Sprachen &amp; Rückgabewerte(3)'!$C$46=FALSE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8" id="{67999371-1409-4192-B651-ECDEDD98489C}">
            <xm:f>'Sprachen &amp; Rückgabewerte(3)'!$C$47=FALSE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39" id="{EE1C1EE2-D5AA-4717-8E9E-8A9172863CE1}">
            <xm:f>'Sprachen &amp; Rückgabewerte(3)'!$C$49=FALSE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5" id="{B1DFD417-0D01-457E-9FF1-AF9D8B351B7D}">
            <xm:f>G$20='Sprachen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6" id="{054C7649-415F-47A5-8319-1A5B2D4CC00B}">
            <xm:f>G$20='Sprachen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3" id="{48A771E3-ED32-42B7-B8D6-44A1DFC67518}">
            <xm:f>'Sprachen &amp; Rückgabewerte(3)'!$L$41=0</xm:f>
            <x14:dxf>
              <border>
                <left style="thin">
                  <color rgb="FFFF0000"/>
                </left>
                <vertical/>
                <horizontal/>
              </border>
            </x14:dxf>
          </x14:cfRule>
          <xm:sqref>C5:C8</xm:sqref>
        </x14:conditionalFormatting>
        <x14:conditionalFormatting xmlns:xm="http://schemas.microsoft.com/office/excel/2006/main">
          <x14:cfRule type="expression" priority="262" id="{517DBBAB-B41E-4128-B53C-EB8133248223}">
            <xm:f>'Sprachen &amp; Rückgabewerte(3)'!$L$41=0</xm:f>
            <x14:dxf>
              <border>
                <top style="thin">
                  <color rgb="FFFF0000"/>
                </top>
                <vertical/>
                <horizontal/>
              </border>
            </x14:dxf>
          </x14:cfRule>
          <xm:sqref>C5:R5</xm:sqref>
        </x14:conditionalFormatting>
        <x14:conditionalFormatting xmlns:xm="http://schemas.microsoft.com/office/excel/2006/main">
          <x14:cfRule type="expression" priority="261" id="{E851EFF4-46E6-482D-9CB8-BFA239994235}">
            <xm:f>'Sprachen &amp; Rückgabewerte(3)'!$L$41=0</xm:f>
            <x14:dxf>
              <border>
                <right style="thin">
                  <color rgb="FFFF0000"/>
                </right>
                <vertical/>
                <horizontal/>
              </border>
            </x14:dxf>
          </x14:cfRule>
          <xm:sqref>R5:R8</xm:sqref>
        </x14:conditionalFormatting>
        <x14:conditionalFormatting xmlns:xm="http://schemas.microsoft.com/office/excel/2006/main">
          <x14:cfRule type="expression" priority="260" id="{433815CB-F4F9-4DAF-824A-8C55B2EBBD13}">
            <xm:f>'Sprachen &amp; Rückgabewerte(3)'!$L$41=0</xm:f>
            <x14:dxf>
              <border>
                <bottom style="thin">
                  <color rgb="FFFF0000"/>
                </bottom>
                <vertical/>
                <horizontal/>
              </border>
            </x14:dxf>
          </x14:cfRule>
          <xm:sqref>C8:R8</xm:sqref>
        </x14:conditionalFormatting>
        <x14:conditionalFormatting xmlns:xm="http://schemas.microsoft.com/office/excel/2006/main">
          <x14:cfRule type="expression" priority="259" id="{F17FECC3-7A64-4772-863B-EF974739D9AA}">
            <xm:f>'Sprachen &amp; Rückgabewerte(3)'!$L$42=0</xm:f>
            <x14:dxf>
              <border>
                <left style="thin">
                  <color rgb="FFFF0000"/>
                </left>
                <vertical/>
                <horizontal/>
              </border>
            </x14:dxf>
          </x14:cfRule>
          <xm:sqref>S5:S8</xm:sqref>
        </x14:conditionalFormatting>
        <x14:conditionalFormatting xmlns:xm="http://schemas.microsoft.com/office/excel/2006/main">
          <x14:cfRule type="expression" priority="119" id="{5349F760-0225-4AC9-9552-02FCA8AC8FDA}">
            <xm:f>'Sprachen &amp; Rückgabewerte(3)'!$L$42=0</xm:f>
            <x14:dxf>
              <border>
                <top style="thin">
                  <color rgb="FFFF0000"/>
                </top>
                <vertical/>
                <horizontal/>
              </border>
            </x14:dxf>
          </x14:cfRule>
          <xm:sqref>S5:AG5</xm:sqref>
        </x14:conditionalFormatting>
        <x14:conditionalFormatting xmlns:xm="http://schemas.microsoft.com/office/excel/2006/main">
          <x14:cfRule type="expression" priority="257" id="{8BDDCB0F-A25C-45ED-8D26-32E6748F898E}">
            <xm:f>'Sprachen &amp; Rückgabewerte(3)'!$L$42=0</xm:f>
            <x14:dxf>
              <border>
                <right style="thin">
                  <color rgb="FFFF0000"/>
                </right>
                <vertical/>
                <horizontal/>
              </border>
            </x14:dxf>
          </x14:cfRule>
          <xm:sqref>AG5:AG8</xm:sqref>
        </x14:conditionalFormatting>
        <x14:conditionalFormatting xmlns:xm="http://schemas.microsoft.com/office/excel/2006/main">
          <x14:cfRule type="expression" priority="256" id="{09DCA1E2-F7C9-45BF-9B73-DFFD969CD699}">
            <xm:f>'Sprachen &amp; Rückgabewerte(3)'!$L$42=0</xm:f>
            <x14:dxf>
              <border>
                <bottom style="thin">
                  <color rgb="FFFF0000"/>
                </bottom>
                <vertical/>
                <horizontal/>
              </border>
            </x14:dxf>
          </x14:cfRule>
          <xm:sqref>S8:AG8</xm:sqref>
        </x14:conditionalFormatting>
        <x14:conditionalFormatting xmlns:xm="http://schemas.microsoft.com/office/excel/2006/main">
          <x14:cfRule type="expression" priority="255" id="{AD5261E3-DB86-43DE-8DD6-4F5C2C4C1FE2}">
            <xm:f>'Sprachen &amp; Rückgabewerte(3)'!$L$43=0</xm:f>
            <x14:dxf>
              <border>
                <left style="thin">
                  <color rgb="FFFF0000"/>
                </left>
                <vertical/>
                <horizontal/>
              </border>
            </x14:dxf>
          </x14:cfRule>
          <xm:sqref>AH5:AH8</xm:sqref>
        </x14:conditionalFormatting>
        <x14:conditionalFormatting xmlns:xm="http://schemas.microsoft.com/office/excel/2006/main">
          <x14:cfRule type="expression" priority="116" id="{AEDB4E09-2347-42BC-A2C3-BA69B4CEC737}">
            <xm:f>'Sprachen &amp; Rückgabewerte(3)'!$L$43=0</xm:f>
            <x14:dxf>
              <border>
                <top style="thin">
                  <color rgb="FFFF0000"/>
                </top>
                <vertical/>
                <horizontal/>
              </border>
            </x14:dxf>
          </x14:cfRule>
          <xm:sqref>AH5:AM5</xm:sqref>
        </x14:conditionalFormatting>
        <x14:conditionalFormatting xmlns:xm="http://schemas.microsoft.com/office/excel/2006/main">
          <x14:cfRule type="expression" priority="253" id="{A4EBEE09-6628-4A3E-ACA2-534ED4FB30BC}">
            <xm:f>'Sprachen &amp; Rückgabewerte(3)'!$L$43=0</xm:f>
            <x14:dxf>
              <border>
                <right style="thin">
                  <color rgb="FFFF0000"/>
                </right>
                <vertical/>
                <horizontal/>
              </border>
            </x14:dxf>
          </x14:cfRule>
          <xm:sqref>AM5:AM8</xm:sqref>
        </x14:conditionalFormatting>
        <x14:conditionalFormatting xmlns:xm="http://schemas.microsoft.com/office/excel/2006/main">
          <x14:cfRule type="expression" priority="252" id="{FDC43616-A26C-44C8-907C-3EEB6FA311AF}">
            <xm:f>'Sprachen &amp; Rückgabewerte(3)'!$L$43=0</xm:f>
            <x14:dxf>
              <border>
                <bottom style="thin">
                  <color rgb="FFFF0000"/>
                </bottom>
                <vertical/>
                <horizontal/>
              </border>
            </x14:dxf>
          </x14:cfRule>
          <xm:sqref>AH8:AM8</xm:sqref>
        </x14:conditionalFormatting>
        <x14:conditionalFormatting xmlns:xm="http://schemas.microsoft.com/office/excel/2006/main">
          <x14:cfRule type="expression" priority="251" id="{CF4D3C64-2F0B-485C-853F-24D93EF6C148}">
            <xm:f>'Sprachen &amp; Rückgabewerte(3)'!$L$44=0</xm:f>
            <x14:dxf>
              <border>
                <left style="thin">
                  <color rgb="FFFF0000"/>
                </left>
                <vertical/>
                <horizontal/>
              </border>
            </x14:dxf>
          </x14:cfRule>
          <xm:sqref>AN5:AN8</xm:sqref>
        </x14:conditionalFormatting>
        <x14:conditionalFormatting xmlns:xm="http://schemas.microsoft.com/office/excel/2006/main">
          <x14:cfRule type="expression" priority="250" id="{89BE199E-BB0A-4194-A6F6-02A44259070C}">
            <xm:f>'Sprachen &amp; Rückgabewerte(3)'!$L$44=0</xm:f>
            <x14:dxf>
              <border>
                <top style="thin">
                  <color rgb="FFFF0000"/>
                </top>
                <vertical/>
                <horizontal/>
              </border>
            </x14:dxf>
          </x14:cfRule>
          <xm:sqref>AN5:AT5</xm:sqref>
        </x14:conditionalFormatting>
        <x14:conditionalFormatting xmlns:xm="http://schemas.microsoft.com/office/excel/2006/main">
          <x14:cfRule type="expression" priority="249" id="{9A1E9DC1-0D81-438F-BD4D-DEA5FE92F713}">
            <xm:f>'Sprachen &amp; Rückgabewerte(3)'!$L$44=0</xm:f>
            <x14:dxf>
              <border>
                <right style="thin">
                  <color rgb="FFFF0000"/>
                </right>
                <vertical/>
                <horizontal/>
              </border>
            </x14:dxf>
          </x14:cfRule>
          <xm:sqref>AT5:AT8</xm:sqref>
        </x14:conditionalFormatting>
        <x14:conditionalFormatting xmlns:xm="http://schemas.microsoft.com/office/excel/2006/main">
          <x14:cfRule type="expression" priority="248" id="{4E1FE9A3-1A82-4069-A8F4-80C72D5C1731}">
            <xm:f>'Sprachen &amp; Rückgabewerte(3)'!$L$44=0</xm:f>
            <x14:dxf>
              <border>
                <bottom style="thin">
                  <color rgb="FFFF0000"/>
                </bottom>
                <vertical/>
                <horizontal/>
              </border>
            </x14:dxf>
          </x14:cfRule>
          <xm:sqref>AN8:AT8</xm:sqref>
        </x14:conditionalFormatting>
        <x14:conditionalFormatting xmlns:xm="http://schemas.microsoft.com/office/excel/2006/main">
          <x14:cfRule type="expression" priority="247" id="{F518438C-4783-440C-9F1E-9356870872CA}">
            <xm:f>'Sprachen &amp; Rückgabewerte(3)'!$L$45=0</xm:f>
            <x14:dxf>
              <border>
                <left style="thin">
                  <color rgb="FFFF0000"/>
                </left>
                <vertical/>
                <horizontal/>
              </border>
            </x14:dxf>
          </x14:cfRule>
          <xm:sqref>C9:C30</xm:sqref>
        </x14:conditionalFormatting>
        <x14:conditionalFormatting xmlns:xm="http://schemas.microsoft.com/office/excel/2006/main">
          <x14:cfRule type="expression" priority="240" id="{D588365A-3F75-41B7-826F-F7EA5ABE6D45}">
            <xm:f>'Sprachen &amp; Rückgabewerte(3)'!$L$46=0</xm:f>
            <x14:dxf>
              <border>
                <bottom style="thin">
                  <color rgb="FFFF0000"/>
                </bottom>
                <vertical/>
                <horizontal/>
              </border>
            </x14:dxf>
          </x14:cfRule>
          <x14:cfRule type="expression" priority="246" id="{F7D18DAA-9430-4ED4-80F8-D79A4B9EA8E4}">
            <xm:f>'Sprachen &amp; Rückgabewerte(3)'!$L$45=0</xm:f>
            <x14:dxf>
              <border>
                <bottom style="thin">
                  <color rgb="FFFF0000"/>
                </bottom>
                <vertical/>
                <horizontal/>
              </border>
            </x14:dxf>
          </x14:cfRule>
          <xm:sqref>C30:AT30</xm:sqref>
        </x14:conditionalFormatting>
        <x14:conditionalFormatting xmlns:xm="http://schemas.microsoft.com/office/excel/2006/main">
          <x14:cfRule type="expression" priority="245" id="{6C4109B3-0576-4081-8016-B4B54FA06FAD}">
            <xm:f>'Sprachen &amp; Rückgabewerte(3)'!$L$45=0</xm:f>
            <x14:dxf>
              <border>
                <top style="thin">
                  <color rgb="FFFF0000"/>
                </top>
                <vertical/>
                <horizontal/>
              </border>
            </x14:dxf>
          </x14:cfRule>
          <xm:sqref>C9:AT9</xm:sqref>
        </x14:conditionalFormatting>
        <x14:conditionalFormatting xmlns:xm="http://schemas.microsoft.com/office/excel/2006/main">
          <x14:cfRule type="expression" priority="244" id="{D2A7779F-FE9C-460A-A77A-5609CADAA13C}">
            <xm:f>'Sprachen &amp; Rückgabewerte(3)'!$L$45=0</xm:f>
            <x14:dxf>
              <border>
                <right style="thin">
                  <color rgb="FFFF0000"/>
                </right>
                <vertical/>
                <horizontal/>
              </border>
            </x14:dxf>
          </x14:cfRule>
          <xm:sqref>AT9:AT30</xm:sqref>
        </x14:conditionalFormatting>
        <x14:conditionalFormatting xmlns:xm="http://schemas.microsoft.com/office/excel/2006/main">
          <x14:cfRule type="expression" priority="243" id="{97B2E311-A750-4F73-9709-52B5DBCD52B6}">
            <xm:f>'Sprachen &amp; Rückgabewerte(3)'!$L$46=0</xm:f>
            <x14:dxf>
              <border>
                <left style="thin">
                  <color rgb="FFFF0000"/>
                </left>
                <vertical/>
                <horizontal/>
              </border>
            </x14:dxf>
          </x14:cfRule>
          <xm:sqref>C27:C30</xm:sqref>
        </x14:conditionalFormatting>
        <x14:conditionalFormatting xmlns:xm="http://schemas.microsoft.com/office/excel/2006/main">
          <x14:cfRule type="expression" priority="242" id="{EB12A287-2B59-4659-A318-F241EAFAA063}">
            <xm:f>'Sprachen &amp; Rückgabewerte(3)'!$L$46=0</xm:f>
            <x14:dxf>
              <border>
                <top style="thin">
                  <color rgb="FFFF0000"/>
                </top>
                <vertical/>
                <horizontal/>
              </border>
            </x14:dxf>
          </x14:cfRule>
          <xm:sqref>C27:AT27</xm:sqref>
        </x14:conditionalFormatting>
        <x14:conditionalFormatting xmlns:xm="http://schemas.microsoft.com/office/excel/2006/main">
          <x14:cfRule type="expression" priority="241" id="{5952DF70-1C39-4B09-98C4-4A9D5A61A26A}">
            <xm:f>'Sprachen &amp; Rückgabewerte(3)'!$L$46=0</xm:f>
            <x14:dxf>
              <border>
                <right style="thin">
                  <color rgb="FFFF0000"/>
                </right>
                <vertical/>
                <horizontal/>
              </border>
            </x14:dxf>
          </x14:cfRule>
          <xm:sqref>AT27:AT30</xm:sqref>
        </x14:conditionalFormatting>
        <x14:conditionalFormatting xmlns:xm="http://schemas.microsoft.com/office/excel/2006/main">
          <x14:cfRule type="expression" priority="239" id="{AA190C7A-33CF-4662-85C2-5BDAF43995BE}">
            <xm:f>'Sprachen &amp; Rückgabewerte(3)'!$L$47=0</xm:f>
            <x14:dxf>
              <border>
                <left style="thin">
                  <color rgb="FFFF0000"/>
                </left>
                <vertical/>
                <horizontal/>
              </border>
            </x14:dxf>
          </x14:cfRule>
          <xm:sqref>C32:C35</xm:sqref>
        </x14:conditionalFormatting>
        <x14:conditionalFormatting xmlns:xm="http://schemas.microsoft.com/office/excel/2006/main">
          <x14:cfRule type="expression" priority="238" id="{5DB14729-092B-44E1-AB18-5DD0921C9B84}">
            <xm:f>'Sprachen &amp; Rückgabewerte(3)'!$L$47=0</xm:f>
            <x14:dxf>
              <border>
                <top style="thin">
                  <color rgb="FFFF0000"/>
                </top>
                <vertical/>
                <horizontal/>
              </border>
            </x14:dxf>
          </x14:cfRule>
          <xm:sqref>C32:AB32</xm:sqref>
        </x14:conditionalFormatting>
        <x14:conditionalFormatting xmlns:xm="http://schemas.microsoft.com/office/excel/2006/main">
          <x14:cfRule type="expression" priority="237" id="{13623503-85B9-492E-83BD-5B0DC93F375A}">
            <xm:f>'Sprachen &amp; Rückgabewerte(3)'!$L$47=0</xm:f>
            <x14:dxf>
              <border>
                <right style="thin">
                  <color rgb="FFFF0000"/>
                </right>
                <vertical/>
                <horizontal/>
              </border>
            </x14:dxf>
          </x14:cfRule>
          <xm:sqref>AB32:AB35</xm:sqref>
        </x14:conditionalFormatting>
        <x14:conditionalFormatting xmlns:xm="http://schemas.microsoft.com/office/excel/2006/main">
          <x14:cfRule type="expression" priority="236" id="{6695CC1B-A6A0-41B3-89D8-D337D3E05665}">
            <xm:f>'Sprachen &amp; Rückgabewerte(3)'!$L$47=0</xm:f>
            <x14:dxf>
              <border>
                <bottom style="thin">
                  <color rgb="FFFF0000"/>
                </bottom>
                <vertical/>
                <horizontal/>
              </border>
            </x14:dxf>
          </x14:cfRule>
          <xm:sqref>C35:AB35</xm:sqref>
        </x14:conditionalFormatting>
        <x14:conditionalFormatting xmlns:xm="http://schemas.microsoft.com/office/excel/2006/main">
          <x14:cfRule type="expression" priority="235" id="{D0D5B2FF-7B2B-463B-BABF-C67C1083E53B}">
            <xm:f>'Sprachen &amp; Rückgabewerte(3)'!$M$49=0</xm:f>
            <x14:dxf>
              <border>
                <left style="thin">
                  <color rgb="FFFF0000"/>
                </left>
                <vertical/>
                <horizontal/>
              </border>
            </x14:dxf>
          </x14:cfRule>
          <xm:sqref>C36:C60</xm:sqref>
        </x14:conditionalFormatting>
        <x14:conditionalFormatting xmlns:xm="http://schemas.microsoft.com/office/excel/2006/main">
          <x14:cfRule type="expression" priority="234" id="{19D2070A-4C18-47B1-8C0E-0B8345664B06}">
            <xm:f>'Sprachen &amp; Rückgabewerte(3)'!$M$49=0</xm:f>
            <x14:dxf>
              <border>
                <top style="thin">
                  <color rgb="FFFF0000"/>
                </top>
                <vertical/>
                <horizontal/>
              </border>
            </x14:dxf>
          </x14:cfRule>
          <xm:sqref>C36:O36</xm:sqref>
        </x14:conditionalFormatting>
        <x14:conditionalFormatting xmlns:xm="http://schemas.microsoft.com/office/excel/2006/main">
          <x14:cfRule type="expression" priority="233" id="{F5C066BD-128D-4430-B6EC-ED2C61C6134E}">
            <xm:f>'Sprachen &amp; Rückgabewerte(3)'!$M$49=0</xm:f>
            <x14:dxf>
              <border>
                <right style="thin">
                  <color rgb="FFFF0000"/>
                </right>
                <vertical/>
                <horizontal/>
              </border>
            </x14:dxf>
          </x14:cfRule>
          <xm:sqref>O36:O60</xm:sqref>
        </x14:conditionalFormatting>
        <x14:conditionalFormatting xmlns:xm="http://schemas.microsoft.com/office/excel/2006/main">
          <x14:cfRule type="expression" priority="232" id="{D0B6BA5F-CC40-4F97-86EE-1DA043267816}">
            <xm:f>'Sprachen &amp; Rückgabewerte(3)'!$M$49=0</xm:f>
            <x14:dxf>
              <border>
                <bottom style="thin">
                  <color rgb="FFFF0000"/>
                </bottom>
                <vertical/>
                <horizontal/>
              </border>
            </x14:dxf>
          </x14:cfRule>
          <xm:sqref>C60:O60</xm:sqref>
        </x14:conditionalFormatting>
        <x14:conditionalFormatting xmlns:xm="http://schemas.microsoft.com/office/excel/2006/main">
          <x14:cfRule type="expression" priority="231" id="{AE759397-CB02-4A0D-8060-6143DC3E9703}">
            <xm:f>'Sprachen &amp; Rückgabewerte(3)'!$L$50=0</xm:f>
            <x14:dxf>
              <border>
                <top style="thin">
                  <color rgb="FFFF0000"/>
                </top>
                <vertical/>
                <horizontal/>
              </border>
            </x14:dxf>
          </x14:cfRule>
          <xm:sqref>P36:AB36</xm:sqref>
        </x14:conditionalFormatting>
        <x14:conditionalFormatting xmlns:xm="http://schemas.microsoft.com/office/excel/2006/main">
          <x14:cfRule type="expression" priority="230" id="{7200BAC5-347A-498C-917B-04CA5AA8112F}">
            <xm:f>'Sprachen &amp; Rückgabewerte(3)'!$L$50=0</xm:f>
            <x14:dxf>
              <border>
                <right style="thin">
                  <color rgb="FFFF0000"/>
                </right>
              </border>
            </x14:dxf>
          </x14:cfRule>
          <xm:sqref>AB36:AB60</xm:sqref>
        </x14:conditionalFormatting>
        <x14:conditionalFormatting xmlns:xm="http://schemas.microsoft.com/office/excel/2006/main">
          <x14:cfRule type="expression" priority="229" id="{EED79FB6-D4E5-46DE-A9D9-223DD378707D}">
            <xm:f>'Sprachen &amp; Rückgabewerte(3)'!$L$50=0</xm:f>
            <x14:dxf>
              <border>
                <bottom style="thin">
                  <color rgb="FFFF0000"/>
                </bottom>
                <vertical/>
                <horizontal/>
              </border>
            </x14:dxf>
          </x14:cfRule>
          <xm:sqref>P60:AB60</xm:sqref>
        </x14:conditionalFormatting>
        <x14:conditionalFormatting xmlns:xm="http://schemas.microsoft.com/office/excel/2006/main">
          <x14:cfRule type="expression" priority="228" id="{8476612B-CA35-463F-87C1-ABD204D9D373}">
            <xm:f>'Sprachen &amp; Rückgabewerte(3)'!$L$50=0</xm:f>
            <x14:dxf>
              <border>
                <left style="thin">
                  <color rgb="FFFF0000"/>
                </left>
                <vertical/>
                <horizontal/>
              </border>
            </x14:dxf>
          </x14:cfRule>
          <xm:sqref>P36:P43</xm:sqref>
        </x14:conditionalFormatting>
        <x14:conditionalFormatting xmlns:xm="http://schemas.microsoft.com/office/excel/2006/main">
          <x14:cfRule type="expression" priority="227" id="{6EA215AB-FB17-401E-A0E7-441A7B788F34}">
            <xm:f>'Sprachen &amp; Rückgabewerte(3)'!$L$50=0</xm:f>
            <x14:dxf>
              <border>
                <left style="thin">
                  <color rgb="FFFF0000"/>
                </left>
                <vertical/>
                <horizontal/>
              </border>
            </x14:dxf>
          </x14:cfRule>
          <xm:sqref>P44:S45</xm:sqref>
        </x14:conditionalFormatting>
        <x14:conditionalFormatting xmlns:xm="http://schemas.microsoft.com/office/excel/2006/main">
          <x14:cfRule type="expression" priority="226" id="{ACE6D724-6100-400E-BEE4-0395F8FFD018}">
            <xm:f>'Sprachen &amp; Rückgabewerte(3)'!$L$50=0</xm:f>
            <x14:dxf>
              <border>
                <left style="thin">
                  <color rgb="FFFF0000"/>
                </left>
                <vertical/>
                <horizontal/>
              </border>
            </x14:dxf>
          </x14:cfRule>
          <xm:sqref>P46:P60</xm:sqref>
        </x14:conditionalFormatting>
        <x14:conditionalFormatting xmlns:xm="http://schemas.microsoft.com/office/excel/2006/main">
          <x14:cfRule type="expression" priority="225" id="{9F6847A9-1868-4766-8453-65E6EAB924B2}">
            <xm:f>'Sprachen &amp; Rückgabewerte(3)'!$L$51=0</xm:f>
            <x14:dxf>
              <border>
                <top style="thin">
                  <color rgb="FFFF0000"/>
                </top>
                <vertical/>
                <horizontal/>
              </border>
            </x14:dxf>
          </x14:cfRule>
          <xm:sqref>AE32:AT32</xm:sqref>
        </x14:conditionalFormatting>
        <x14:conditionalFormatting xmlns:xm="http://schemas.microsoft.com/office/excel/2006/main">
          <x14:cfRule type="expression" priority="98" id="{AB49DD5B-0278-461A-8DD1-AAB4ECE3A00B}">
            <xm:f>AND($AY$43&lt;&gt;0,'Sprachen &amp; Rückgabewerte(3)'!$I$19=TRUE)</xm:f>
            <x14:dxf>
              <border>
                <right style="thin">
                  <color rgb="FFFF0000"/>
                </right>
                <vertical/>
                <horizontal/>
              </border>
            </x14:dxf>
          </x14:cfRule>
          <x14:cfRule type="expression" priority="224" id="{4AF9EA9B-7CE1-48BB-B5DB-79C46D0B7997}">
            <xm:f>'Sprachen &amp; Rückgabewerte(3)'!$L$51=0</xm:f>
            <x14:dxf>
              <border>
                <right style="thin">
                  <color rgb="FFFF0000"/>
                </right>
                <vertical/>
                <horizontal/>
              </border>
            </x14:dxf>
          </x14:cfRule>
          <xm:sqref>AT32:AT40</xm:sqref>
        </x14:conditionalFormatting>
        <x14:conditionalFormatting xmlns:xm="http://schemas.microsoft.com/office/excel/2006/main">
          <x14:cfRule type="expression" priority="223" id="{10527649-F4F3-42E8-B607-5E38A6FA4FCD}">
            <xm:f>'Sprachen &amp; Rückgabewerte(3)'!$L$51=0</xm:f>
            <x14:dxf>
              <border>
                <bottom style="thin">
                  <color rgb="FFFF0000"/>
                </bottom>
                <vertical/>
                <horizontal/>
              </border>
            </x14:dxf>
          </x14:cfRule>
          <xm:sqref>AE40:AT40</xm:sqref>
        </x14:conditionalFormatting>
        <x14:conditionalFormatting xmlns:xm="http://schemas.microsoft.com/office/excel/2006/main">
          <x14:cfRule type="expression" priority="222" id="{778B7E32-69CB-4348-839D-F9BDF1EBB04D}">
            <xm:f>'Sprachen &amp; Rückgabewerte(3)'!$L$52=0</xm:f>
            <x14:dxf>
              <border>
                <top style="thin">
                  <color rgb="FFFF0000"/>
                </top>
                <vertical/>
                <horizontal/>
              </border>
            </x14:dxf>
          </x14:cfRule>
          <xm:sqref>AE42:AT42</xm:sqref>
        </x14:conditionalFormatting>
        <x14:conditionalFormatting xmlns:xm="http://schemas.microsoft.com/office/excel/2006/main">
          <x14:cfRule type="expression" priority="221" id="{08FD408C-AC92-4331-9056-79317190ED10}">
            <xm:f>'Sprachen &amp; Rückgabewerte(3)'!$L$52=0</xm:f>
            <x14:dxf>
              <border>
                <right style="thin">
                  <color rgb="FFFF0000"/>
                </right>
                <vertical/>
                <horizontal/>
              </border>
            </x14:dxf>
          </x14:cfRule>
          <xm:sqref>AT42:AT50</xm:sqref>
        </x14:conditionalFormatting>
        <x14:conditionalFormatting xmlns:xm="http://schemas.microsoft.com/office/excel/2006/main">
          <x14:cfRule type="expression" priority="220" id="{CA4A5D42-6AD7-4595-9F7E-49A329677DF4}">
            <xm:f>'Sprachen &amp; Rückgabewerte(3)'!$L$52=0</xm:f>
            <x14:dxf>
              <border>
                <bottom style="thin">
                  <color rgb="FFFF0000"/>
                </bottom>
                <vertical/>
                <horizontal/>
              </border>
            </x14:dxf>
          </x14:cfRule>
          <xm:sqref>AM50:AT50</xm:sqref>
        </x14:conditionalFormatting>
        <x14:conditionalFormatting xmlns:xm="http://schemas.microsoft.com/office/excel/2006/main">
          <x14:cfRule type="expression" priority="164" id="{4A30E9F3-3427-47A9-97F2-FB1E11454FF5}">
            <xm:f>OR('Sprachen &amp; Rückgabewerte(3)'!$I$36=TRUE,'Sprachen &amp; Rückgabewerte(3)'!$I$39=TRUE)</xm:f>
            <x14:dxf>
              <font>
                <color theme="1"/>
              </font>
            </x14:dxf>
          </x14:cfRule>
          <x14:cfRule type="expression" priority="219" id="{D38726A6-15E9-48B4-B0BC-24FB10610F48}">
            <xm:f>'Sprachen &amp; Rückgabewerte(3)'!$L$52=0</xm:f>
            <x14:dxf>
              <border>
                <bottom style="thin">
                  <color rgb="FFFF0000"/>
                </bottom>
                <vertical/>
                <horizontal/>
              </border>
            </x14:dxf>
          </x14:cfRule>
          <xm:sqref>AF48:AL50</xm:sqref>
        </x14:conditionalFormatting>
        <x14:conditionalFormatting xmlns:xm="http://schemas.microsoft.com/office/excel/2006/main">
          <x14:cfRule type="expression" priority="218" id="{5E1272BA-DDF9-4443-AC29-B5A21084F83E}">
            <xm:f>'Sprachen &amp; Rückgabewerte(3)'!$L$52=0</xm:f>
            <x14:dxf>
              <border>
                <bottom style="thin">
                  <color rgb="FFFF0000"/>
                </bottom>
                <vertical/>
                <horizontal/>
              </border>
            </x14:dxf>
          </x14:cfRule>
          <xm:sqref>AE50</xm:sqref>
        </x14:conditionalFormatting>
        <x14:conditionalFormatting xmlns:xm="http://schemas.microsoft.com/office/excel/2006/main">
          <x14:cfRule type="expression" priority="217" id="{18DF72A4-58BC-460A-952F-D91BD29CBDB5}">
            <xm:f>'Sprachen &amp; Rückgabewerte(3)'!$L$53=0</xm:f>
            <x14:dxf>
              <border>
                <top style="thin">
                  <color rgb="FFFF0000"/>
                </top>
                <vertical/>
                <horizontal/>
              </border>
            </x14:dxf>
          </x14:cfRule>
          <xm:sqref>AE52:AT52</xm:sqref>
        </x14:conditionalFormatting>
        <x14:conditionalFormatting xmlns:xm="http://schemas.microsoft.com/office/excel/2006/main">
          <x14:cfRule type="expression" priority="216" id="{EAEAFAB5-1B97-4A66-9F51-99AA812AEB44}">
            <xm:f>'Sprachen &amp; Rückgabewerte(3)'!$L$53=0</xm:f>
            <x14:dxf>
              <border>
                <right style="thin">
                  <color rgb="FFFF0000"/>
                </right>
                <vertical/>
                <horizontal/>
              </border>
            </x14:dxf>
          </x14:cfRule>
          <xm:sqref>AT52:AT58</xm:sqref>
        </x14:conditionalFormatting>
        <x14:conditionalFormatting xmlns:xm="http://schemas.microsoft.com/office/excel/2006/main">
          <x14:cfRule type="expression" priority="215" id="{DCC2AE59-8A64-44A6-BF6C-A3BC70E5A9E9}">
            <xm:f>'Sprachen &amp; Rückgabewerte(3)'!$L$53=0</xm:f>
            <x14:dxf>
              <border>
                <bottom style="thin">
                  <color rgb="FFFF0000"/>
                </bottom>
                <vertical/>
                <horizontal/>
              </border>
            </x14:dxf>
          </x14:cfRule>
          <xm:sqref>AE58:AT58</xm:sqref>
        </x14:conditionalFormatting>
        <x14:conditionalFormatting xmlns:xm="http://schemas.microsoft.com/office/excel/2006/main">
          <x14:cfRule type="expression" priority="214" id="{8B0000D9-3C46-407F-94D3-214AC53AF0A7}">
            <xm:f>'Sprachen &amp; Rückgabewerte(3)'!$L$54=0</xm:f>
            <x14:dxf>
              <border>
                <top style="thin">
                  <color rgb="FFFF0000"/>
                </top>
                <vertical/>
                <horizontal/>
              </border>
            </x14:dxf>
          </x14:cfRule>
          <xm:sqref>AE60:AT60</xm:sqref>
        </x14:conditionalFormatting>
        <x14:conditionalFormatting xmlns:xm="http://schemas.microsoft.com/office/excel/2006/main">
          <x14:cfRule type="expression" priority="213" id="{A66A5F0F-D9B1-45EC-8142-67C37B9F5A0D}">
            <xm:f>'Sprachen &amp; Rückgabewerte(3)'!$L$54=0</xm:f>
            <x14:dxf>
              <border>
                <right style="thin">
                  <color rgb="FFFF0000"/>
                </right>
                <vertical/>
                <horizontal/>
              </border>
            </x14:dxf>
          </x14:cfRule>
          <xm:sqref>AT60:AT71</xm:sqref>
        </x14:conditionalFormatting>
        <x14:conditionalFormatting xmlns:xm="http://schemas.microsoft.com/office/excel/2006/main">
          <x14:cfRule type="expression" priority="212" id="{2A48439B-C72B-4130-AE7A-877F4BAD71F8}">
            <xm:f>'Sprachen &amp; Rückgabewerte(3)'!$L$54=0</xm:f>
            <x14:dxf>
              <border>
                <bottom style="thin">
                  <color rgb="FFFF0000"/>
                </bottom>
                <vertical/>
                <horizontal/>
              </border>
            </x14:dxf>
          </x14:cfRule>
          <xm:sqref>AE71:AT71</xm:sqref>
        </x14:conditionalFormatting>
        <x14:conditionalFormatting xmlns:xm="http://schemas.microsoft.com/office/excel/2006/main">
          <x14:cfRule type="expression" priority="211" id="{3D280500-D0AB-4B90-9ADB-45545725CED5}">
            <xm:f>'Sprachen &amp; Rückgabewerte(3)'!$L$55=0</xm:f>
            <x14:dxf>
              <border>
                <top style="thin">
                  <color rgb="FFFF0000"/>
                </top>
                <vertical/>
                <horizontal/>
              </border>
            </x14:dxf>
          </x14:cfRule>
          <xm:sqref>AE83:AT83</xm:sqref>
        </x14:conditionalFormatting>
        <x14:conditionalFormatting xmlns:xm="http://schemas.microsoft.com/office/excel/2006/main">
          <x14:cfRule type="expression" priority="210" id="{78FD6F64-1F84-4F11-8B4D-E86157492E45}">
            <xm:f>'Sprachen &amp; Rückgabewerte(3)'!$L$55=0</xm:f>
            <x14:dxf>
              <border>
                <right style="thin">
                  <color rgb="FFFF0000"/>
                </right>
                <vertical/>
                <horizontal/>
              </border>
            </x14:dxf>
          </x14:cfRule>
          <xm:sqref>AT83:AT93</xm:sqref>
        </x14:conditionalFormatting>
        <x14:conditionalFormatting xmlns:xm="http://schemas.microsoft.com/office/excel/2006/main">
          <x14:cfRule type="expression" priority="209" id="{61002144-CE6B-4CFD-B9D4-5138D945A12A}">
            <xm:f>'Sprachen &amp; Rückgabewerte(3)'!$L$55=0</xm:f>
            <x14:dxf>
              <border>
                <bottom style="thin">
                  <color rgb="FFFF0000"/>
                </bottom>
                <vertical/>
                <horizontal/>
              </border>
            </x14:dxf>
          </x14:cfRule>
          <xm:sqref>AE93:AT93</xm:sqref>
        </x14:conditionalFormatting>
        <x14:conditionalFormatting xmlns:xm="http://schemas.microsoft.com/office/excel/2006/main">
          <x14:cfRule type="expression" priority="207" id="{F81E80C9-40D2-4852-9961-F95A970AB759}">
            <xm:f>'Sprachen &amp; Rückgabewerte(3)'!$M$59=0</xm:f>
            <x14:dxf>
              <border>
                <right style="thin">
                  <color rgb="FFFF0000"/>
                </right>
                <vertical/>
                <horizontal/>
              </border>
            </x14:dxf>
          </x14:cfRule>
          <xm:sqref>AB86</xm:sqref>
        </x14:conditionalFormatting>
        <x14:conditionalFormatting xmlns:xm="http://schemas.microsoft.com/office/excel/2006/main">
          <x14:cfRule type="expression" priority="206" id="{05C65D68-B0FF-45B5-A850-48B7B57BBF33}">
            <xm:f>'Sprachen &amp; Rückgabewerte(3)'!$M$59=0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3" id="{16292BCB-AE5C-4A8B-9C01-542951B41EC2}">
            <xm:f>K$20='Sprachen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4" id="{868864DE-DBFD-4816-831B-959C903D7F52}">
            <xm:f>K$20='Sprachen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1" id="{DAFDDC9A-8C75-4198-AD78-5C88EF117B39}">
            <xm:f>O$20='Sprachen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2" id="{C70CF09C-7454-47AC-BA78-2CA33103219C}">
            <xm:f>O$20='Sprachen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199" id="{DC4050B8-82CB-47CC-B138-8F3B685BC3AC}">
            <xm:f>S$20='Sprachen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0" id="{03610E3F-E8A8-4FD8-81C2-383FFBF9AEF3}">
            <xm:f>S$20='Sprachen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7" id="{362EE4EE-6D1C-4AF9-9FD1-32D8F82956A3}">
            <xm:f>W$20='Sprachen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8" id="{F54689DB-A95B-43F8-9ACB-CCE35E12DA59}">
            <xm:f>W$20='Sprachen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5" id="{459A2736-52B6-4725-B0CB-2261C524A639}">
            <xm:f>AA$20='Sprachen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6" id="{FD8F6871-22F0-4EC2-8EFD-783EAF7B0613}">
            <xm:f>AA$20='Sprachen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3" id="{E1E970D0-3F3E-471C-8D6E-2A5BA1A958BC}">
            <xm:f>AE$20='Sprachen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4" id="{7CE1776C-8921-4FD4-B073-375F48D44098}">
            <xm:f>AE$20='Sprachen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1" id="{B8AC7BBB-A55A-427E-B1B0-0C0F1EC741D8}">
            <xm:f>AI$20='Sprachen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2" id="{4A22030E-24B0-4260-AB10-1AC1D328474A}">
            <xm:f>AI$20='Sprachen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89" id="{537B4AD2-1D74-4A9C-ADA6-339AC0BE5DC9}">
            <xm:f>AM$20='Sprachen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0" id="{5CC7264E-D3EC-43CC-B119-B3031A2AF13C}">
            <xm:f>AM$20='Sprachen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8" id="{EF3D6B00-5F58-43FF-838E-3B5CFB28494F}">
            <xm:f>'Sprachen &amp; Rückgabewerte(3)'!$M$59=0</xm:f>
            <x14:dxf>
              <border>
                <top style="thin">
                  <color rgb="FFFF0000"/>
                </top>
                <vertical/>
                <horizontal/>
              </border>
            </x14:dxf>
          </x14:cfRule>
          <xm:sqref>L86:AB86</xm:sqref>
        </x14:conditionalFormatting>
        <x14:conditionalFormatting xmlns:xm="http://schemas.microsoft.com/office/excel/2006/main">
          <x14:cfRule type="expression" priority="187" id="{24F43382-6C3E-48A3-BA59-9CD792AE2A2C}">
            <xm:f>'Sprachen &amp; Rückgabewerte(3)'!$M$59=0</xm:f>
            <x14:dxf>
              <border>
                <bottom style="thin">
                  <color rgb="FFFF0000"/>
                </bottom>
                <vertical/>
                <horizontal/>
              </border>
            </x14:dxf>
          </x14:cfRule>
          <xm:sqref>L97:AB97</xm:sqref>
        </x14:conditionalFormatting>
        <x14:conditionalFormatting xmlns:xm="http://schemas.microsoft.com/office/excel/2006/main">
          <x14:cfRule type="expression" priority="186" id="{F74FC30A-1D58-4B7A-9C19-DF6E6DB4479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5" id="{0C6E322F-04FA-46B8-A935-9ACA8DC39A4B}">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4" id="{4AA3F9F4-B894-4A86-ABE3-742BB66B254E}">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3" id="{D393C3DC-F3DA-48D7-8690-66BB8E05E0FE}">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2" id="{EE03A9E0-4B71-452E-AAC6-10564CC1B42A}">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1" id="{577945C4-804B-4722-B243-EC23BE7E1AC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0" id="{36C923BF-A55A-44E3-BE99-41B1EC003CF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79" id="{2FD9EBC1-D718-4228-817E-9BE7D79D22BC}">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8" id="{28A12DA8-9C20-4471-8955-FA2C5B933D5C}">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7" id="{8A264714-858A-4DD7-B40C-1AF27FCED9DE}">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6" id="{660D66EB-2C34-4455-B7DB-E70EA8B9E05F}">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5" id="{2BD17B78-BC09-4183-9CC6-C3FDDE959870}">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4" id="{722599D1-C698-4678-A9D8-05D6E10F81A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3" id="{A86AD224-CE39-4AC1-B83C-46B4AB7F915E}">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2" id="{DD3E03F3-5FFA-4975-8961-C7B2B4A94832}">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1" id="{493CFA9B-8CD1-4461-8DEA-3BE08DF5616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0" id="{4DEE4994-7B2B-49AB-8758-3F04CB4E4B06}">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68" id="{8DCDE93F-02BB-455D-A246-991A1BAB3379}">
            <xm:f>'Sprachen &amp; Rückgabewerte(3)'!$I$133=TRUE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FABC7877-EB7A-4CB6-B70B-46830FE50502}">
            <xm:f>AND($AL$39="",'Sprachen &amp; Rückgabewerte(3)'!$I$22=TRUE)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7" id="{C9DC5317-31F9-478D-A0ED-AC5098F75EEA}">
            <xm:f>'Sprachen &amp; Rückgabewerte(3)'!$I$22=FALSE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5" id="{D363C3E6-6CB2-445D-A0D0-8E4BDD19402F}">
            <xm:f>'Sprachen &amp; Rückgabewerte(3)'!$I$36=FALSE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2" id="{D7D636B6-FFF5-4E21-BA86-A5A5D7CD36BA}">
            <xm:f>'Sprachen &amp; Rückgabewerte(3)'!$I$39=FALSE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4" id="{C69EC751-26EC-49DB-AC35-EF4F6AE6B378}">
            <xm:f>AND('Sprachen &amp; Rückgabewerte(3)'!$I$36=FALSE,'Sprachen &amp; Rückgabewerte(3)'!$I$39=FALSE)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3" id="{2437ED6E-32B4-4C9E-994C-7821E583D6A0}">
            <xm:f>'Sprachen &amp; Rückgabewerte(3)'!$I$45=FALSE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1" id="{CA1AEECB-6ED1-4E9A-92E4-3A0E7A6C93DD}">
            <xm:f>'Sprachen &amp; Rückgabewerte(3)'!$L$67=TRUE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0" id="{FFBF20C9-8400-4716-8EF8-453415BCE519}">
            <xm:f>'Sprachen &amp; Rückgabewerte(3)'!$L$68=TRUE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6" id="{70E2FA19-EFB1-4569-B44A-A2CA39617522}">
            <xm:f>AND($AY$43&lt;&gt;0,'Sprachen &amp; Rückgabewerte(3)'!$I$19=TRUE)</xm:f>
            <x14:dxf>
              <border>
                <left style="thin">
                  <color rgb="FFFF0000"/>
                </left>
                <bottom/>
                <vertical/>
                <horizontal/>
              </border>
            </x14:dxf>
          </x14:cfRule>
          <x14:cfRule type="expression" priority="159" id="{BF7D5320-C9BE-4D1F-B607-DCBF0363C793}">
            <xm:f>'Sprachen &amp; Rückgabewerte(3)'!$L$51=0</xm:f>
            <x14:dxf>
              <border>
                <left style="thin">
                  <color rgb="FFFF0000"/>
                </left>
                <vertical/>
                <horizontal/>
              </border>
            </x14:dxf>
          </x14:cfRule>
          <xm:sqref>AD32:AD40</xm:sqref>
        </x14:conditionalFormatting>
        <x14:conditionalFormatting xmlns:xm="http://schemas.microsoft.com/office/excel/2006/main">
          <x14:cfRule type="expression" priority="95" id="{3174B116-67BA-4CF4-987A-5F614BEB3807}">
            <xm:f>AND($AY$43&lt;&gt;0,'Sprachen &amp; Rückgabewerte(3)'!$I$19=TRUE)</xm:f>
            <x14:dxf>
              <border>
                <bottom style="thin">
                  <color rgb="FFFF0000"/>
                </bottom>
                <vertical/>
                <horizontal/>
              </border>
            </x14:dxf>
          </x14:cfRule>
          <x14:cfRule type="expression" priority="158" id="{C60C43BB-4EDD-4F7F-91D0-9A282614063E}">
            <xm:f>'Sprachen &amp; Rückgabewerte(3)'!$L$51=0</xm:f>
            <x14:dxf>
              <border>
                <bottom style="thin">
                  <color rgb="FFFF0000"/>
                </bottom>
                <vertical/>
                <horizontal/>
              </border>
            </x14:dxf>
          </x14:cfRule>
          <xm:sqref>AD40</xm:sqref>
        </x14:conditionalFormatting>
        <x14:conditionalFormatting xmlns:xm="http://schemas.microsoft.com/office/excel/2006/main">
          <x14:cfRule type="expression" priority="157" id="{35E61837-09A8-485F-A1AC-61F0DC00BFCE}">
            <xm:f>'Sprachen &amp; Rückgabewerte(3)'!$L$51=0</xm:f>
            <x14:dxf>
              <border>
                <top style="thin">
                  <color rgb="FFFF0000"/>
                </top>
                <vertical/>
                <horizontal/>
              </border>
            </x14:dxf>
          </x14:cfRule>
          <xm:sqref>AD32</xm:sqref>
        </x14:conditionalFormatting>
        <x14:conditionalFormatting xmlns:xm="http://schemas.microsoft.com/office/excel/2006/main">
          <x14:cfRule type="expression" priority="156" id="{3F7B9BD7-9BED-4A04-8ACC-5C48D0ED69C4}">
            <xm:f>'Sprachen &amp; Rückgabewerte(3)'!$L$52=0</xm:f>
            <x14:dxf>
              <border>
                <left style="thin">
                  <color rgb="FFFF0000"/>
                </left>
                <vertical/>
                <horizontal/>
              </border>
            </x14:dxf>
          </x14:cfRule>
          <xm:sqref>AD42:AD50</xm:sqref>
        </x14:conditionalFormatting>
        <x14:conditionalFormatting xmlns:xm="http://schemas.microsoft.com/office/excel/2006/main">
          <x14:cfRule type="expression" priority="155" id="{10163055-8294-47DA-926E-44D50204D053}">
            <xm:f>'Sprachen &amp; Rückgabewerte(3)'!$L$52=0</xm:f>
            <x14:dxf>
              <border>
                <top style="thin">
                  <color rgb="FFFF0000"/>
                </top>
                <vertical/>
                <horizontal/>
              </border>
            </x14:dxf>
          </x14:cfRule>
          <xm:sqref>AD42</xm:sqref>
        </x14:conditionalFormatting>
        <x14:conditionalFormatting xmlns:xm="http://schemas.microsoft.com/office/excel/2006/main">
          <x14:cfRule type="expression" priority="154" id="{C235DCB0-0971-4047-8773-597C2F57B124}">
            <xm:f>'Sprachen &amp; Rückgabewerte(3)'!$L$52=0</xm:f>
            <x14:dxf>
              <border>
                <bottom style="thin">
                  <color rgb="FFFF0000"/>
                </bottom>
                <vertical/>
                <horizontal/>
              </border>
            </x14:dxf>
          </x14:cfRule>
          <xm:sqref>AD50</xm:sqref>
        </x14:conditionalFormatting>
        <x14:conditionalFormatting xmlns:xm="http://schemas.microsoft.com/office/excel/2006/main">
          <x14:cfRule type="expression" priority="153" id="{405BA96C-4C6C-4B6E-A5BB-ED735BA9B97D}">
            <xm:f>'Sprachen &amp; Rückgabewerte(3)'!$L$53=0</xm:f>
            <x14:dxf>
              <border>
                <left style="thin">
                  <color rgb="FFFF0000"/>
                </left>
                <vertical/>
                <horizontal/>
              </border>
            </x14:dxf>
          </x14:cfRule>
          <xm:sqref>AD52:AD58</xm:sqref>
        </x14:conditionalFormatting>
        <x14:conditionalFormatting xmlns:xm="http://schemas.microsoft.com/office/excel/2006/main">
          <x14:cfRule type="expression" priority="152" id="{E614F4C7-A74D-4196-907A-2B644CDF6865}">
            <xm:f>'Sprachen &amp; Rückgabewerte(3)'!$L$53=0</xm:f>
            <x14:dxf>
              <border>
                <top style="thin">
                  <color rgb="FFFF0000"/>
                </top>
                <vertical/>
                <horizontal/>
              </border>
            </x14:dxf>
          </x14:cfRule>
          <xm:sqref>AD52</xm:sqref>
        </x14:conditionalFormatting>
        <x14:conditionalFormatting xmlns:xm="http://schemas.microsoft.com/office/excel/2006/main">
          <x14:cfRule type="expression" priority="151" id="{96555D2D-7176-4B2E-8CB2-D5F7FBB50192}">
            <xm:f>'Sprachen &amp; Rückgabewerte(3)'!$L$53=0</xm:f>
            <x14:dxf>
              <border>
                <bottom style="thin">
                  <color rgb="FFFF0000"/>
                </bottom>
                <vertical/>
                <horizontal/>
              </border>
            </x14:dxf>
          </x14:cfRule>
          <xm:sqref>AD58</xm:sqref>
        </x14:conditionalFormatting>
        <x14:conditionalFormatting xmlns:xm="http://schemas.microsoft.com/office/excel/2006/main">
          <x14:cfRule type="expression" priority="150" id="{9FE9BF1F-FEE6-429C-A214-5936245C057C}">
            <xm:f>'Sprachen &amp; Rückgabewerte(3)'!$L$54=0</xm:f>
            <x14:dxf>
              <border>
                <left style="thin">
                  <color rgb="FFFF0000"/>
                </left>
                <vertical/>
                <horizontal/>
              </border>
            </x14:dxf>
          </x14:cfRule>
          <xm:sqref>AD60:AD71</xm:sqref>
        </x14:conditionalFormatting>
        <x14:conditionalFormatting xmlns:xm="http://schemas.microsoft.com/office/excel/2006/main">
          <x14:cfRule type="expression" priority="149" id="{6D369C6E-47FF-4BDB-9493-19333EBE4180}">
            <xm:f>'Sprachen &amp; Rückgabewerte(3)'!$L$54=0</xm:f>
            <x14:dxf>
              <border>
                <top style="thin">
                  <color rgb="FFFF0000"/>
                </top>
                <vertical/>
                <horizontal/>
              </border>
            </x14:dxf>
          </x14:cfRule>
          <xm:sqref>AD60</xm:sqref>
        </x14:conditionalFormatting>
        <x14:conditionalFormatting xmlns:xm="http://schemas.microsoft.com/office/excel/2006/main">
          <x14:cfRule type="expression" priority="148" id="{D3D56ABA-6A13-4E64-933B-2B8DC8E862A4}">
            <xm:f>'Sprachen &amp; Rückgabewerte(3)'!$L$54=0</xm:f>
            <x14:dxf>
              <border>
                <bottom style="thin">
                  <color rgb="FFFF0000"/>
                </bottom>
                <vertical/>
                <horizontal/>
              </border>
            </x14:dxf>
          </x14:cfRule>
          <xm:sqref>AD71</xm:sqref>
        </x14:conditionalFormatting>
        <x14:conditionalFormatting xmlns:xm="http://schemas.microsoft.com/office/excel/2006/main">
          <x14:cfRule type="expression" priority="131" id="{80B6A8EC-E4D5-48AE-B566-64B968218648}">
            <xm:f>'Sprachen &amp; Rückgabewerte(3)'!$C$64=0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6" id="{DBCDFDBB-BB42-4C5E-A97F-F0C3FA3E830F}">
            <xm:f>'Sprachen &amp; Rückgabewerte(3)'!$L$55=0</xm:f>
            <x14:dxf>
              <border>
                <left style="thin">
                  <color rgb="FFFF0000"/>
                </left>
                <vertical/>
                <horizontal/>
              </border>
            </x14:dxf>
          </x14:cfRule>
          <xm:sqref>AD83:AD93</xm:sqref>
        </x14:conditionalFormatting>
        <x14:conditionalFormatting xmlns:xm="http://schemas.microsoft.com/office/excel/2006/main">
          <x14:cfRule type="expression" priority="145" id="{27D664EF-A3E6-46C0-ABA3-68CF4F61FD03}">
            <xm:f>'Sprachen &amp; Rückgabewerte(3)'!$L$55=0</xm:f>
            <x14:dxf>
              <border>
                <top style="thin">
                  <color rgb="FFFF0000"/>
                </top>
                <vertical/>
                <horizontal/>
              </border>
            </x14:dxf>
          </x14:cfRule>
          <xm:sqref>AD83</xm:sqref>
        </x14:conditionalFormatting>
        <x14:conditionalFormatting xmlns:xm="http://schemas.microsoft.com/office/excel/2006/main">
          <x14:cfRule type="expression" priority="144" id="{87F0E32C-9643-490B-9735-0A7FCC1A2F6C}">
            <xm:f>'Sprachen &amp; Rückgabewerte(3)'!$L$55=0</xm:f>
            <x14:dxf>
              <border>
                <bottom style="thin">
                  <color rgb="FFFF0000"/>
                </bottom>
                <vertical/>
                <horizontal/>
              </border>
            </x14:dxf>
          </x14:cfRule>
          <xm:sqref>AD93</xm:sqref>
        </x14:conditionalFormatting>
        <x14:conditionalFormatting xmlns:xm="http://schemas.microsoft.com/office/excel/2006/main">
          <x14:cfRule type="expression" priority="122" id="{36BA5357-BE46-4B6F-9E52-25900F1C5A83}">
            <xm:f>AND($AE$85="",$AE$84='Sprachen &amp; Rückgabewerte(3)'!$H$89)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8" id="{FDBE1B6F-E3A3-420A-A923-2CDBC131EFD3}">
            <xm:f>$AE$84='Sprachen &amp; Rückgabewerte(3)'!$H$89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3" id="{302BA5E9-7099-4344-ACF6-C2E0940EEE20}">
            <xm:f>'Sprachen &amp; Rückgabewerte(3)'!$M$62=2</xm:f>
            <x14:dxf>
              <border>
                <left style="thin">
                  <color rgb="FFFF0000"/>
                </left>
                <vertical/>
                <horizontal/>
              </border>
            </x14:dxf>
          </x14:cfRule>
          <x14:cfRule type="expression" priority="284" id="{0A7492F7-D327-4598-97FA-CC0BD32C5569}">
            <xm:f>'Sprachen &amp; Rückgabewerte(3)'!$M$62=3</xm:f>
            <x14:dxf>
              <border>
                <left style="thin">
                  <color rgb="FFFF0000"/>
                </left>
                <vertical/>
                <horizontal/>
              </border>
            </x14:dxf>
          </x14:cfRule>
          <x14:cfRule type="expression" priority="285" id="{F45C5120-30BF-470B-8F23-C703CDBA2CF3}">
            <xm:f>'Sprachen &amp; Rückgabewerte(3)'!$M$59=0</xm:f>
            <x14:dxf>
              <border>
                <left style="thin">
                  <color rgb="FFFF0000"/>
                </left>
                <vertical/>
                <horizontal/>
              </border>
            </x14:dxf>
          </x14:cfRule>
          <xm:sqref>L86:L97</xm:sqref>
        </x14:conditionalFormatting>
        <x14:conditionalFormatting xmlns:xm="http://schemas.microsoft.com/office/excel/2006/main">
          <x14:cfRule type="expression" priority="286" id="{B2E6AE19-983C-4D41-96EC-655684D8F986}">
            <xm:f>'Sprachen &amp; Rückgabewerte(3)'!$C$48=FALSE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8" id="{DD84796B-D6ED-4048-83AF-EF1A8D75CE06}">
            <xm:f>'Sprachen &amp; Rückgabewerte(3)'!$M$62=3</xm:f>
            <x14:dxf>
              <border>
                <left style="thin">
                  <color rgb="FFFF0000"/>
                </left>
                <vertical/>
                <horizontal/>
              </border>
            </x14:dxf>
          </x14:cfRule>
          <x14:cfRule type="expression" priority="289" id="{6ABF4B0F-A9F1-4F7C-93B5-7B7026A44DD5}">
            <xm:f>'Sprachen &amp; Rückgabewerte(3)'!$M$62=2</xm:f>
            <x14:dxf>
              <border>
                <left style="thin">
                  <color rgb="FFFF0000"/>
                </left>
                <vertical/>
                <horizontal/>
              </border>
            </x14:dxf>
          </x14:cfRule>
          <xm:sqref>C73:C97</xm:sqref>
        </x14:conditionalFormatting>
        <x14:conditionalFormatting xmlns:xm="http://schemas.microsoft.com/office/excel/2006/main">
          <x14:cfRule type="expression" priority="290" id="{5E5E998E-09FE-4E21-A697-E80345EE0F3F}">
            <xm:f>'Sprachen &amp; Rückgabewerte(3)'!$M$62=2</xm:f>
            <x14:dxf>
              <border>
                <top style="thin">
                  <color rgb="FFFF0000"/>
                </top>
                <vertical/>
                <horizontal/>
              </border>
            </x14:dxf>
          </x14:cfRule>
          <x14:cfRule type="expression" priority="291" id="{A350FB6A-02AA-4AF9-AEDD-48CEA99C16E6}">
            <xm:f>'Sprachen &amp; Rückgabewerte(3)'!$M$62=3</xm:f>
            <x14:dxf>
              <border>
                <top style="thin">
                  <color rgb="FFFF0000"/>
                </top>
                <vertical/>
                <horizontal/>
              </border>
            </x14:dxf>
          </x14:cfRule>
          <xm:sqref>C73:AB73</xm:sqref>
        </x14:conditionalFormatting>
        <x14:conditionalFormatting xmlns:xm="http://schemas.microsoft.com/office/excel/2006/main">
          <x14:cfRule type="expression" priority="292" id="{16682C56-C1DC-43F7-B934-3E9D86DC3F3A}">
            <xm:f>'Sprachen &amp; Rückgabewerte(3)'!$M$62=2</xm:f>
            <x14:dxf>
              <border>
                <right style="thin">
                  <color rgb="FFFF0000"/>
                </right>
                <vertical/>
                <horizontal/>
              </border>
            </x14:dxf>
          </x14:cfRule>
          <x14:cfRule type="expression" priority="293" id="{7968884B-3007-4278-BA15-946666B818AC}">
            <xm:f>'Sprachen &amp; Rückgabewerte(3)'!$M$62=3</xm:f>
            <x14:dxf>
              <border>
                <right style="thin">
                  <color rgb="FFFF0000"/>
                </right>
                <vertical/>
                <horizontal/>
              </border>
            </x14:dxf>
          </x14:cfRule>
          <xm:sqref>AB73:AB85</xm:sqref>
        </x14:conditionalFormatting>
        <x14:conditionalFormatting xmlns:xm="http://schemas.microsoft.com/office/excel/2006/main">
          <x14:cfRule type="expression" priority="169" id="{6D659166-EB6B-446F-871F-631B202F4E32}">
            <xm:f>'Sprachen &amp; Rückgabewerte(3)'!$M$62=2</xm:f>
            <x14:dxf>
              <border>
                <bottom style="thin">
                  <color rgb="FFFF0000"/>
                </bottom>
                <vertical/>
                <horizontal/>
              </border>
            </x14:dxf>
          </x14:cfRule>
          <x14:cfRule type="expression" priority="205" id="{E8F06F1B-0353-45C7-B420-E0727CC0A590}">
            <xm:f>'Sprachen &amp; Rückgabewerte(3)'!$M$62=3</xm:f>
            <x14:dxf>
              <border>
                <bottom style="thin">
                  <color rgb="FFFF0000"/>
                </bottom>
                <vertical/>
                <horizontal/>
              </border>
            </x14:dxf>
          </x14:cfRule>
          <xm:sqref>L85:AB85</xm:sqref>
        </x14:conditionalFormatting>
        <x14:conditionalFormatting xmlns:xm="http://schemas.microsoft.com/office/excel/2006/main">
          <x14:cfRule type="expression" priority="296" id="{DD409B83-2763-40CF-9142-C76D10325C90}">
            <xm:f>'Sprachen &amp; Rückgabewerte(3)'!$M$62=3</xm:f>
            <x14:dxf>
              <border>
                <bottom style="thin">
                  <color rgb="FFFF0000"/>
                </bottom>
                <vertical/>
                <horizontal/>
              </border>
            </x14:dxf>
          </x14:cfRule>
          <x14:cfRule type="expression" priority="297" id="{05622808-4552-4709-8B32-EBB0D9288776}">
            <xm:f>'Sprachen &amp; Rückgabewerte(3)'!$M$62=2</xm:f>
            <x14:dxf>
              <border>
                <bottom style="thin">
                  <color rgb="FFFF0000"/>
                </bottom>
                <vertical/>
                <horizontal/>
              </border>
            </x14:dxf>
          </x14:cfRule>
          <xm:sqref>C97:K97</xm:sqref>
        </x14:conditionalFormatting>
        <x14:conditionalFormatting xmlns:xm="http://schemas.microsoft.com/office/excel/2006/main">
          <x14:cfRule type="expression" priority="298" id="{6E2B476A-D3E6-4A7E-BD95-409E2A522BEF}">
            <xm:f>'Sprachen &amp; Rückgabewerte(3)'!$M$60=0</xm:f>
            <x14:dxf>
              <border>
                <left style="thin">
                  <color rgb="FFFF0000"/>
                </left>
                <vertical/>
                <horizontal/>
              </border>
            </x14:dxf>
          </x14:cfRule>
          <xm:sqref>M73:M85</xm:sqref>
        </x14:conditionalFormatting>
        <x14:conditionalFormatting xmlns:xm="http://schemas.microsoft.com/office/excel/2006/main">
          <x14:cfRule type="expression" priority="299" id="{02F22489-D72F-4BB1-A840-08BDDB503944}">
            <xm:f>'Sprachen &amp; Rückgabewerte(3)'!$M$60=0</xm:f>
            <x14:dxf>
              <border>
                <top style="thin">
                  <color rgb="FFFF0000"/>
                </top>
                <vertical/>
                <horizontal/>
              </border>
            </x14:dxf>
          </x14:cfRule>
          <xm:sqref>M73:S73</xm:sqref>
        </x14:conditionalFormatting>
        <x14:conditionalFormatting xmlns:xm="http://schemas.microsoft.com/office/excel/2006/main">
          <x14:cfRule type="expression" priority="300" id="{0E2CA426-42C8-400C-987D-84F4EDD2D2EB}">
            <xm:f>'Sprachen &amp; Rückgabewerte(3)'!$M$60=0</xm:f>
            <x14:dxf>
              <border>
                <right style="thin">
                  <color rgb="FFFF0000"/>
                </right>
                <vertical/>
                <horizontal/>
              </border>
            </x14:dxf>
          </x14:cfRule>
          <xm:sqref>S73:S85</xm:sqref>
        </x14:conditionalFormatting>
        <x14:conditionalFormatting xmlns:xm="http://schemas.microsoft.com/office/excel/2006/main">
          <x14:cfRule type="expression" priority="294" id="{2F75DD50-9EA5-4478-AF8A-96945712B966}">
            <xm:f>'Sprachen &amp; Rückgabewerte(3)'!$M$60=0</xm:f>
            <x14:dxf>
              <border>
                <bottom style="thin">
                  <color rgb="FFFF0000"/>
                </bottom>
                <vertical/>
                <horizontal/>
              </border>
            </x14:dxf>
          </x14:cfRule>
          <xm:sqref>M85:S85</xm:sqref>
        </x14:conditionalFormatting>
        <x14:conditionalFormatting xmlns:xm="http://schemas.microsoft.com/office/excel/2006/main">
          <x14:cfRule type="expression" priority="302" id="{08AA2608-B771-4425-B17E-BCF631252AD5}">
            <xm:f>'Sprachen &amp; Rückgabewerte(3)'!$M$56=0</xm:f>
            <x14:dxf>
              <border>
                <left style="thin">
                  <color rgb="FFFF0000"/>
                </left>
                <vertical/>
                <horizontal/>
              </border>
            </x14:dxf>
          </x14:cfRule>
          <xm:sqref>C62:C72</xm:sqref>
        </x14:conditionalFormatting>
        <x14:conditionalFormatting xmlns:xm="http://schemas.microsoft.com/office/excel/2006/main">
          <x14:cfRule type="expression" priority="141" id="{E069C87F-FE38-46CC-BAB8-DF1B1BCD128C}">
            <xm:f>'Sprachen &amp; Rückgabewerte(3)'!$M$56=0</xm:f>
            <x14:dxf>
              <border>
                <bottom style="thin">
                  <color rgb="FFFF0000"/>
                </bottom>
                <vertical/>
                <horizontal/>
              </border>
            </x14:dxf>
          </x14:cfRule>
          <xm:sqref>C72:AB72</xm:sqref>
        </x14:conditionalFormatting>
        <x14:conditionalFormatting xmlns:xm="http://schemas.microsoft.com/office/excel/2006/main">
          <x14:cfRule type="expression" priority="304" id="{CB265ED3-1942-4E62-A5A8-A70F6C8E9FAA}">
            <xm:f>'Sprachen &amp; Rückgabewerte(3)'!$M$56=0</xm:f>
            <x14:dxf>
              <border>
                <right style="thin">
                  <color rgb="FFFF0000"/>
                </right>
                <vertical/>
                <horizontal/>
              </border>
            </x14:dxf>
          </x14:cfRule>
          <xm:sqref>AB62:AB72</xm:sqref>
        </x14:conditionalFormatting>
        <x14:conditionalFormatting xmlns:xm="http://schemas.microsoft.com/office/excel/2006/main">
          <x14:cfRule type="expression" priority="305" id="{30B41C2F-1BCB-479E-B2F1-E497F02EF960}">
            <xm:f>'Sprachen &amp; Rückgabewerte(3)'!$M$56=0</xm:f>
            <x14:dxf>
              <border>
                <top style="thin">
                  <color rgb="FFFF0000"/>
                </top>
                <vertical/>
                <horizontal/>
              </border>
            </x14:dxf>
          </x14:cfRule>
          <xm:sqref>C62:AB62</xm:sqref>
        </x14:conditionalFormatting>
        <x14:conditionalFormatting xmlns:xm="http://schemas.microsoft.com/office/excel/2006/main">
          <x14:cfRule type="expression" priority="127" id="{A5B32E11-B71C-4C5C-A3D4-8BC3E25045CD}">
            <xm:f>'Sprachen &amp; Rückgabewerte(3)'!$M$66=FALSE</xm:f>
            <x14:dxf>
              <border>
                <left style="thin">
                  <color rgb="FFFF0000"/>
                </left>
                <vertical/>
                <horizontal/>
              </border>
            </x14:dxf>
          </x14:cfRule>
          <xm:sqref>AD73:AD81</xm:sqref>
        </x14:conditionalFormatting>
        <x14:conditionalFormatting xmlns:xm="http://schemas.microsoft.com/office/excel/2006/main">
          <x14:cfRule type="expression" priority="126" id="{6F33A859-8A2A-4179-A6FC-7BBC6B02D79D}">
            <xm:f>'Sprachen &amp; Rückgabewerte(3)'!$M$66=FALSE</xm:f>
            <x14:dxf>
              <border>
                <top style="thin">
                  <color rgb="FFFF0000"/>
                </top>
                <vertical/>
                <horizontal/>
              </border>
            </x14:dxf>
          </x14:cfRule>
          <xm:sqref>AD73:AT73</xm:sqref>
        </x14:conditionalFormatting>
        <x14:conditionalFormatting xmlns:xm="http://schemas.microsoft.com/office/excel/2006/main">
          <x14:cfRule type="expression" priority="125" id="{9B4EDF35-E2EE-4030-91FE-2EC51A9E83B1}">
            <xm:f>'Sprachen &amp; Rückgabewerte(3)'!$M$66=FALSE</xm:f>
            <x14:dxf>
              <border>
                <right style="thin">
                  <color rgb="FFFF0000"/>
                </right>
                <vertical/>
                <horizontal/>
              </border>
            </x14:dxf>
          </x14:cfRule>
          <xm:sqref>AT73:AT81</xm:sqref>
        </x14:conditionalFormatting>
        <x14:conditionalFormatting xmlns:xm="http://schemas.microsoft.com/office/excel/2006/main">
          <x14:cfRule type="expression" priority="124" id="{581CC624-43A5-49E8-99DD-495A2A6DB070}">
            <xm:f>'Sprachen &amp; Rückgabewerte(3)'!$M$66=FALSE</xm:f>
            <x14:dxf>
              <border>
                <bottom style="thin">
                  <color rgb="FFFF0000"/>
                </bottom>
                <vertical/>
                <horizontal/>
              </border>
            </x14:dxf>
          </x14:cfRule>
          <xm:sqref>AD81:AT81</xm:sqref>
        </x14:conditionalFormatting>
        <x14:conditionalFormatting xmlns:xm="http://schemas.microsoft.com/office/excel/2006/main">
          <x14:cfRule type="expression" priority="101" id="{A42F9DE4-3AA2-477E-9202-C4D6AD4280E3}">
            <xm:f>'Sprachen &amp; Rückgabewerte(3)'!$I$19=FALSE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8" id="{92F1FC52-117D-4CFE-B45C-8136CD30FF25}">
            <xm:f>'Sprachen &amp; Rückgabewerte(3)'!$I$13=FALSE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00" id="{C74E8CBE-49C1-4A81-8CD1-B104AED0E2D0}">
            <xm:f>AND($AY$43&lt;&gt;0,'Sprachen &amp; Rückgabewerte(3)'!$I$19=TRUE)</xm:f>
            <x14:dxf>
              <border>
                <top style="thin">
                  <color rgb="FFFF0000"/>
                </top>
                <vertical/>
                <horizontal/>
              </border>
            </x14:dxf>
          </x14:cfRule>
          <x14:cfRule type="expression" priority="105" id="{ED4C7962-98CB-42E9-92DA-AD7E924139C9}">
            <xm:f>'Sprachen &amp; Rückgabewerte(3)'!$I$19=FALSE</xm:f>
            <x14:dxf>
              <border>
                <top/>
                <vertical/>
                <horizontal/>
              </border>
            </x14:dxf>
          </x14:cfRule>
          <xm:sqref>AU32:AV32</xm:sqref>
        </x14:conditionalFormatting>
        <x14:conditionalFormatting xmlns:xm="http://schemas.microsoft.com/office/excel/2006/main">
          <x14:cfRule type="expression" priority="104" id="{702452F5-F7F7-43B6-9C2D-767FD79A26E7}">
            <xm:f>AND($AY$43&lt;&gt;0,'Sprachen &amp; Rückgabewerte(3)'!$I$19=TRUE)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3" id="{5FE8A38E-880B-4440-825E-88CE44735DD1}">
            <xm:f>AND($AY$43&lt;&gt;0,'Sprachen &amp; Rückgabewerte(3)'!$I$19=TRUE)</xm:f>
            <x14:dxf>
              <border>
                <right style="thin">
                  <color rgb="FFFF0000"/>
                </right>
                <vertical/>
                <horizontal/>
              </border>
            </x14:dxf>
          </x14:cfRule>
          <xm:sqref>BA33:BA43</xm:sqref>
        </x14:conditionalFormatting>
        <x14:conditionalFormatting xmlns:xm="http://schemas.microsoft.com/office/excel/2006/main">
          <x14:cfRule type="expression" priority="102" id="{8CFC396B-3CE5-43DF-A31F-4B0BC89E2C58}">
            <xm:f>AND($AY$43&lt;&gt;0,'Sprachen &amp; Rückgabewerte(3)'!$I$19=TRUE)</xm:f>
            <x14:dxf>
              <border>
                <bottom style="thin">
                  <color rgb="FFFF0000"/>
                </bottom>
                <vertical/>
                <horizontal/>
              </border>
            </x14:dxf>
          </x14:cfRule>
          <xm:sqref>AW43:BA43</xm:sqref>
        </x14:conditionalFormatting>
        <x14:conditionalFormatting xmlns:xm="http://schemas.microsoft.com/office/excel/2006/main">
          <x14:cfRule type="expression" priority="106" id="{F663F834-3C12-43F9-86A1-68DCAFE44FF7}">
            <xm:f>AND($AY$43&lt;&gt;0,'Sprachen &amp; Rückgabewerte(3)'!$I$19=TRUE)</xm:f>
            <x14:dxf>
              <border>
                <left style="thin">
                  <color rgb="FFFF0000"/>
                </left>
                <vertical/>
                <horizontal/>
              </border>
            </x14:dxf>
          </x14:cfRule>
          <xm:sqref>AW33:AW43</xm:sqref>
        </x14:conditionalFormatting>
        <x14:conditionalFormatting xmlns:xm="http://schemas.microsoft.com/office/excel/2006/main">
          <x14:cfRule type="expression" priority="99" id="{C291AD56-8E86-4B41-A049-4763047E7378}">
            <xm:f>AND($AY$43&lt;&gt;0,'Sprachen &amp; Rückgabewerte(3)'!$I$19=TRUE)</xm:f>
            <x14:dxf>
              <border>
                <top style="thin">
                  <color rgb="FFFF0000"/>
                </top>
                <vertical/>
                <horizontal/>
              </border>
            </x14:dxf>
          </x14:cfRule>
          <xm:sqref>AD32:AT32</xm:sqref>
        </x14:conditionalFormatting>
        <x14:conditionalFormatting xmlns:xm="http://schemas.microsoft.com/office/excel/2006/main">
          <x14:cfRule type="expression" priority="97" id="{BD3A1608-4FDA-4D86-8653-3F7E6AB4F3C0}">
            <xm:f>AND($AY$43&lt;&gt;0,'Sprachen &amp; Rückgabewerte(3)'!$I$19=TRUE)</xm:f>
            <x14:dxf>
              <border>
                <bottom style="thin">
                  <color rgb="FFFF0000"/>
                </bottom>
                <vertical/>
                <horizontal/>
              </border>
            </x14:dxf>
          </x14:cfRule>
          <xm:sqref>AD40:AT40</xm:sqref>
        </x14:conditionalFormatting>
        <x14:conditionalFormatting xmlns:xm="http://schemas.microsoft.com/office/excel/2006/main">
          <x14:cfRule type="expression" priority="94" id="{67862C0C-2FD3-49AA-A1FA-D8E6A15261A1}">
            <xm:f>AND('Sprachen &amp; Rückgabewerte(3)'!$I$50=TRUE,'Sprachen &amp; Rückgabewerte(3)'!$C$95&lt;&gt;0)</xm:f>
            <x14:dxf>
              <border>
                <top style="thin">
                  <color rgb="FFFF0000"/>
                </top>
                <vertical/>
                <horizontal/>
              </border>
            </x14:dxf>
          </x14:cfRule>
          <xm:sqref>B101:AU101</xm:sqref>
        </x14:conditionalFormatting>
        <x14:conditionalFormatting xmlns:xm="http://schemas.microsoft.com/office/excel/2006/main">
          <x14:cfRule type="expression" priority="93" id="{0353EBD8-85B0-48E4-9177-333CFDC5110E}">
            <xm:f>AND('Sprachen &amp; Rückgabewerte(3)'!$I$50=TRUE,'Sprachen &amp; Rückgabewerte(3)'!$C$95&lt;&gt;0)</xm:f>
            <x14:dxf>
              <border>
                <right style="thin">
                  <color rgb="FFFF0000"/>
                </right>
                <vertical/>
                <horizontal/>
              </border>
            </x14:dxf>
          </x14:cfRule>
          <xm:sqref>AU101:AU136</xm:sqref>
        </x14:conditionalFormatting>
        <x14:conditionalFormatting xmlns:xm="http://schemas.microsoft.com/office/excel/2006/main">
          <x14:cfRule type="expression" priority="92" id="{C919A8E1-0E62-43F0-9E20-CF2E48F6BE0C}">
            <xm:f>AND('Sprachen &amp; Rückgabewerte(3)'!$I$50=TRUE,'Sprachen &amp; Rückgabewerte(3)'!$C$95&lt;&gt;0)</xm:f>
            <x14:dxf>
              <border>
                <bottom style="thin">
                  <color rgb="FFFF0000"/>
                </bottom>
                <vertical/>
                <horizontal/>
              </border>
            </x14:dxf>
          </x14:cfRule>
          <xm:sqref>B136:AU136</xm:sqref>
        </x14:conditionalFormatting>
        <x14:conditionalFormatting xmlns:xm="http://schemas.microsoft.com/office/excel/2006/main">
          <x14:cfRule type="expression" priority="91" id="{5E2EBDE5-0CCE-4382-9997-13CBD74DDFBD}">
            <xm:f>AND('Sprachen &amp; Rückgabewerte(3)'!$I$50=TRUE,'Sprachen &amp; Rückgabewerte(3)'!$C$95&lt;&gt;0)</xm:f>
            <x14:dxf>
              <border>
                <left style="thin">
                  <color rgb="FFFF0000"/>
                </left>
                <vertical/>
                <horizontal/>
              </border>
            </x14:dxf>
          </x14:cfRule>
          <xm:sqref>B101:B136</xm:sqref>
        </x14:conditionalFormatting>
        <x14:conditionalFormatting xmlns:xm="http://schemas.microsoft.com/office/excel/2006/main">
          <x14:cfRule type="expression" priority="90" id="{9C31B1EE-7CB3-4BC7-889A-2D2519513A03}">
            <xm:f>AND('Sprachen &amp; Rückgabewerte(3)'!$I$50=TRUE,'Sprachen &amp; Rückgabewerte(3)'!$C$95&lt;&gt;0)</xm:f>
            <x14:dxf>
              <border>
                <top style="thin">
                  <color rgb="FFFF0000"/>
                </top>
                <bottom/>
                <vertical/>
                <horizontal/>
              </border>
            </x14:dxf>
          </x14:cfRule>
          <xm:sqref>AV101</xm:sqref>
        </x14:conditionalFormatting>
        <x14:conditionalFormatting xmlns:xm="http://schemas.microsoft.com/office/excel/2006/main">
          <x14:cfRule type="expression" priority="86" id="{E28F8F8A-4F79-4BA5-BD47-524DB413D65D}">
            <xm:f>'Sprachen &amp; Rückgabewerte(3)'!$I$50=FALSE</xm:f>
            <x14:dxf>
              <border>
                <right/>
                <vertical/>
                <horizontal/>
              </border>
            </x14:dxf>
          </x14:cfRule>
          <x14:cfRule type="expression" priority="89" id="{2F332D19-1813-46A5-9699-E0DAD917B7AE}">
            <xm:f>AND('Sprachen &amp; Rückgabewerte(3)'!$I$50=TRUE,'Sprachen &amp; Rückgabewerte(3)'!$C$95&lt;&gt;0)</xm:f>
            <x14:dxf>
              <border>
                <right style="thin">
                  <color rgb="FFFF0000"/>
                </right>
                <vertical/>
                <horizontal/>
              </border>
            </x14:dxf>
          </x14:cfRule>
          <xm:sqref>AV84:AV100</xm:sqref>
        </x14:conditionalFormatting>
        <x14:conditionalFormatting xmlns:xm="http://schemas.microsoft.com/office/excel/2006/main">
          <x14:cfRule type="expression" priority="87" id="{CCCA347F-0372-49A7-93EA-29A09C01DF06}">
            <xm:f>'Sprachen &amp; Rückgabewerte(3)'!$I$50=FALSE</xm:f>
            <x14:dxf>
              <border>
                <top/>
                <vertical/>
                <horizontal/>
              </border>
            </x14:dxf>
          </x14:cfRule>
          <x14:cfRule type="expression" priority="88" id="{3A800FB2-948C-4068-BCC4-D6FBF43F6531}">
            <xm:f>AND('Sprachen &amp; Rückgabewerte(3)'!$I$50=TRUE,'Sprachen &amp; Rückgabewerte(3)'!$C$95&lt;&gt;0)</xm:f>
            <x14:dxf>
              <border>
                <top style="thin">
                  <color rgb="FFFF0000"/>
                </top>
                <vertical/>
                <horizontal/>
              </border>
            </x14:dxf>
          </x14:cfRule>
          <xm:sqref>AU84:AV84</xm:sqref>
        </x14:conditionalFormatting>
        <x14:conditionalFormatting xmlns:xm="http://schemas.microsoft.com/office/excel/2006/main">
          <x14:cfRule type="expression" priority="85" id="{5ABBFB94-8FDE-40E0-9884-D95F53683AE8}">
            <xm:f>'Sprachen &amp; Rückgabewerte(3)'!$I$50=FALSE</xm:f>
            <x14:dxf>
              <border>
                <bottom/>
                <vertical/>
                <horizontal/>
              </border>
            </x14:dxf>
          </x14:cfRule>
          <xm:sqref>AV100</xm:sqref>
        </x14:conditionalFormatting>
        <x14:conditionalFormatting xmlns:xm="http://schemas.microsoft.com/office/excel/2006/main">
          <x14:cfRule type="expression" priority="74" id="{0A4CE2A0-721B-49E1-B052-3F824B00A602}">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6" id="{1D872B40-0220-4D3D-A14E-EFCFCA671E61}">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AAD9E36C-B5B2-4E9D-B444-F2C397DFB533}">
            <xm:f>'Sprachen &amp; Rückgabewerte(3)'!$S$41=1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8" id="{992A7604-B228-42BE-A55A-079247213473}">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9" id="{97701D89-8FDB-4783-9370-17B98D4C1C90}">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0" id="{DB954A64-25C0-4ACD-983B-A6601CBD7775}">
            <xm:f>'Sprachen &amp; Rückgabewerte(3)'!$S$41=3</xm:f>
            <x14:dxf>
              <font>
                <b/>
                <i val="0"/>
                <color theme="1"/>
              </font>
            </x14:dxf>
          </x14:cfRule>
          <x14:cfRule type="expression" priority="311" id="{0FEB4BF5-06DB-4CA2-8D40-D628ADFC5CA4}">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2" id="{C5982587-3128-48B1-ADEB-51D352D0F24F}">
            <xm:f>'Sprachen &amp; Rückgabewerte(3)'!$S$41=3</xm:f>
            <x14:dxf>
              <font>
                <b/>
                <i val="0"/>
                <color theme="1"/>
              </font>
            </x14:dxf>
          </x14:cfRule>
          <xm:sqref>L46</xm:sqref>
        </x14:conditionalFormatting>
        <x14:conditionalFormatting xmlns:xm="http://schemas.microsoft.com/office/excel/2006/main">
          <x14:cfRule type="expression" priority="313" id="{7457D7F7-A933-46B7-9414-7AC81A812E91}">
            <xm:f>'Sprachen &amp; Rückgabewerte(3)'!$S$41=2</xm:f>
            <x14:dxf>
              <font>
                <b/>
                <i val="0"/>
                <color theme="1"/>
              </font>
            </x14:dxf>
          </x14:cfRule>
          <x14:cfRule type="expression" priority="314" id="{E6C9DCC4-86D3-4A05-8ABD-25B6C2B6F9C9}">
            <xm:f>'Sprachen &amp; Rückgabewerte(3)'!$S$41=3</xm:f>
            <x14:dxf>
              <font>
                <b/>
                <i val="0"/>
                <color theme="1"/>
              </font>
            </x14:dxf>
          </x14:cfRule>
          <xm:sqref>L47</xm:sqref>
        </x14:conditionalFormatting>
        <x14:conditionalFormatting xmlns:xm="http://schemas.microsoft.com/office/excel/2006/main">
          <x14:cfRule type="expression" priority="315" id="{45EAC2B3-D6DC-4A66-8D6E-DA6BB47B8941}">
            <xm:f>'Sprachen &amp; Rückgabewerte(3)'!$S$41=3</xm:f>
            <x14:dxf>
              <font>
                <b/>
                <i val="0"/>
                <color theme="1"/>
              </font>
            </x14:dxf>
          </x14:cfRule>
          <x14:cfRule type="expression" priority="316" id="{EBC3BC65-2F78-4DB3-A282-AB8D03AE9B1B}">
            <xm:f>'Sprachen &amp; Rückgabewerte(3)'!$S$41=2</xm:f>
            <x14:dxf>
              <font>
                <b/>
                <i val="0"/>
                <color theme="1"/>
              </font>
            </x14:dxf>
          </x14:cfRule>
          <x14:cfRule type="expression" priority="317" id="{E5DDE1DD-2662-4407-9E8A-DF068C5DC136}">
            <xm:f>'Sprachen &amp; Rückgabewerte(3)'!$S$41=1</xm:f>
            <x14:dxf>
              <font>
                <b/>
                <i val="0"/>
                <color theme="1"/>
              </font>
            </x14:dxf>
          </x14:cfRule>
          <xm:sqref>L48</xm:sqref>
        </x14:conditionalFormatting>
        <x14:conditionalFormatting xmlns:xm="http://schemas.microsoft.com/office/excel/2006/main">
          <x14:cfRule type="expression" priority="82" id="{9C34B268-FC2D-48C1-B9BC-A41BE95EC72B}">
            <xm:f>'Sprachen &amp; Rückgabewerte(3)'!$M$71=0</xm:f>
            <x14:dxf>
              <border>
                <top style="thin">
                  <color rgb="FFFF0000"/>
                </top>
                <vertical/>
                <horizontal/>
              </border>
            </x14:dxf>
          </x14:cfRule>
          <xm:sqref>AW45:AX45</xm:sqref>
        </x14:conditionalFormatting>
        <x14:conditionalFormatting xmlns:xm="http://schemas.microsoft.com/office/excel/2006/main">
          <x14:cfRule type="expression" priority="81" id="{3D3C2A96-0FFC-466B-B5C8-53499A1C35E6}">
            <xm:f>'Sprachen &amp; Rückgabewerte(3)'!$M$71=0</xm:f>
            <x14:dxf>
              <border>
                <right style="thin">
                  <color rgb="FFFF0000"/>
                </right>
                <vertical/>
                <horizontal/>
              </border>
            </x14:dxf>
          </x14:cfRule>
          <xm:sqref>AX45:AX47 AW48:AX48 AX49</xm:sqref>
        </x14:conditionalFormatting>
        <x14:conditionalFormatting xmlns:xm="http://schemas.microsoft.com/office/excel/2006/main">
          <x14:cfRule type="expression" priority="80" id="{2B6723A3-AFB0-487B-88BD-63E848A91F6F}">
            <xm:f>'Sprachen &amp; Rückgabewerte(3)'!$M$71=0</xm:f>
            <x14:dxf>
              <border>
                <bottom style="thin">
                  <color rgb="FFFF0000"/>
                </bottom>
                <vertical/>
                <horizontal/>
              </border>
            </x14:dxf>
          </x14:cfRule>
          <xm:sqref>AW49:AX49</xm:sqref>
        </x14:conditionalFormatting>
        <x14:conditionalFormatting xmlns:xm="http://schemas.microsoft.com/office/excel/2006/main">
          <x14:cfRule type="expression" priority="79" id="{F75BCC7E-539F-4FEB-A423-3E9C28BBC6C9}">
            <xm:f>'Sprachen &amp; Rückgabewerte(3)'!$M$71=0</xm:f>
            <x14:dxf>
              <border>
                <left style="thin">
                  <color rgb="FFFF0000"/>
                </left>
                <vertical/>
                <horizontal/>
              </border>
            </x14:dxf>
          </x14:cfRule>
          <xm:sqref>AW49 AW48:AX48 AW45:AW47</xm:sqref>
        </x14:conditionalFormatting>
        <x14:conditionalFormatting xmlns:xm="http://schemas.microsoft.com/office/excel/2006/main">
          <x14:cfRule type="expression" priority="76" id="{30F77DB4-BF38-411F-8224-531F518556F5}">
            <xm:f>'Sprachen &amp; Rückgabewerte(3)'!$L$71=1</xm:f>
            <x14:dxf>
              <font>
                <color theme="0" tint="-0.14996795556505021"/>
              </font>
              <fill>
                <patternFill>
                  <bgColor theme="0" tint="-0.14996795556505021"/>
                </patternFill>
              </fill>
              <border>
                <top/>
                <vertical/>
                <horizontal/>
              </border>
            </x14:dxf>
          </x14:cfRule>
          <x14:cfRule type="expression" priority="78" id="{DAB34FB5-E0DD-4240-A998-9B353DB70273}">
            <xm:f>'Sprachen &amp; Rückgabewerte(3)'!$M$71=0</xm:f>
            <x14:dxf>
              <border>
                <top style="thin">
                  <color rgb="FFFF0000"/>
                </top>
                <vertical/>
                <horizontal/>
              </border>
            </x14:dxf>
          </x14:cfRule>
          <xm:sqref>AU45:AV45</xm:sqref>
        </x14:conditionalFormatting>
        <x14:conditionalFormatting xmlns:xm="http://schemas.microsoft.com/office/excel/2006/main">
          <x14:cfRule type="expression" priority="77" id="{CE6284B3-FF4C-4748-B172-14FF9B004FE0}">
            <xm:f>'Sprachen &amp; Rückgabewerte(3)'!$L$71=1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6" id="{B71EF7BA-0CD4-43AA-B5EE-86FED21E3562}">
            <xm:f>'Sprachen &amp; Rückgabewerte(3)'!$I$50=FALSE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5" id="{0E6CDFBA-E049-47C2-84C4-829499469A04}">
            <xm:f>'Sprachen &amp; Rückgabewerte(3)'!$I$50=FALSE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4" id="{CA77804C-C280-4594-BD09-2C8BAA68989F}">
            <xm:f>$AX$19='Sprachen &amp; Rückgabewerte(3)'!$H$155</xm:f>
            <x14:dxf>
              <font>
                <color rgb="FFFF0000"/>
              </font>
            </x14:dxf>
          </x14:cfRule>
          <xm:sqref>AX19:BA20</xm:sqref>
        </x14:conditionalFormatting>
        <x14:conditionalFormatting xmlns:xm="http://schemas.microsoft.com/office/excel/2006/main">
          <x14:cfRule type="expression" priority="51" id="{A0D412C3-B5B2-4EF1-97FA-DBC8CA0C78D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5" id="{2234182D-18FA-4483-8FF7-E5E8F0C5009D}">
            <xm:f>$AN$80&lt;&gt;'Sprachen &amp; Rückgabewerte(3)'!$H$85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4" id="{9053FBB6-593E-4FCF-AF94-15C9452B508A}">
            <xm:f>$AN$80&lt;&gt;'Sprachen &amp; Rückgabewerte(3)'!$H$86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9" id="{FAFBA376-8BFA-42D8-A929-EE8ACDDCB89C}">
            <xm:f>'Sprachen &amp; Rückgabewerte(3)'!$I$5=FALSE</xm:f>
            <x14:dxf>
              <font>
                <color theme="0" tint="-0.14996795556505021"/>
              </font>
              <fill>
                <patternFill>
                  <bgColor theme="0" tint="-0.14996795556505021"/>
                </patternFill>
              </fill>
              <border>
                <left/>
                <right/>
                <top/>
                <bottom/>
              </border>
            </x14:dxf>
          </x14:cfRule>
          <xm:sqref>M6:Q6</xm:sqref>
        </x14:conditionalFormatting>
        <x14:conditionalFormatting xmlns:xm="http://schemas.microsoft.com/office/excel/2006/main">
          <x14:cfRule type="expression" priority="38" id="{D47B3021-FC26-427B-9673-D00DB06075AA}">
            <xm:f>'Sprachen &amp; Rückgabewerte(3)'!$U$49=FALSE</xm:f>
            <x14:dxf>
              <border>
                <top style="thin">
                  <color rgb="FFFF0000"/>
                </top>
                <vertical/>
                <horizontal/>
              </border>
            </x14:dxf>
          </x14:cfRule>
          <xm:sqref>E23:AR23</xm:sqref>
        </x14:conditionalFormatting>
        <x14:conditionalFormatting xmlns:xm="http://schemas.microsoft.com/office/excel/2006/main">
          <x14:cfRule type="expression" priority="37" id="{9F474B70-F409-4C19-B5D8-B9B2A7FCE66A}">
            <xm:f>'Sprachen &amp; Rückgabewerte(3)'!$U$49=FALSE</xm:f>
            <x14:dxf>
              <border>
                <left style="thin">
                  <color rgb="FFFF0000"/>
                </left>
                <vertical/>
                <horizontal/>
              </border>
            </x14:dxf>
          </x14:cfRule>
          <xm:sqref>E23:H25</xm:sqref>
        </x14:conditionalFormatting>
        <x14:conditionalFormatting xmlns:xm="http://schemas.microsoft.com/office/excel/2006/main">
          <x14:cfRule type="expression" priority="35" id="{DE8BBDCC-3088-4277-AD3C-B3C947786CE7}">
            <xm:f>'Sprachen &amp; Rückgabewerte(3)'!$U$49=FALSE</xm:f>
            <x14:dxf>
              <border>
                <right style="thin">
                  <color rgb="FFFF0000"/>
                </right>
                <vertical/>
                <horizontal/>
              </border>
            </x14:dxf>
          </x14:cfRule>
          <xm:sqref>AO23:AR25</xm:sqref>
        </x14:conditionalFormatting>
        <x14:conditionalFormatting xmlns:xm="http://schemas.microsoft.com/office/excel/2006/main">
          <x14:cfRule type="expression" priority="34" id="{92CF25EA-27A0-4095-A627-00AE74F4C924}">
            <xm:f>'Sprachen &amp; Rückgabewerte(3)'!$I$39=FALSE</xm:f>
            <x14:dxf>
              <font>
                <color theme="0" tint="-0.14996795556505021"/>
              </font>
              <fill>
                <patternFill>
                  <bgColor theme="0" tint="-0.14996795556505021"/>
                </patternFill>
              </fill>
              <border>
                <left/>
                <right/>
                <top/>
                <bottom/>
                <vertical/>
                <horizontal/>
              </border>
            </x14:dxf>
          </x14:cfRule>
          <xm:sqref>AG46</xm:sqref>
        </x14:conditionalFormatting>
        <x14:conditionalFormatting xmlns:xm="http://schemas.microsoft.com/office/excel/2006/main">
          <x14:cfRule type="expression" priority="33" id="{B05731A0-668A-4219-808B-8A357F3AEB6A}">
            <xm:f>'Sprachen &amp; Rückgabewerte(3)'!$I$39=FALSE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0" id="{837958C4-F3AA-49D9-925A-2A1A55DE8B77}">
            <xm:f>'Sprachen &amp; Rückgabewerte(3)'!$I$39=FALSE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29" id="{C5F9C758-6C95-4378-AC2D-51129ADB9570}">
            <xm:f>AND('Sprachen &amp; Rückgabewerte(3)'!$C$16=1,$F$16="")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8" id="{F7B5AA19-527B-4260-8634-93A70FA6E5EB}">
            <xm:f>AND('Sprachen &amp; Rückgabewerte(3)'!$C$17=1,$J$16="")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7" id="{D0194A98-1840-4053-8572-842C10768B52}">
            <xm:f>AND('Sprachen &amp; Rückgabewerte(3)'!$C$18=1,$N$16="")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6" id="{B2ED6E13-A1EA-48B7-B4E3-FA38CFDB08AD}">
            <xm:f>AND('Sprachen &amp; Rückgabewerte(3)'!$C$19=1,$R$16="")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5" id="{CB1763B3-6F24-4250-AF1F-30B81DFAD0D5}">
            <xm:f>AND('Sprachen &amp; Rückgabewerte(3)'!$C$20=1,$V$16="")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4" id="{6FB905D4-751D-4E3E-9AF0-19F6C2164D0C}">
            <xm:f>AND('Sprachen &amp; Rückgabewerte(3)'!$C$21=1,$Z$16="")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3" id="{AEF49A5E-FC6C-40DD-970F-834E86C203A5}">
            <xm:f>AND('Sprachen &amp; Rückgabewerte(3)'!$C$22=1,$AD$16="")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2" id="{417AC3B2-659A-4624-9236-8127ED66D2BB}">
            <xm:f>AND('Sprachen &amp; Rückgabewerte(3)'!$C$23=1,$AH$16="")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1" id="{8265CB19-B1F7-44C9-A10E-1C4DACDA5CB7}">
            <xm:f>AND('Sprachen &amp; Rückgabewerte(3)'!$C$24=1,$AL$16="")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0" id="{60D26C0F-4937-4952-88EE-0D5A50047D46}">
            <xm:f>AND('Sprachen &amp; Rückgabewerte(3)'!$C$25=1,$AP$16="")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19" id="{C1232FAA-925C-4A22-920A-502EED807E79}">
            <xm:f>'Sprachen &amp; Rückgabewerte(3)'!$I$71=FALSE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8" id="{5581780F-FEA8-4247-B618-5DB241B2F1BC}">
            <xm:f>AND('Sprachen &amp; Rückgabewerte(3)'!$I$71=TRUE,$AP$74="",$AP$75="",$AP$76="")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5" id="{E236F133-E87B-4841-BBA9-B0375789FBCD}">
            <xm:f>OR($AQ$96='Sprachen &amp; Rückgabewerte(3)'!$H$96,$AQ$96="")</xm:f>
            <x14:dxf>
              <border>
                <bottom/>
                <vertical/>
                <horizontal/>
              </border>
            </x14:dxf>
          </x14:cfRule>
          <x14:cfRule type="expression" priority="16" id="{96FF1C3D-AE72-4D58-9F71-BF94B92CCD24}">
            <xm:f>AND($AQ$96='Sprachen &amp; Rückgabewerte(3)'!$H$95,$AW$96="")</xm:f>
            <x14:dxf>
              <border>
                <bottom style="thin">
                  <color rgb="FFFF0000"/>
                </bottom>
                <vertical/>
                <horizontal/>
              </border>
            </x14:dxf>
          </x14:cfRule>
          <xm:sqref>AS96:AV96</xm:sqref>
        </x14:conditionalFormatting>
        <x14:conditionalFormatting xmlns:xm="http://schemas.microsoft.com/office/excel/2006/main">
          <x14:cfRule type="expression" priority="13" id="{12C9284E-7D6C-44AC-8AC2-E3EB14EF13AC}">
            <xm:f>OR($AQ$96='Sprachen &amp; Rückgabewerte(3)'!$H$96,$AQ$96="")</xm:f>
            <x14:dxf>
              <font>
                <color theme="0" tint="-0.14996795556505021"/>
              </font>
              <fill>
                <patternFill>
                  <bgColor theme="0" tint="-0.14996795556505021"/>
                </patternFill>
              </fill>
              <border>
                <left/>
                <right/>
                <top/>
                <bottom/>
                <vertical/>
                <horizontal/>
              </border>
            </x14:dxf>
          </x14:cfRule>
          <x14:cfRule type="expression" priority="14" id="{B5E6509D-C216-45C6-BF05-1A6F60953253}">
            <xm:f>AND($AQ$96='Sprachen &amp; Rückgabewerte(3)'!$H$95,$AW$96="")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2" id="{3A484CC1-AD05-4298-B44E-BA27DAE3C3D2}">
            <xm:f>OR($AQ$96='Sprachen &amp; Rückgabewerte(3)'!$H$96,$AQ$96="")</xm:f>
            <x14:dxf>
              <font>
                <color theme="0" tint="-0.14996795556505021"/>
              </font>
              <fill>
                <patternFill>
                  <bgColor theme="0" tint="-0.14996795556505021"/>
                </patternFill>
              </fill>
            </x14:dxf>
          </x14:cfRule>
          <xm:sqref>AW95</xm:sqref>
        </x14:conditionalFormatting>
        <x14:conditionalFormatting xmlns:xm="http://schemas.microsoft.com/office/excel/2006/main">
          <x14:cfRule type="expression" priority="11" id="{C8D932FF-F22F-4444-B1E7-33A69B6B5AE4}">
            <xm:f>'Sprachen &amp; Rückgabewerte(3)'!$W$68&gt;0</xm:f>
            <x14:dxf>
              <border>
                <bottom style="thin">
                  <color rgb="FFFF0000"/>
                </bottom>
                <vertical/>
                <horizontal/>
              </border>
            </x14:dxf>
          </x14:cfRule>
          <xm:sqref>AD97:AT97</xm:sqref>
        </x14:conditionalFormatting>
        <x14:conditionalFormatting xmlns:xm="http://schemas.microsoft.com/office/excel/2006/main">
          <x14:cfRule type="expression" priority="10" id="{291BEA95-F56D-4045-820D-A7CD6F636C1F}">
            <xm:f>'Sprachen &amp; Rückgabewerte(3)'!$W$68&gt;0</xm:f>
            <x14:dxf>
              <border>
                <top style="thin">
                  <color rgb="FFFF0000"/>
                </top>
                <vertical/>
                <horizontal/>
              </border>
            </x14:dxf>
          </x14:cfRule>
          <xm:sqref>AD95:AT95</xm:sqref>
        </x14:conditionalFormatting>
        <x14:conditionalFormatting xmlns:xm="http://schemas.microsoft.com/office/excel/2006/main">
          <x14:cfRule type="expression" priority="9" id="{9B2D2748-4A07-480B-B6DD-87788086C3BF}">
            <xm:f>'Sprachen &amp; Rückgabewerte(3)'!$W$68&gt;0</xm:f>
            <x14:dxf>
              <border>
                <left style="thin">
                  <color rgb="FFFF0000"/>
                </left>
                <vertical/>
                <horizontal/>
              </border>
            </x14:dxf>
          </x14:cfRule>
          <xm:sqref>AD95:AD97</xm:sqref>
        </x14:conditionalFormatting>
        <x14:conditionalFormatting xmlns:xm="http://schemas.microsoft.com/office/excel/2006/main">
          <x14:cfRule type="expression" priority="8" id="{AE258B20-2521-4D77-B9B2-1585D46CB931}">
            <xm:f>'Sprachen &amp; Rückgabewerte(3)'!$W$68&gt;0</xm:f>
            <x14:dxf>
              <border>
                <right style="thin">
                  <color rgb="FFFF0000"/>
                </right>
                <vertical/>
                <horizontal/>
              </border>
            </x14:dxf>
          </x14:cfRule>
          <xm:sqref>AT95:AT97</xm:sqref>
        </x14:conditionalFormatting>
        <x14:conditionalFormatting xmlns:xm="http://schemas.microsoft.com/office/excel/2006/main">
          <x14:cfRule type="expression" priority="4" id="{B6135F30-D01D-47BB-BDCD-C1406B62FFEE}">
            <xm:f>'Sprachen &amp; Rückgabewerte(3)'!$W$78&lt;&gt;0</xm:f>
            <x14:dxf>
              <border>
                <bottom style="thin">
                  <color rgb="FFFF0000"/>
                </bottom>
                <vertical/>
                <horizontal/>
              </border>
            </x14:dxf>
          </x14:cfRule>
          <xm:sqref>AW11:BB11</xm:sqref>
        </x14:conditionalFormatting>
        <x14:conditionalFormatting xmlns:xm="http://schemas.microsoft.com/office/excel/2006/main">
          <x14:cfRule type="expression" priority="3" id="{EFBC2074-B16C-4F69-89E9-537AF5517D36}">
            <xm:f>'Sprachen &amp; Rückgabewerte(3)'!$W$78&lt;&gt;0</xm:f>
            <x14:dxf>
              <border>
                <top style="thin">
                  <color rgb="FFFF0000"/>
                </top>
                <vertical/>
                <horizontal/>
              </border>
            </x14:dxf>
          </x14:cfRule>
          <xm:sqref>AW6:BB6</xm:sqref>
        </x14:conditionalFormatting>
        <x14:conditionalFormatting xmlns:xm="http://schemas.microsoft.com/office/excel/2006/main">
          <x14:cfRule type="expression" priority="2" id="{1142F90F-1661-4AC9-BA8F-07225954C611}">
            <xm:f>'Sprachen &amp; Rückgabewerte(3)'!$W$78&lt;&gt;0</xm:f>
            <x14:dxf>
              <border>
                <left style="thin">
                  <color rgb="FFFF0000"/>
                </left>
                <vertical/>
                <horizontal/>
              </border>
            </x14:dxf>
          </x14:cfRule>
          <xm:sqref>AW6:AW11</xm:sqref>
        </x14:conditionalFormatting>
        <x14:conditionalFormatting xmlns:xm="http://schemas.microsoft.com/office/excel/2006/main">
          <x14:cfRule type="expression" priority="1" id="{C8FA61D9-7B1A-4EA4-8F89-BC0C1F9D62E7}">
            <xm:f>'Sprachen &amp; Rückgabewerte(3)'!$W$78&lt;&gt;0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1">
        <x14:dataValidation type="list" allowBlank="1" showInputMessage="1" showErrorMessage="1" xr:uid="{9CBBA56B-E721-458C-AD10-6D6D5926622C}">
          <x14:formula1>
            <xm:f>'Sprachen &amp; Rückgabewerte(3)'!$M$86:$M$138</xm:f>
          </x14:formula1>
          <xm:sqref>AM88:AR88</xm:sqref>
        </x14:dataValidation>
        <x14:dataValidation type="list" showInputMessage="1" showErrorMessage="1" xr:uid="{9DD15730-AB76-4201-B2C5-C16B97C75E17}">
          <x14:formula1>
            <xm:f>'Sprachen &amp; Rückgabewerte(3)'!$B$70:$B$72</xm:f>
          </x14:formula1>
          <xm:sqref>H85:K85 V85:Y85 O85:R85 X72:AA72</xm:sqref>
        </x14:dataValidation>
        <x14:dataValidation type="list" allowBlank="1" showInputMessage="1" showErrorMessage="1" xr:uid="{2F09F22A-2F6B-4A79-A2BC-4D625377B7BD}">
          <x14:formula1>
            <xm:f>'Sprachen &amp; Rückgabewerte(3)'!$H$103:$H$107</xm:f>
          </x14:formula1>
          <xm:sqref>G20:AP20</xm:sqref>
        </x14:dataValidation>
        <x14:dataValidation type="list" showInputMessage="1" showErrorMessage="1" xr:uid="{5B4D7E11-EF72-4394-B294-24A2F5DC9B70}">
          <x14:formula1>
            <xm:f>'Sprachen &amp; Rückgabewerte(3)'!$B$33:$B$34</xm:f>
          </x14:formula1>
          <xm:sqref>E23:AR25</xm:sqref>
        </x14:dataValidation>
        <x14:dataValidation type="list" showInputMessage="1" showErrorMessage="1" xr:uid="{3CC347B2-75E7-4EE4-83CC-74586EEF1B62}">
          <x14:formula1>
            <xm:f>'Sprachen &amp; Rückgabewerte(3)'!$A$11:$A$18</xm:f>
          </x14:formula1>
          <xm:sqref>AM43:AQ43</xm:sqref>
        </x14:dataValidation>
        <x14:dataValidation type="list" showInputMessage="1" showErrorMessage="1" xr:uid="{0FDF855A-4D2F-459C-99C8-F3C75B2F0504}">
          <x14:formula1>
            <xm:f>'Sprachen &amp; Rückgabewerte(3)'!$A$19:$A$21</xm:f>
          </x14:formula1>
          <xm:sqref>AR43:AS43</xm:sqref>
        </x14:dataValidation>
        <x14:dataValidation type="list" allowBlank="1" showInputMessage="1" showErrorMessage="1" xr:uid="{3267808D-C0BE-440A-A2B5-ABAC443CE56E}">
          <x14:formula1>
            <xm:f>'Sprachen &amp; Rückgabewerte(3)'!$J$67:$J$69</xm:f>
          </x14:formula1>
          <xm:sqref>AN70:AS70</xm:sqref>
        </x14:dataValidation>
        <x14:dataValidation type="list" allowBlank="1" showInputMessage="1" showErrorMessage="1" xr:uid="{ABEA6DAF-1ABC-4661-AF64-54C59E1F07C6}">
          <x14:formula1>
            <xm:f>'Sprachen &amp; Rückgabewerte(3)'!$J$77:$J$79</xm:f>
          </x14:formula1>
          <xm:sqref>AN78:AP78</xm:sqref>
        </x14:dataValidation>
        <x14:dataValidation type="list" allowBlank="1" showInputMessage="1" showErrorMessage="1" xr:uid="{9C8BCD86-D202-452C-8469-76FC05674187}">
          <x14:formula1>
            <xm:f>'Sprachen &amp; Rückgabewerte(3)'!$J$80:$J$82</xm:f>
          </x14:formula1>
          <xm:sqref>AN79:AP79</xm:sqref>
        </x14:dataValidation>
        <x14:dataValidation type="list" allowBlank="1" showInputMessage="1" showErrorMessage="1" xr:uid="{0A807F4E-9E8E-4A27-A0F0-C696FE8EF81A}">
          <x14:formula1>
            <xm:f>'Sprachen &amp; Rückgabewerte(3)'!$J$84:$J$86</xm:f>
          </x14:formula1>
          <xm:sqref>AN80:AS80</xm:sqref>
        </x14:dataValidation>
        <x14:dataValidation type="list" showInputMessage="1" showErrorMessage="1" xr:uid="{F3FC4909-15F0-4F27-AA65-93E528D28479}">
          <x14:formula1>
            <xm:f>'Sprachen &amp; Rückgabewerte(3)'!$B$73:$B$75</xm:f>
          </x14:formula1>
          <xm:sqref>H96:K96</xm:sqref>
        </x14:dataValidation>
        <x14:dataValidation type="list" showInputMessage="1" showErrorMessage="1" xr:uid="{8F100DFB-410E-40FE-8132-3CDFF507E04A}">
          <x14:formula1>
            <xm:f>'Sprachen &amp; Rückgabewerte(3)'!$B$76:$B$78</xm:f>
          </x14:formula1>
          <xm:sqref>O96:R96</xm:sqref>
        </x14:dataValidation>
        <x14:dataValidation type="list" allowBlank="1" showInputMessage="1" showErrorMessage="1" xr:uid="{CCF113EB-1C3E-4C7C-BF52-98F041FE4863}">
          <x14:formula1>
            <xm:f>'Sprachen &amp; Rückgabewerte(3)'!$B$9:$B$14</xm:f>
          </x14:formula1>
          <xm:sqref>F10:G10 J10:K10 N10:O10 R10:S10 V10:W10 Z10:AA10 AD10:AE10 AH10:AI10 AL10:AM10 AP10:AQ10</xm:sqref>
        </x14:dataValidation>
        <x14:dataValidation type="list" showInputMessage="1" showErrorMessage="1" xr:uid="{65AC7B35-A731-4B32-A188-61AE82B7C2A5}">
          <x14:formula1>
            <xm:f>'Sprachen &amp; Rückgabewerte(3)'!$B$67:$B$69</xm:f>
          </x14:formula1>
          <xm:sqref>F72:I72 L72:O72 R72:U72</xm:sqref>
        </x14:dataValidation>
        <x14:dataValidation type="list" allowBlank="1" showInputMessage="1" showErrorMessage="1" xr:uid="{E3ED1486-D7B8-4793-8725-7E3A7447AAAD}">
          <x14:formula1>
            <xm:f>'Sprachen &amp; Rückgabewerte(3)'!$J$91:$J$93</xm:f>
          </x14:formula1>
          <xm:sqref>AM49:AP49</xm:sqref>
        </x14:dataValidation>
        <x14:dataValidation type="list" allowBlank="1" showInputMessage="1" showErrorMessage="1" xr:uid="{DC4C93A9-23C6-4BBC-998D-206058D608B0}">
          <x14:formula1>
            <xm:f>'Sprachen &amp; Rückgabewerte(3)'!$N$78:$N$80</xm:f>
          </x14:formula1>
          <xm:sqref>AE70:AL70</xm:sqref>
        </x14:dataValidation>
        <x14:dataValidation type="list" allowBlank="1" showInputMessage="1" showErrorMessage="1" xr:uid="{483B326C-82E1-4A7F-BB5C-DC3BCBC45CFB}">
          <x14:formula1>
            <xm:f>'Sprachen &amp; Rückgabewerte(3)'!$J$133:$J$136</xm:f>
          </x14:formula1>
          <xm:sqref>AX33:AY42</xm:sqref>
        </x14:dataValidation>
        <x14:dataValidation type="list" allowBlank="1" showInputMessage="1" showErrorMessage="1" xr:uid="{80F68693-9DE9-4E8F-9DB5-23E830A3DD3A}">
          <x14:formula1>
            <xm:f>'Sprachen &amp; Rückgabewerte(3)'!$B$81:$B$84</xm:f>
          </x14:formula1>
          <xm:sqref>T104</xm:sqref>
        </x14:dataValidation>
        <x14:dataValidation type="list" allowBlank="1" showInputMessage="1" showErrorMessage="1" xr:uid="{DA13C913-10FD-4074-B518-7A2E9BAC897F}">
          <x14:formula1>
            <xm:f>'Sprachen &amp; Rückgabewerte(3)'!$J$142:$J$144</xm:f>
          </x14:formula1>
          <xm:sqref>T110</xm:sqref>
        </x14:dataValidation>
        <x14:dataValidation type="list" allowBlank="1" showInputMessage="1" showErrorMessage="1" xr:uid="{E20D23F3-7187-4FDB-9593-68F18149C4B2}">
          <x14:formula1>
            <xm:f>'Sprachen &amp; Rückgabewerte(3)'!$J$145:$J$147</xm:f>
          </x14:formula1>
          <xm:sqref>T114</xm:sqref>
        </x14:dataValidation>
        <x14:dataValidation type="list" showInputMessage="1" showErrorMessage="1" xr:uid="{A8F52D60-CAF6-4E7A-BC48-7A41A6E25F65}">
          <x14:formula1>
            <xm:f>'Sprachen &amp; Rückgabewerte(3)'!$R$41:$R$43</xm:f>
          </x14:formula1>
          <xm:sqref>AF11:AG11 AN11:AO11 X11:Y11 T11:U11 P11:Q11 L11:M11 AB11:AC11 AJ11:AK11 H11:I11</xm:sqref>
        </x14:dataValidation>
        <x14:dataValidation type="list" allowBlank="1" showInputMessage="1" showErrorMessage="1" xr:uid="{F88D7209-B493-4DE3-AB02-BF132FCC6A09}">
          <x14:formula1>
            <xm:f>'Sprachen &amp; Rückgabewerte(3)'!$Q$41:$Q$51</xm:f>
          </x14:formula1>
          <xm:sqref>AP74:AP76</xm:sqref>
        </x14:dataValidation>
        <x14:dataValidation type="list" showInputMessage="1" showErrorMessage="1" errorTitle="SG-Typ auswählen" error="Bitte wählen Sie einen Sky-Glass Typ aus. Spezialaufbau bitte im Feld Speziell eingeben!" xr:uid="{C48B0572-75C3-4737-BE92-F318F95D78C6}">
          <x14:formula1>
            <xm:f>'Sprachen &amp; Rückgabewerte(3)'!$V$3:$V$9</xm:f>
          </x14:formula1>
          <xm:sqref>AE53:AG53</xm:sqref>
        </x14:dataValidation>
        <x14:dataValidation type="list" allowBlank="1" showInputMessage="1" showErrorMessage="1" xr:uid="{C6A44410-314A-409F-8540-E418591DDC9B}">
          <x14:formula1>
            <xm:f>'Sprachen &amp; Rückgabewerte(3)'!$J$150:$J$153</xm:f>
          </x14:formula1>
          <xm:sqref>AW48:AX48</xm:sqref>
        </x14:dataValidation>
        <x14:dataValidation type="list" allowBlank="1" showInputMessage="1" showErrorMessage="1" xr:uid="{AF4C646D-AECD-4CCC-903E-84EC0778611F}">
          <x14:formula1>
            <xm:f>'Sprachen &amp; Rückgabewerte(3)'!$J$87:$J$89</xm:f>
          </x14:formula1>
          <xm:sqref>AE84:AL84</xm:sqref>
        </x14:dataValidation>
        <x14:dataValidation type="list" showInputMessage="1" showErrorMessage="1" xr:uid="{07CAA6B0-76E1-4A3C-868F-B48F2867E46A}">
          <x14:formula1>
            <xm:f>'Sprachen &amp; Rückgabewerte(3)'!$J$174:$J$175</xm:f>
          </x14:formula1>
          <xm:sqref>AM46:AS46</xm:sqref>
        </x14:dataValidation>
        <x14:dataValidation type="list" showInputMessage="1" showErrorMessage="1" xr:uid="{E63AE6EE-8D77-41C6-B190-9099521D5637}">
          <x14:formula1>
            <xm:f>'Sprachen &amp; Rückgabewerte(3)'!$J$177:$J$178</xm:f>
          </x14:formula1>
          <xm:sqref>AM47:AS47</xm:sqref>
        </x14:dataValidation>
        <x14:dataValidation type="list" allowBlank="1" showInputMessage="1" showErrorMessage="1" xr:uid="{ADEE0E68-3888-42DB-A26E-8AD02898F2E9}">
          <x14:formula1>
            <xm:f>'Sprachen &amp; Rückgabewerte(3)'!$A$28:$A$30</xm:f>
          </x14:formula1>
          <xm:sqref>F16:G17 J16:K17 N16:O17 R16:S17 V16:W17 Z16:AA17 AD16:AE17 AH16:AI17 AL16:AM17 AP16:AQ17</xm:sqref>
        </x14:dataValidation>
        <x14:dataValidation type="list" allowBlank="1" showInputMessage="1" showErrorMessage="1" xr:uid="{B015CE88-9514-4611-843C-D3D3705E8776}">
          <x14:formula1>
            <xm:f>'Sprachen &amp; Rückgabewerte(3)'!$H$95:$H$96</xm:f>
          </x14:formula1>
          <xm:sqref>AQ96:AR96</xm:sqref>
        </x14:dataValidation>
        <x14:dataValidation type="list" allowBlank="1" showInputMessage="1" showErrorMessage="1" xr:uid="{C07777EE-D77B-4A87-BE78-2E1A8C7AD70B}">
          <x14:formula1>
            <xm:f>'Sprachen &amp; Rückgabewerte(3)'!$H$198:$H$199</xm:f>
          </x14:formula1>
          <xm:sqref>AZ9:BA9</xm:sqref>
        </x14:dataValidation>
        <x14:dataValidation type="list" allowBlank="1" showInputMessage="1" showErrorMessage="1" xr:uid="{9C7743C4-5F14-4549-8BDC-80A1F41B0959}">
          <x14:formula1>
            <xm:f>'Sprachen &amp; Rückgabewerte(3)'!$H$196:$H$197</xm:f>
          </x14:formula1>
          <xm:sqref>AZ10:BA10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C1EA-91C3-42A1-9E02-36FCF36CBE35}">
  <dimension ref="A1:AF206"/>
  <sheetViews>
    <sheetView showGridLines="0" zoomScale="70" zoomScaleNormal="70" workbookViewId="0">
      <selection activeCell="B3" sqref="B3"/>
    </sheetView>
  </sheetViews>
  <sheetFormatPr baseColWidth="10" defaultRowHeight="12.75" x14ac:dyDescent="0.2"/>
  <cols>
    <col min="1" max="1" width="19.140625" style="279" customWidth="1"/>
    <col min="2" max="2" width="16.7109375" style="279" customWidth="1"/>
    <col min="3" max="3" width="11.42578125" style="279" customWidth="1"/>
    <col min="4" max="7" width="40.7109375" style="279" customWidth="1"/>
    <col min="8" max="8" width="34.28515625" style="279" customWidth="1"/>
    <col min="9" max="9" width="30.42578125" style="279" customWidth="1"/>
    <col min="10" max="10" width="25.7109375" style="279" customWidth="1"/>
    <col min="11" max="11" width="15.5703125" style="279" customWidth="1"/>
    <col min="12" max="12" width="13.42578125" style="279" customWidth="1"/>
    <col min="13" max="13" width="16.140625" style="279" customWidth="1"/>
    <col min="14" max="17" width="11.42578125" style="279"/>
    <col min="18" max="18" width="12.5703125" style="279" customWidth="1"/>
    <col min="19" max="19" width="10.140625" style="279" customWidth="1"/>
    <col min="20" max="20" width="10.28515625" style="279" customWidth="1"/>
    <col min="21" max="21" width="21.5703125" style="279" customWidth="1"/>
    <col min="22" max="26" width="11.42578125" style="279"/>
    <col min="27" max="27" width="12.28515625" style="279" customWidth="1"/>
    <col min="28" max="28" width="11.42578125" style="279"/>
    <col min="29" max="31" width="26.42578125" style="279" customWidth="1"/>
    <col min="32" max="16384" width="11.42578125" style="279"/>
  </cols>
  <sheetData>
    <row r="1" spans="1:32" ht="13.5" thickBot="1" x14ac:dyDescent="0.25">
      <c r="H1" s="45" t="s">
        <v>214</v>
      </c>
      <c r="L1" s="279" t="s">
        <v>181</v>
      </c>
      <c r="M1" s="279" t="s">
        <v>182</v>
      </c>
      <c r="N1" s="279" t="s">
        <v>183</v>
      </c>
      <c r="R1" s="279" t="s">
        <v>608</v>
      </c>
      <c r="S1" s="279" t="s">
        <v>609</v>
      </c>
      <c r="T1" s="279" t="s">
        <v>610</v>
      </c>
      <c r="W1" s="316" t="str">
        <f>IF($I$125=TRUE,R1,L1)</f>
        <v>Ug=</v>
      </c>
      <c r="X1" s="330" t="str">
        <f>IF($I$125=TRUE,S1,M1)</f>
        <v>Lt=</v>
      </c>
      <c r="Y1" s="330" t="str">
        <f>IF($I$125=TRUE,T1,N1)</f>
        <v>g=</v>
      </c>
    </row>
    <row r="2" spans="1:32" x14ac:dyDescent="0.2">
      <c r="B2" s="28" t="s">
        <v>178</v>
      </c>
      <c r="C2" s="29" t="s">
        <v>91</v>
      </c>
      <c r="D2" s="15" t="s">
        <v>443</v>
      </c>
      <c r="E2" s="16" t="s">
        <v>444</v>
      </c>
      <c r="F2" s="16" t="s">
        <v>445</v>
      </c>
      <c r="G2" s="17" t="s">
        <v>446</v>
      </c>
      <c r="H2" s="436" t="str">
        <f>IF($B$3=$A$3,D2,IF($B$3=$A$4,E2,IF($B$3=$A$5,F2,IF($B$3=$A$6,G2,""))))</f>
        <v>Sprache:</v>
      </c>
      <c r="I2" s="45" t="s">
        <v>194</v>
      </c>
      <c r="K2" s="33" t="s">
        <v>611</v>
      </c>
      <c r="L2" s="437"/>
      <c r="M2" s="437"/>
      <c r="N2" s="437"/>
      <c r="O2" s="437"/>
      <c r="P2" s="438"/>
      <c r="Q2" s="33" t="s">
        <v>612</v>
      </c>
      <c r="R2" s="437"/>
      <c r="S2" s="437"/>
      <c r="T2" s="437"/>
      <c r="U2" s="438"/>
      <c r="V2" s="33" t="s">
        <v>613</v>
      </c>
      <c r="W2" s="437"/>
      <c r="X2" s="437"/>
      <c r="Y2" s="437"/>
      <c r="Z2" s="437"/>
      <c r="AA2" s="438"/>
      <c r="AB2" s="439"/>
      <c r="AC2" s="439"/>
      <c r="AD2" s="439"/>
      <c r="AE2" s="439"/>
      <c r="AF2" s="439"/>
    </row>
    <row r="3" spans="1:32" x14ac:dyDescent="0.2">
      <c r="A3" s="279">
        <v>1</v>
      </c>
      <c r="B3" s="440">
        <v>1</v>
      </c>
      <c r="C3" s="441" t="s">
        <v>92</v>
      </c>
      <c r="D3" s="442" t="s">
        <v>92</v>
      </c>
      <c r="E3" s="443" t="s">
        <v>93</v>
      </c>
      <c r="F3" s="443" t="s">
        <v>94</v>
      </c>
      <c r="G3" s="444" t="s">
        <v>95</v>
      </c>
      <c r="H3" s="436" t="str">
        <f>IF($B$3=$A$3,D3,IF($B$3=$A$4,E3,IF($B$3=$A$5,F3,IF($B$3=$A$6,G3,""))))</f>
        <v>DEUTSCH</v>
      </c>
      <c r="I3" s="445"/>
      <c r="K3" s="329" t="s">
        <v>781</v>
      </c>
      <c r="L3" s="330">
        <v>5.7</v>
      </c>
      <c r="M3" s="330">
        <v>89</v>
      </c>
      <c r="N3" s="330">
        <v>84</v>
      </c>
      <c r="O3" s="330" t="s">
        <v>787</v>
      </c>
      <c r="P3" s="446"/>
      <c r="Q3" s="329" t="s">
        <v>232</v>
      </c>
      <c r="R3" s="447">
        <v>0.34</v>
      </c>
      <c r="S3" s="330">
        <v>0.49</v>
      </c>
      <c r="T3" s="330">
        <v>0.67</v>
      </c>
      <c r="U3" s="446" t="s">
        <v>643</v>
      </c>
      <c r="V3" s="329" t="str">
        <f t="shared" ref="V3:Z25" si="0">IF($I$125=TRUE,Q3,K3)</f>
        <v>SG-71</v>
      </c>
      <c r="W3" s="316">
        <f t="shared" si="0"/>
        <v>5.7</v>
      </c>
      <c r="X3" s="330">
        <f t="shared" si="0"/>
        <v>89</v>
      </c>
      <c r="Y3" s="330">
        <f t="shared" si="0"/>
        <v>84</v>
      </c>
      <c r="Z3" s="330" t="str">
        <f t="shared" si="0"/>
        <v>ESG 6</v>
      </c>
      <c r="AA3" s="446"/>
      <c r="AB3" s="439"/>
      <c r="AC3" s="448"/>
      <c r="AD3" s="448"/>
      <c r="AE3" s="448"/>
      <c r="AF3" s="439"/>
    </row>
    <row r="4" spans="1:32" x14ac:dyDescent="0.2">
      <c r="A4" s="279">
        <v>2</v>
      </c>
      <c r="B4" s="449"/>
      <c r="C4" s="450" t="s">
        <v>93</v>
      </c>
      <c r="D4" s="329" t="s">
        <v>96</v>
      </c>
      <c r="E4" s="451" t="s">
        <v>97</v>
      </c>
      <c r="F4" s="451" t="s">
        <v>98</v>
      </c>
      <c r="G4" s="452" t="s">
        <v>99</v>
      </c>
      <c r="H4" s="436" t="str">
        <f>IF($B$3=$A$3,D4,IF($B$3=$A$4,E4,IF($B$3=$A$5,F4,IF($B$3=$A$6,G4,""))))</f>
        <v>BESTELLUNG</v>
      </c>
      <c r="I4" s="445"/>
      <c r="K4" s="280" t="s">
        <v>782</v>
      </c>
      <c r="L4" s="316">
        <v>5.6</v>
      </c>
      <c r="M4" s="316">
        <v>88</v>
      </c>
      <c r="N4" s="316">
        <v>80</v>
      </c>
      <c r="O4" s="316" t="s">
        <v>788</v>
      </c>
      <c r="P4" s="317"/>
      <c r="Q4" s="280" t="s">
        <v>233</v>
      </c>
      <c r="R4" s="316">
        <v>0.34</v>
      </c>
      <c r="S4" s="316">
        <v>0.48</v>
      </c>
      <c r="T4" s="316">
        <v>0.66</v>
      </c>
      <c r="U4" s="317" t="s">
        <v>644</v>
      </c>
      <c r="V4" s="280" t="str">
        <f t="shared" si="0"/>
        <v>SG-72</v>
      </c>
      <c r="W4" s="316">
        <f t="shared" si="0"/>
        <v>5.6</v>
      </c>
      <c r="X4" s="316">
        <f t="shared" si="0"/>
        <v>88</v>
      </c>
      <c r="Y4" s="316">
        <f t="shared" si="0"/>
        <v>80</v>
      </c>
      <c r="Z4" s="316" t="str">
        <f t="shared" si="0"/>
        <v>ESG 10</v>
      </c>
      <c r="AA4" s="317"/>
      <c r="AB4" s="714"/>
      <c r="AC4" s="453"/>
      <c r="AD4" s="453"/>
      <c r="AE4" s="453"/>
      <c r="AF4" s="439"/>
    </row>
    <row r="5" spans="1:32" x14ac:dyDescent="0.2">
      <c r="A5" s="279">
        <v>3</v>
      </c>
      <c r="B5" s="449"/>
      <c r="C5" s="450" t="s">
        <v>94</v>
      </c>
      <c r="D5" s="280" t="s">
        <v>0</v>
      </c>
      <c r="E5" s="316" t="s">
        <v>1</v>
      </c>
      <c r="F5" s="316" t="s">
        <v>101</v>
      </c>
      <c r="G5" s="317" t="s">
        <v>100</v>
      </c>
      <c r="H5" s="436" t="str">
        <f>IF($B$3=$A$3,D5,IF($B$3=$A$4,E5,IF($B$3=$A$5,F5,IF($B$3=$A$6,G5,""))))</f>
        <v>Gemäss Zeichnung Nr.:</v>
      </c>
      <c r="I5" s="445" t="b">
        <v>0</v>
      </c>
      <c r="K5" s="280" t="s">
        <v>783</v>
      </c>
      <c r="L5" s="316">
        <v>5.5</v>
      </c>
      <c r="M5" s="316">
        <v>87</v>
      </c>
      <c r="N5" s="316">
        <v>77</v>
      </c>
      <c r="O5" s="316" t="s">
        <v>789</v>
      </c>
      <c r="P5" s="317"/>
      <c r="Q5" s="280" t="s">
        <v>234</v>
      </c>
      <c r="R5" s="316">
        <v>0.34</v>
      </c>
      <c r="S5" s="316">
        <v>0.49</v>
      </c>
      <c r="T5" s="316">
        <v>0.68</v>
      </c>
      <c r="U5" s="317" t="s">
        <v>645</v>
      </c>
      <c r="V5" s="280" t="str">
        <f t="shared" si="0"/>
        <v>SG-73</v>
      </c>
      <c r="W5" s="316">
        <f t="shared" si="0"/>
        <v>5.5</v>
      </c>
      <c r="X5" s="316">
        <f t="shared" si="0"/>
        <v>87</v>
      </c>
      <c r="Y5" s="316">
        <f t="shared" si="0"/>
        <v>77</v>
      </c>
      <c r="Z5" s="316" t="str">
        <f t="shared" si="0"/>
        <v>ESG 12</v>
      </c>
      <c r="AA5" s="317"/>
      <c r="AB5" s="714"/>
      <c r="AC5" s="453"/>
      <c r="AD5" s="453"/>
      <c r="AE5" s="453"/>
      <c r="AF5" s="439"/>
    </row>
    <row r="6" spans="1:32" ht="13.5" thickBot="1" x14ac:dyDescent="0.25">
      <c r="A6" s="279">
        <v>4</v>
      </c>
      <c r="B6" s="454"/>
      <c r="C6" s="455" t="s">
        <v>95</v>
      </c>
      <c r="D6" s="280" t="s">
        <v>102</v>
      </c>
      <c r="E6" s="316" t="s">
        <v>103</v>
      </c>
      <c r="F6" s="316" t="s">
        <v>104</v>
      </c>
      <c r="G6" s="317" t="s">
        <v>364</v>
      </c>
      <c r="H6" s="436" t="str">
        <f>IF($B$3=$A$3,D6,IF($B$3=$A$4,E6,IF($B$3=$A$5,F6,IF($B$3=$A$6,G6,""))))</f>
        <v>Gemäss Skizze: (Ansicht von Aussen)</v>
      </c>
      <c r="I6" s="445" t="b">
        <v>0</v>
      </c>
      <c r="K6" s="280">
        <v>0</v>
      </c>
      <c r="L6" s="316">
        <v>0</v>
      </c>
      <c r="M6" s="316">
        <v>0</v>
      </c>
      <c r="N6" s="316">
        <v>0</v>
      </c>
      <c r="O6" s="316" t="str">
        <f>$H$54</f>
        <v>Glastyp wählen</v>
      </c>
      <c r="P6" s="317"/>
      <c r="Q6" s="280" t="s">
        <v>235</v>
      </c>
      <c r="R6" s="316">
        <v>0.34</v>
      </c>
      <c r="S6" s="316">
        <v>0.48</v>
      </c>
      <c r="T6" s="316">
        <v>0.66</v>
      </c>
      <c r="U6" s="317" t="s">
        <v>646</v>
      </c>
      <c r="V6" s="280">
        <f t="shared" si="0"/>
        <v>0</v>
      </c>
      <c r="W6" s="316">
        <f t="shared" si="0"/>
        <v>0</v>
      </c>
      <c r="X6" s="316">
        <f t="shared" si="0"/>
        <v>0</v>
      </c>
      <c r="Y6" s="316">
        <f t="shared" si="0"/>
        <v>0</v>
      </c>
      <c r="Z6" s="316" t="str">
        <f t="shared" si="0"/>
        <v>Glastyp wählen</v>
      </c>
      <c r="AA6" s="317"/>
      <c r="AB6" s="714"/>
      <c r="AC6" s="453"/>
      <c r="AD6" s="453"/>
      <c r="AE6" s="453"/>
      <c r="AF6" s="439"/>
    </row>
    <row r="7" spans="1:32" ht="13.5" thickBot="1" x14ac:dyDescent="0.25">
      <c r="D7" s="280" t="s">
        <v>499</v>
      </c>
      <c r="E7" s="316" t="s">
        <v>500</v>
      </c>
      <c r="F7" s="316" t="s">
        <v>501</v>
      </c>
      <c r="G7" s="317" t="s">
        <v>502</v>
      </c>
      <c r="H7" s="436" t="str">
        <f t="shared" ref="H7:H71" si="1">IF($B$3=$A$3,D7,IF($B$3=$A$4,E7,IF($B$3=$A$5,F7,IF($B$3=$A$6,G7,""))))</f>
        <v xml:space="preserve">Objekt: </v>
      </c>
      <c r="I7" s="445"/>
      <c r="K7" s="280" t="s">
        <v>784</v>
      </c>
      <c r="L7" s="316">
        <v>5.6</v>
      </c>
      <c r="M7" s="316">
        <v>88</v>
      </c>
      <c r="N7" s="316">
        <v>77</v>
      </c>
      <c r="O7" s="316" t="s">
        <v>792</v>
      </c>
      <c r="P7" s="317"/>
      <c r="Q7" s="280" t="s">
        <v>236</v>
      </c>
      <c r="R7" s="316">
        <v>0.34</v>
      </c>
      <c r="S7" s="316">
        <v>0.47</v>
      </c>
      <c r="T7" s="316">
        <v>0.66</v>
      </c>
      <c r="U7" s="317" t="s">
        <v>647</v>
      </c>
      <c r="V7" s="280" t="str">
        <f t="shared" si="0"/>
        <v>SG-74</v>
      </c>
      <c r="W7" s="316">
        <f t="shared" si="0"/>
        <v>5.6</v>
      </c>
      <c r="X7" s="316">
        <f t="shared" si="0"/>
        <v>88</v>
      </c>
      <c r="Y7" s="316">
        <f t="shared" si="0"/>
        <v>77</v>
      </c>
      <c r="Z7" s="316" t="str">
        <f t="shared" si="0"/>
        <v>VSG 8-2 (4/4-2)</v>
      </c>
      <c r="AA7" s="317"/>
      <c r="AB7" s="714"/>
      <c r="AC7" s="453"/>
      <c r="AD7" s="453"/>
      <c r="AE7" s="453"/>
      <c r="AF7" s="439"/>
    </row>
    <row r="8" spans="1:32" x14ac:dyDescent="0.2">
      <c r="B8" s="15" t="s">
        <v>186</v>
      </c>
      <c r="C8" s="17" t="s">
        <v>190</v>
      </c>
      <c r="D8" s="280" t="s">
        <v>184</v>
      </c>
      <c r="E8" s="316" t="s">
        <v>185</v>
      </c>
      <c r="F8" s="316" t="s">
        <v>105</v>
      </c>
      <c r="G8" s="317" t="s">
        <v>106</v>
      </c>
      <c r="H8" s="436" t="str">
        <f t="shared" si="1"/>
        <v>Bestelldatum:</v>
      </c>
      <c r="I8" s="445"/>
      <c r="K8" s="280" t="s">
        <v>785</v>
      </c>
      <c r="L8" s="316">
        <v>5.6</v>
      </c>
      <c r="M8" s="316">
        <v>87</v>
      </c>
      <c r="N8" s="316">
        <v>76</v>
      </c>
      <c r="O8" s="316" t="s">
        <v>791</v>
      </c>
      <c r="P8" s="317"/>
      <c r="Q8" s="280" t="s">
        <v>237</v>
      </c>
      <c r="R8" s="316">
        <v>0.33</v>
      </c>
      <c r="S8" s="316">
        <v>0.46</v>
      </c>
      <c r="T8" s="316">
        <v>0.65</v>
      </c>
      <c r="U8" s="317" t="s">
        <v>648</v>
      </c>
      <c r="V8" s="280" t="str">
        <f t="shared" si="0"/>
        <v>SG-75</v>
      </c>
      <c r="W8" s="316">
        <f t="shared" si="0"/>
        <v>5.6</v>
      </c>
      <c r="X8" s="316">
        <f t="shared" si="0"/>
        <v>87</v>
      </c>
      <c r="Y8" s="316">
        <f t="shared" si="0"/>
        <v>76</v>
      </c>
      <c r="Z8" s="316" t="str">
        <f t="shared" si="0"/>
        <v>VSG 10-2 (6/4-2)</v>
      </c>
      <c r="AA8" s="317"/>
      <c r="AB8" s="714"/>
      <c r="AC8" s="453"/>
      <c r="AD8" s="453"/>
      <c r="AE8" s="453"/>
      <c r="AF8" s="439"/>
    </row>
    <row r="9" spans="1:32" ht="13.5" thickBot="1" x14ac:dyDescent="0.25">
      <c r="B9" s="329" t="s">
        <v>835</v>
      </c>
      <c r="C9" s="362" t="s">
        <v>836</v>
      </c>
      <c r="D9" s="280" t="s">
        <v>2</v>
      </c>
      <c r="E9" s="316" t="s">
        <v>3</v>
      </c>
      <c r="F9" s="316" t="s">
        <v>4</v>
      </c>
      <c r="G9" s="317" t="s">
        <v>107</v>
      </c>
      <c r="H9" s="436" t="str">
        <f t="shared" si="1"/>
        <v>Projekt-Nr.:</v>
      </c>
      <c r="I9" s="445"/>
      <c r="K9" s="280" t="s">
        <v>786</v>
      </c>
      <c r="L9" s="316">
        <v>5.5</v>
      </c>
      <c r="M9" s="316">
        <v>86</v>
      </c>
      <c r="N9" s="316">
        <v>74</v>
      </c>
      <c r="O9" s="316" t="s">
        <v>790</v>
      </c>
      <c r="P9" s="317"/>
      <c r="Q9" s="280">
        <v>0</v>
      </c>
      <c r="R9" s="316">
        <v>0</v>
      </c>
      <c r="S9" s="316">
        <v>0</v>
      </c>
      <c r="T9" s="316">
        <v>0</v>
      </c>
      <c r="U9" s="317" t="str">
        <f>$H$54</f>
        <v>Glastyp wählen</v>
      </c>
      <c r="V9" s="280" t="str">
        <f t="shared" si="0"/>
        <v>SG-76</v>
      </c>
      <c r="W9" s="316">
        <f t="shared" si="0"/>
        <v>5.5</v>
      </c>
      <c r="X9" s="316">
        <f t="shared" si="0"/>
        <v>86</v>
      </c>
      <c r="Y9" s="316">
        <f t="shared" si="0"/>
        <v>74</v>
      </c>
      <c r="Z9" s="316" t="str">
        <f t="shared" si="0"/>
        <v>VSG 12-2 /6/6-2)</v>
      </c>
      <c r="AA9" s="317"/>
      <c r="AB9" s="714"/>
      <c r="AC9" s="453"/>
      <c r="AD9" s="453"/>
      <c r="AE9" s="453"/>
      <c r="AF9" s="439"/>
    </row>
    <row r="10" spans="1:32" x14ac:dyDescent="0.2">
      <c r="A10" s="56" t="s">
        <v>44</v>
      </c>
      <c r="B10" s="456" t="s">
        <v>187</v>
      </c>
      <c r="C10" s="457" t="s">
        <v>191</v>
      </c>
      <c r="D10" s="280" t="s">
        <v>5</v>
      </c>
      <c r="E10" s="316" t="s">
        <v>6</v>
      </c>
      <c r="F10" s="316" t="s">
        <v>7</v>
      </c>
      <c r="G10" s="317" t="s">
        <v>340</v>
      </c>
      <c r="H10" s="436" t="str">
        <f t="shared" si="1"/>
        <v>2-gleisig</v>
      </c>
      <c r="I10" s="458" t="b">
        <v>0</v>
      </c>
      <c r="K10" s="280">
        <v>0</v>
      </c>
      <c r="L10" s="51">
        <v>0</v>
      </c>
      <c r="M10" s="316">
        <v>0</v>
      </c>
      <c r="N10" s="316">
        <v>0</v>
      </c>
      <c r="O10" s="316" t="str">
        <f t="shared" ref="O10:O35" si="2">$H$54</f>
        <v>Glastyp wählen</v>
      </c>
      <c r="P10" s="317"/>
      <c r="Q10" s="280" t="s">
        <v>238</v>
      </c>
      <c r="R10" s="316">
        <v>0.34</v>
      </c>
      <c r="S10" s="316">
        <v>0.41</v>
      </c>
      <c r="T10" s="316">
        <v>0.59</v>
      </c>
      <c r="U10" s="317" t="s">
        <v>642</v>
      </c>
      <c r="V10" s="280">
        <f t="shared" si="0"/>
        <v>0</v>
      </c>
      <c r="W10" s="316">
        <f t="shared" si="0"/>
        <v>0</v>
      </c>
      <c r="X10" s="316">
        <f t="shared" si="0"/>
        <v>0</v>
      </c>
      <c r="Y10" s="316">
        <f t="shared" si="0"/>
        <v>0</v>
      </c>
      <c r="Z10" s="316" t="str">
        <f t="shared" si="0"/>
        <v>Glastyp wählen</v>
      </c>
      <c r="AA10" s="317"/>
      <c r="AB10" s="714"/>
      <c r="AC10" s="453"/>
      <c r="AD10" s="453"/>
      <c r="AE10" s="453"/>
      <c r="AF10" s="439"/>
    </row>
    <row r="11" spans="1:32" x14ac:dyDescent="0.2">
      <c r="A11" s="459"/>
      <c r="B11" s="460" t="s">
        <v>188</v>
      </c>
      <c r="C11" s="461" t="s">
        <v>192</v>
      </c>
      <c r="D11" s="280" t="s">
        <v>8</v>
      </c>
      <c r="E11" s="316" t="s">
        <v>9</v>
      </c>
      <c r="F11" s="316" t="s">
        <v>779</v>
      </c>
      <c r="G11" s="317" t="s">
        <v>341</v>
      </c>
      <c r="H11" s="436" t="str">
        <f t="shared" si="1"/>
        <v>3-gleisig</v>
      </c>
      <c r="I11" s="458" t="b">
        <v>0</v>
      </c>
      <c r="K11" s="280">
        <v>0</v>
      </c>
      <c r="L11" s="316">
        <v>0</v>
      </c>
      <c r="M11" s="316">
        <v>0</v>
      </c>
      <c r="N11" s="316">
        <v>0</v>
      </c>
      <c r="O11" s="316" t="str">
        <f t="shared" si="2"/>
        <v>Glastyp wählen</v>
      </c>
      <c r="P11" s="317"/>
      <c r="Q11" s="280" t="s">
        <v>239</v>
      </c>
      <c r="R11" s="316">
        <v>0.33</v>
      </c>
      <c r="S11" s="316">
        <v>0.4</v>
      </c>
      <c r="T11" s="316">
        <v>0.57999999999999996</v>
      </c>
      <c r="U11" s="317" t="s">
        <v>649</v>
      </c>
      <c r="V11" s="280">
        <f t="shared" si="0"/>
        <v>0</v>
      </c>
      <c r="W11" s="316">
        <f t="shared" si="0"/>
        <v>0</v>
      </c>
      <c r="X11" s="316">
        <f t="shared" si="0"/>
        <v>0</v>
      </c>
      <c r="Y11" s="316">
        <f t="shared" si="0"/>
        <v>0</v>
      </c>
      <c r="Z11" s="316" t="str">
        <f t="shared" si="0"/>
        <v>Glastyp wählen</v>
      </c>
      <c r="AA11" s="317"/>
      <c r="AB11" s="714"/>
      <c r="AC11" s="453"/>
      <c r="AD11" s="453"/>
      <c r="AE11" s="453"/>
      <c r="AF11" s="439"/>
    </row>
    <row r="12" spans="1:32" x14ac:dyDescent="0.2">
      <c r="A12" s="436" t="s">
        <v>180</v>
      </c>
      <c r="B12" s="460" t="s">
        <v>189</v>
      </c>
      <c r="C12" s="461" t="s">
        <v>193</v>
      </c>
      <c r="D12" s="280" t="s">
        <v>10</v>
      </c>
      <c r="E12" s="316" t="s">
        <v>11</v>
      </c>
      <c r="F12" s="316" t="s">
        <v>780</v>
      </c>
      <c r="G12" s="317" t="s">
        <v>342</v>
      </c>
      <c r="H12" s="436" t="str">
        <f t="shared" si="1"/>
        <v>4-gleisig</v>
      </c>
      <c r="I12" s="458" t="b">
        <v>0</v>
      </c>
      <c r="K12" s="280">
        <v>0</v>
      </c>
      <c r="L12" s="316">
        <v>0</v>
      </c>
      <c r="M12" s="316">
        <v>0</v>
      </c>
      <c r="N12" s="316">
        <v>0</v>
      </c>
      <c r="O12" s="316" t="str">
        <f t="shared" si="2"/>
        <v>Glastyp wählen</v>
      </c>
      <c r="P12" s="317"/>
      <c r="Q12" s="280" t="s">
        <v>240</v>
      </c>
      <c r="R12" s="316">
        <v>0.34</v>
      </c>
      <c r="S12" s="316">
        <v>0.4</v>
      </c>
      <c r="T12" s="316">
        <v>0.57999999999999996</v>
      </c>
      <c r="U12" s="317" t="s">
        <v>650</v>
      </c>
      <c r="V12" s="280">
        <f t="shared" si="0"/>
        <v>0</v>
      </c>
      <c r="W12" s="316">
        <f t="shared" si="0"/>
        <v>0</v>
      </c>
      <c r="X12" s="316">
        <f t="shared" si="0"/>
        <v>0</v>
      </c>
      <c r="Y12" s="316">
        <f t="shared" si="0"/>
        <v>0</v>
      </c>
      <c r="Z12" s="316" t="str">
        <f t="shared" si="0"/>
        <v>Glastyp wählen</v>
      </c>
      <c r="AA12" s="317"/>
      <c r="AB12" s="714"/>
      <c r="AC12" s="453"/>
      <c r="AD12" s="453"/>
      <c r="AE12" s="453"/>
      <c r="AF12" s="439"/>
    </row>
    <row r="13" spans="1:32" x14ac:dyDescent="0.2">
      <c r="A13" s="436" t="s">
        <v>225</v>
      </c>
      <c r="B13" s="462" t="s">
        <v>440</v>
      </c>
      <c r="C13" s="463" t="s">
        <v>439</v>
      </c>
      <c r="D13" s="280" t="s">
        <v>12</v>
      </c>
      <c r="E13" s="316" t="s">
        <v>13</v>
      </c>
      <c r="F13" s="316" t="s">
        <v>14</v>
      </c>
      <c r="G13" s="317" t="s">
        <v>108</v>
      </c>
      <c r="H13" s="436" t="str">
        <f t="shared" si="1"/>
        <v>Teilung Achsmasse</v>
      </c>
      <c r="I13" s="445" t="b">
        <v>0</v>
      </c>
      <c r="K13" s="280">
        <v>0</v>
      </c>
      <c r="L13" s="316">
        <v>0</v>
      </c>
      <c r="M13" s="316">
        <v>0</v>
      </c>
      <c r="N13" s="316">
        <v>0</v>
      </c>
      <c r="O13" s="316" t="str">
        <f t="shared" si="2"/>
        <v>Glastyp wählen</v>
      </c>
      <c r="P13" s="317"/>
      <c r="Q13" s="280" t="s">
        <v>241</v>
      </c>
      <c r="R13" s="316">
        <v>0.33</v>
      </c>
      <c r="S13" s="316">
        <v>0.4</v>
      </c>
      <c r="T13" s="316">
        <v>0.57999999999999996</v>
      </c>
      <c r="U13" s="317" t="s">
        <v>651</v>
      </c>
      <c r="V13" s="280">
        <f t="shared" si="0"/>
        <v>0</v>
      </c>
      <c r="W13" s="316">
        <f t="shared" si="0"/>
        <v>0</v>
      </c>
      <c r="X13" s="316">
        <f t="shared" si="0"/>
        <v>0</v>
      </c>
      <c r="Y13" s="316">
        <f t="shared" si="0"/>
        <v>0</v>
      </c>
      <c r="Z13" s="316" t="str">
        <f t="shared" si="0"/>
        <v>Glastyp wählen</v>
      </c>
      <c r="AA13" s="317"/>
      <c r="AB13" s="714"/>
      <c r="AC13" s="453"/>
      <c r="AD13" s="453"/>
      <c r="AE13" s="453"/>
      <c r="AF13" s="439"/>
    </row>
    <row r="14" spans="1:32" ht="13.5" thickBot="1" x14ac:dyDescent="0.25">
      <c r="A14" s="436" t="s">
        <v>224</v>
      </c>
      <c r="B14" s="377" t="s">
        <v>441</v>
      </c>
      <c r="C14" s="464" t="s">
        <v>438</v>
      </c>
      <c r="D14" s="280" t="s">
        <v>110</v>
      </c>
      <c r="E14" s="316" t="s">
        <v>109</v>
      </c>
      <c r="F14" s="5" t="s">
        <v>15</v>
      </c>
      <c r="G14" s="58" t="s">
        <v>365</v>
      </c>
      <c r="H14" s="436" t="str">
        <f t="shared" si="1"/>
        <v>alle Gläser gleiche Breite (Empfehlung)</v>
      </c>
      <c r="I14" s="445" t="b">
        <v>0</v>
      </c>
      <c r="K14" s="280">
        <v>0</v>
      </c>
      <c r="L14" s="316">
        <v>0</v>
      </c>
      <c r="M14" s="316">
        <v>0</v>
      </c>
      <c r="N14" s="316">
        <v>0</v>
      </c>
      <c r="O14" s="316" t="str">
        <f t="shared" si="2"/>
        <v>Glastyp wählen</v>
      </c>
      <c r="P14" s="317"/>
      <c r="Q14" s="280" t="s">
        <v>242</v>
      </c>
      <c r="R14" s="316">
        <v>0.33</v>
      </c>
      <c r="S14" s="316">
        <v>0.39</v>
      </c>
      <c r="T14" s="316">
        <v>0.56999999999999995</v>
      </c>
      <c r="U14" s="317" t="s">
        <v>652</v>
      </c>
      <c r="V14" s="280">
        <f t="shared" si="0"/>
        <v>0</v>
      </c>
      <c r="W14" s="316">
        <f t="shared" si="0"/>
        <v>0</v>
      </c>
      <c r="X14" s="316">
        <f t="shared" si="0"/>
        <v>0</v>
      </c>
      <c r="Y14" s="316">
        <f t="shared" si="0"/>
        <v>0</v>
      </c>
      <c r="Z14" s="316" t="str">
        <f t="shared" si="0"/>
        <v>Glastyp wählen</v>
      </c>
      <c r="AA14" s="317"/>
      <c r="AB14" s="714"/>
      <c r="AC14" s="453"/>
      <c r="AD14" s="453"/>
      <c r="AE14" s="453"/>
      <c r="AF14" s="439"/>
    </row>
    <row r="15" spans="1:32" x14ac:dyDescent="0.2">
      <c r="A15" s="436" t="s">
        <v>226</v>
      </c>
      <c r="B15" s="85" t="s">
        <v>197</v>
      </c>
      <c r="C15" s="34"/>
      <c r="D15" s="280" t="s">
        <v>16</v>
      </c>
      <c r="E15" s="316" t="s">
        <v>16</v>
      </c>
      <c r="F15" s="316" t="s">
        <v>16</v>
      </c>
      <c r="G15" s="317" t="s">
        <v>16</v>
      </c>
      <c r="H15" s="436" t="str">
        <f t="shared" si="1"/>
        <v>Standard</v>
      </c>
      <c r="I15" s="445" t="b">
        <v>0</v>
      </c>
      <c r="K15" s="280">
        <v>0</v>
      </c>
      <c r="L15" s="316">
        <v>0</v>
      </c>
      <c r="M15" s="316">
        <v>0</v>
      </c>
      <c r="N15" s="316">
        <v>0</v>
      </c>
      <c r="O15" s="316" t="str">
        <f t="shared" si="2"/>
        <v>Glastyp wählen</v>
      </c>
      <c r="P15" s="317"/>
      <c r="Q15" s="280" t="s">
        <v>243</v>
      </c>
      <c r="R15" s="316">
        <v>0.33</v>
      </c>
      <c r="S15" s="316">
        <v>0.39</v>
      </c>
      <c r="T15" s="316">
        <v>0.56999999999999995</v>
      </c>
      <c r="U15" s="317" t="s">
        <v>653</v>
      </c>
      <c r="V15" s="280">
        <f t="shared" si="0"/>
        <v>0</v>
      </c>
      <c r="W15" s="316">
        <f t="shared" si="0"/>
        <v>0</v>
      </c>
      <c r="X15" s="316">
        <f t="shared" si="0"/>
        <v>0</v>
      </c>
      <c r="Y15" s="316">
        <f t="shared" si="0"/>
        <v>0</v>
      </c>
      <c r="Z15" s="316" t="str">
        <f t="shared" si="0"/>
        <v>Glastyp wählen</v>
      </c>
      <c r="AA15" s="317"/>
      <c r="AB15" s="714"/>
      <c r="AC15" s="453"/>
      <c r="AD15" s="453"/>
      <c r="AE15" s="453"/>
      <c r="AF15" s="439"/>
    </row>
    <row r="16" spans="1:32" x14ac:dyDescent="0.2">
      <c r="A16" s="436" t="s">
        <v>227</v>
      </c>
      <c r="B16" s="465" t="s">
        <v>198</v>
      </c>
      <c r="C16" s="457">
        <f>IF(AND($I$20=TRUE,OR('Pos. 4'!$F$10='Sprachen &amp; Rückgabewerte(4)'!$B$10,'Pos. 4'!$F$10='Sprachen &amp; Rückgabewerte(4)'!$B$11)),1,0)</f>
        <v>0</v>
      </c>
      <c r="D16" s="280" t="s">
        <v>17</v>
      </c>
      <c r="E16" s="316" t="s">
        <v>18</v>
      </c>
      <c r="F16" s="316" t="s">
        <v>19</v>
      </c>
      <c r="G16" s="317" t="s">
        <v>343</v>
      </c>
      <c r="H16" s="436" t="str">
        <f t="shared" si="1"/>
        <v>Einbruchschutz RC2</v>
      </c>
      <c r="I16" s="445" t="b">
        <v>0</v>
      </c>
      <c r="K16" s="280">
        <v>0</v>
      </c>
      <c r="L16" s="316">
        <v>0</v>
      </c>
      <c r="M16" s="316">
        <v>0</v>
      </c>
      <c r="N16" s="316">
        <v>0</v>
      </c>
      <c r="O16" s="316" t="str">
        <f t="shared" si="2"/>
        <v>Glastyp wählen</v>
      </c>
      <c r="P16" s="317"/>
      <c r="Q16" s="280">
        <v>0</v>
      </c>
      <c r="R16" s="316">
        <v>0</v>
      </c>
      <c r="S16" s="316">
        <v>0</v>
      </c>
      <c r="T16" s="316">
        <v>0</v>
      </c>
      <c r="U16" s="317" t="str">
        <f t="shared" ref="U16:U23" si="3">$H$54</f>
        <v>Glastyp wählen</v>
      </c>
      <c r="V16" s="280">
        <f t="shared" si="0"/>
        <v>0</v>
      </c>
      <c r="W16" s="316">
        <f t="shared" si="0"/>
        <v>0</v>
      </c>
      <c r="X16" s="316">
        <f t="shared" si="0"/>
        <v>0</v>
      </c>
      <c r="Y16" s="316">
        <f t="shared" si="0"/>
        <v>0</v>
      </c>
      <c r="Z16" s="316" t="str">
        <f t="shared" si="0"/>
        <v>Glastyp wählen</v>
      </c>
      <c r="AA16" s="317"/>
      <c r="AB16" s="714"/>
      <c r="AC16" s="453"/>
      <c r="AD16" s="453"/>
      <c r="AE16" s="453"/>
      <c r="AF16" s="439"/>
    </row>
    <row r="17" spans="1:32" x14ac:dyDescent="0.2">
      <c r="A17" s="436" t="s">
        <v>228</v>
      </c>
      <c r="B17" s="460" t="s">
        <v>199</v>
      </c>
      <c r="C17" s="461">
        <f>IF(AND($I$20=TRUE,OR('Pos. 4'!$J$10='Sprachen &amp; Rückgabewerte(4)'!$B$10,'Pos. 4'!$J$10='Sprachen &amp; Rückgabewerte(4)'!$B$11)),1,0)</f>
        <v>0</v>
      </c>
      <c r="D17" s="280" t="s">
        <v>334</v>
      </c>
      <c r="E17" s="316" t="s">
        <v>20</v>
      </c>
      <c r="F17" s="316" t="s">
        <v>21</v>
      </c>
      <c r="G17" s="317" t="s">
        <v>125</v>
      </c>
      <c r="H17" s="436" t="str">
        <f t="shared" si="1"/>
        <v>Positionsüberwachung (P)</v>
      </c>
      <c r="I17" s="445" t="b">
        <v>0</v>
      </c>
      <c r="K17" s="280">
        <v>0</v>
      </c>
      <c r="L17" s="316">
        <v>0</v>
      </c>
      <c r="M17" s="316">
        <v>0</v>
      </c>
      <c r="N17" s="316">
        <v>0</v>
      </c>
      <c r="O17" s="316" t="str">
        <f t="shared" si="2"/>
        <v>Glastyp wählen</v>
      </c>
      <c r="P17" s="317"/>
      <c r="Q17" s="280" t="s">
        <v>244</v>
      </c>
      <c r="R17" s="316">
        <v>0.34</v>
      </c>
      <c r="S17" s="316">
        <v>0.26</v>
      </c>
      <c r="T17" s="316">
        <v>0.53</v>
      </c>
      <c r="U17" s="317" t="s">
        <v>654</v>
      </c>
      <c r="V17" s="280">
        <f t="shared" si="0"/>
        <v>0</v>
      </c>
      <c r="W17" s="316">
        <f t="shared" si="0"/>
        <v>0</v>
      </c>
      <c r="X17" s="316">
        <f t="shared" si="0"/>
        <v>0</v>
      </c>
      <c r="Y17" s="316">
        <f t="shared" si="0"/>
        <v>0</v>
      </c>
      <c r="Z17" s="316" t="str">
        <f t="shared" si="0"/>
        <v>Glastyp wählen</v>
      </c>
      <c r="AA17" s="317"/>
      <c r="AB17" s="714"/>
      <c r="AC17" s="453"/>
      <c r="AD17" s="453"/>
      <c r="AE17" s="453"/>
      <c r="AF17" s="439"/>
    </row>
    <row r="18" spans="1:32" x14ac:dyDescent="0.2">
      <c r="A18" s="436" t="s">
        <v>229</v>
      </c>
      <c r="B18" s="460" t="s">
        <v>200</v>
      </c>
      <c r="C18" s="461">
        <f>IF(AND($I$20=TRUE,OR('Pos. 4'!$N$10='Sprachen &amp; Rückgabewerte(4)'!$B$10,'Pos. 4'!$N$10='Sprachen &amp; Rückgabewerte(4)'!$B$11)),1,0)</f>
        <v>0</v>
      </c>
      <c r="D18" s="280" t="s">
        <v>335</v>
      </c>
      <c r="E18" s="316" t="s">
        <v>22</v>
      </c>
      <c r="F18" s="316" t="s">
        <v>336</v>
      </c>
      <c r="G18" s="317" t="s">
        <v>126</v>
      </c>
      <c r="H18" s="436" t="str">
        <f t="shared" si="1"/>
        <v xml:space="preserve">Riegelüberwachung (R) </v>
      </c>
      <c r="I18" s="445" t="b">
        <v>0</v>
      </c>
      <c r="K18" s="280">
        <v>0</v>
      </c>
      <c r="L18" s="316">
        <v>0</v>
      </c>
      <c r="M18" s="316">
        <v>0</v>
      </c>
      <c r="N18" s="316">
        <v>0</v>
      </c>
      <c r="O18" s="316" t="str">
        <f t="shared" si="2"/>
        <v>Glastyp wählen</v>
      </c>
      <c r="P18" s="317"/>
      <c r="Q18" s="280" t="s">
        <v>245</v>
      </c>
      <c r="R18" s="316">
        <v>0.33</v>
      </c>
      <c r="S18" s="316">
        <v>0.26</v>
      </c>
      <c r="T18" s="316">
        <v>0.52</v>
      </c>
      <c r="U18" s="317" t="s">
        <v>655</v>
      </c>
      <c r="V18" s="280">
        <f t="shared" si="0"/>
        <v>0</v>
      </c>
      <c r="W18" s="316">
        <f t="shared" si="0"/>
        <v>0</v>
      </c>
      <c r="X18" s="316">
        <f t="shared" si="0"/>
        <v>0</v>
      </c>
      <c r="Y18" s="316">
        <f t="shared" si="0"/>
        <v>0</v>
      </c>
      <c r="Z18" s="316" t="str">
        <f t="shared" si="0"/>
        <v>Glastyp wählen</v>
      </c>
      <c r="AA18" s="317"/>
      <c r="AB18" s="714"/>
      <c r="AC18" s="453"/>
      <c r="AD18" s="453"/>
      <c r="AE18" s="453"/>
      <c r="AF18" s="439"/>
    </row>
    <row r="19" spans="1:32" x14ac:dyDescent="0.2">
      <c r="A19" s="436"/>
      <c r="B19" s="460" t="s">
        <v>201</v>
      </c>
      <c r="C19" s="461">
        <f>IF(AND($I$20=TRUE,OR('Pos. 4'!$R$10='Sprachen &amp; Rückgabewerte(4)'!$B$10,'Pos. 4'!$R$10='Sprachen &amp; Rückgabewerte(4)'!$B$11)),1,0)</f>
        <v>0</v>
      </c>
      <c r="D19" s="280" t="s">
        <v>337</v>
      </c>
      <c r="E19" s="316" t="s">
        <v>23</v>
      </c>
      <c r="F19" s="316" t="s">
        <v>24</v>
      </c>
      <c r="G19" s="317" t="s">
        <v>124</v>
      </c>
      <c r="H19" s="436" t="str">
        <f t="shared" si="1"/>
        <v>Glasbruchüberwachung (G)</v>
      </c>
      <c r="I19" s="445" t="b">
        <v>0</v>
      </c>
      <c r="K19" s="280">
        <v>0</v>
      </c>
      <c r="L19" s="316">
        <v>0</v>
      </c>
      <c r="M19" s="316">
        <v>0</v>
      </c>
      <c r="N19" s="316">
        <v>0</v>
      </c>
      <c r="O19" s="316" t="str">
        <f t="shared" si="2"/>
        <v>Glastyp wählen</v>
      </c>
      <c r="P19" s="317"/>
      <c r="Q19" s="280" t="s">
        <v>246</v>
      </c>
      <c r="R19" s="316">
        <v>0.34</v>
      </c>
      <c r="S19" s="316">
        <v>0.26</v>
      </c>
      <c r="T19" s="316">
        <v>0.52</v>
      </c>
      <c r="U19" s="317" t="s">
        <v>656</v>
      </c>
      <c r="V19" s="280">
        <f t="shared" si="0"/>
        <v>0</v>
      </c>
      <c r="W19" s="316">
        <f t="shared" si="0"/>
        <v>0</v>
      </c>
      <c r="X19" s="316">
        <f t="shared" si="0"/>
        <v>0</v>
      </c>
      <c r="Y19" s="316">
        <f t="shared" si="0"/>
        <v>0</v>
      </c>
      <c r="Z19" s="316" t="str">
        <f t="shared" si="0"/>
        <v>Glastyp wählen</v>
      </c>
      <c r="AA19" s="317"/>
      <c r="AB19" s="439"/>
      <c r="AC19" s="439"/>
      <c r="AD19" s="439"/>
      <c r="AE19" s="439"/>
      <c r="AF19" s="439"/>
    </row>
    <row r="20" spans="1:32" x14ac:dyDescent="0.2">
      <c r="A20" s="436" t="s">
        <v>230</v>
      </c>
      <c r="B20" s="460" t="s">
        <v>202</v>
      </c>
      <c r="C20" s="461">
        <f>IF(AND($I$20=TRUE,OR('Pos. 4'!$V$10='Sprachen &amp; Rückgabewerte(4)'!$B$10,'Pos. 4'!$V$10='Sprachen &amp; Rückgabewerte(4)'!$B$11)),1,0)</f>
        <v>0</v>
      </c>
      <c r="D20" s="280" t="s">
        <v>25</v>
      </c>
      <c r="E20" s="316" t="s">
        <v>195</v>
      </c>
      <c r="F20" s="316" t="s">
        <v>26</v>
      </c>
      <c r="G20" s="317" t="s">
        <v>127</v>
      </c>
      <c r="H20" s="436" t="str">
        <f t="shared" si="1"/>
        <v>Elektrischer Antrieb, Anzahl</v>
      </c>
      <c r="I20" s="445" t="b">
        <v>0</v>
      </c>
      <c r="K20" s="280">
        <v>0</v>
      </c>
      <c r="L20" s="316">
        <v>0</v>
      </c>
      <c r="M20" s="316">
        <v>0</v>
      </c>
      <c r="N20" s="316">
        <v>0</v>
      </c>
      <c r="O20" s="316" t="str">
        <f t="shared" si="2"/>
        <v>Glastyp wählen</v>
      </c>
      <c r="P20" s="317"/>
      <c r="Q20" s="280" t="s">
        <v>247</v>
      </c>
      <c r="R20" s="316">
        <v>0.33</v>
      </c>
      <c r="S20" s="316">
        <v>0.26</v>
      </c>
      <c r="T20" s="316">
        <v>0.52</v>
      </c>
      <c r="U20" s="317" t="s">
        <v>657</v>
      </c>
      <c r="V20" s="280">
        <f t="shared" si="0"/>
        <v>0</v>
      </c>
      <c r="W20" s="316">
        <f t="shared" si="0"/>
        <v>0</v>
      </c>
      <c r="X20" s="316">
        <f t="shared" si="0"/>
        <v>0</v>
      </c>
      <c r="Y20" s="316">
        <f t="shared" si="0"/>
        <v>0</v>
      </c>
      <c r="Z20" s="316" t="str">
        <f t="shared" si="0"/>
        <v>Glastyp wählen</v>
      </c>
      <c r="AA20" s="317"/>
      <c r="AB20" s="439"/>
      <c r="AC20" s="439"/>
      <c r="AD20" s="439"/>
      <c r="AE20" s="439"/>
      <c r="AF20" s="439"/>
    </row>
    <row r="21" spans="1:32" x14ac:dyDescent="0.2">
      <c r="A21" s="436" t="s">
        <v>231</v>
      </c>
      <c r="B21" s="460" t="s">
        <v>203</v>
      </c>
      <c r="C21" s="461">
        <f>IF(AND($I$20=TRUE,OR('Pos. 4'!$Z$10='Sprachen &amp; Rückgabewerte(4)'!$B$10,'Pos. 4'!$Z$10='Sprachen &amp; Rückgabewerte(4)'!$B$11)),1,0)</f>
        <v>0</v>
      </c>
      <c r="D21" s="280" t="s">
        <v>27</v>
      </c>
      <c r="E21" s="316" t="s">
        <v>752</v>
      </c>
      <c r="F21" s="316" t="s">
        <v>28</v>
      </c>
      <c r="G21" s="317" t="s">
        <v>128</v>
      </c>
      <c r="H21" s="436" t="str">
        <f t="shared" si="1"/>
        <v>Stk.</v>
      </c>
      <c r="I21" s="445"/>
      <c r="K21" s="280">
        <v>0</v>
      </c>
      <c r="L21" s="316">
        <v>0</v>
      </c>
      <c r="M21" s="316">
        <v>0</v>
      </c>
      <c r="N21" s="316">
        <v>0</v>
      </c>
      <c r="O21" s="316" t="str">
        <f t="shared" si="2"/>
        <v>Glastyp wählen</v>
      </c>
      <c r="P21" s="317"/>
      <c r="Q21" s="280" t="s">
        <v>248</v>
      </c>
      <c r="R21" s="316">
        <v>0.33</v>
      </c>
      <c r="S21" s="316">
        <v>0.26</v>
      </c>
      <c r="T21" s="316">
        <v>0.52</v>
      </c>
      <c r="U21" s="317" t="s">
        <v>658</v>
      </c>
      <c r="V21" s="280">
        <f t="shared" si="0"/>
        <v>0</v>
      </c>
      <c r="W21" s="316">
        <f t="shared" si="0"/>
        <v>0</v>
      </c>
      <c r="X21" s="316">
        <f t="shared" si="0"/>
        <v>0</v>
      </c>
      <c r="Y21" s="316">
        <f t="shared" si="0"/>
        <v>0</v>
      </c>
      <c r="Z21" s="316" t="str">
        <f t="shared" si="0"/>
        <v>Glastyp wählen</v>
      </c>
      <c r="AA21" s="317"/>
      <c r="AB21" s="439"/>
      <c r="AC21" s="439"/>
      <c r="AD21" s="439"/>
      <c r="AE21" s="439"/>
      <c r="AF21" s="439"/>
    </row>
    <row r="22" spans="1:32" x14ac:dyDescent="0.2">
      <c r="A22" s="436"/>
      <c r="B22" s="460" t="s">
        <v>204</v>
      </c>
      <c r="C22" s="461">
        <f>IF(AND($I$20=TRUE,OR('Pos. 4'!$AD$10='Sprachen &amp; Rückgabewerte(4)'!$B$10,'Pos. 4'!$AD$10='Sprachen &amp; Rückgabewerte(4)'!$B$11)),1,0)</f>
        <v>0</v>
      </c>
      <c r="D22" s="280" t="s">
        <v>29</v>
      </c>
      <c r="E22" s="316" t="s">
        <v>333</v>
      </c>
      <c r="F22" s="316" t="s">
        <v>332</v>
      </c>
      <c r="G22" s="317" t="s">
        <v>494</v>
      </c>
      <c r="H22" s="436" t="str">
        <f t="shared" si="1"/>
        <v>geforderte Klassen:</v>
      </c>
      <c r="I22" s="445" t="b">
        <v>0</v>
      </c>
      <c r="K22" s="280">
        <v>0</v>
      </c>
      <c r="L22" s="316">
        <v>0</v>
      </c>
      <c r="M22" s="316">
        <v>0</v>
      </c>
      <c r="N22" s="316">
        <v>0</v>
      </c>
      <c r="O22" s="316" t="str">
        <f t="shared" si="2"/>
        <v>Glastyp wählen</v>
      </c>
      <c r="P22" s="317"/>
      <c r="Q22" s="280" t="s">
        <v>249</v>
      </c>
      <c r="R22" s="316">
        <v>0.33</v>
      </c>
      <c r="S22" s="316">
        <v>0.26</v>
      </c>
      <c r="T22" s="316">
        <v>0.51</v>
      </c>
      <c r="U22" s="317" t="s">
        <v>659</v>
      </c>
      <c r="V22" s="280">
        <f t="shared" si="0"/>
        <v>0</v>
      </c>
      <c r="W22" s="316">
        <f t="shared" si="0"/>
        <v>0</v>
      </c>
      <c r="X22" s="316">
        <f t="shared" si="0"/>
        <v>0</v>
      </c>
      <c r="Y22" s="316">
        <f t="shared" si="0"/>
        <v>0</v>
      </c>
      <c r="Z22" s="316" t="str">
        <f t="shared" si="0"/>
        <v>Glastyp wählen</v>
      </c>
      <c r="AA22" s="317"/>
      <c r="AB22" s="439"/>
      <c r="AC22" s="439"/>
      <c r="AD22" s="439"/>
      <c r="AE22" s="439"/>
      <c r="AF22" s="439"/>
    </row>
    <row r="23" spans="1:32" x14ac:dyDescent="0.2">
      <c r="A23" s="370">
        <v>1</v>
      </c>
      <c r="B23" s="460" t="s">
        <v>205</v>
      </c>
      <c r="C23" s="461">
        <f>IF(AND($I$20=TRUE,OR('Pos. 4'!$AH$10='Sprachen &amp; Rückgabewerte(4)'!$B$10,'Pos. 4'!$AH$10='Sprachen &amp; Rückgabewerte(4)'!$B$11)),1,0)</f>
        <v>0</v>
      </c>
      <c r="D23" s="6" t="s">
        <v>119</v>
      </c>
      <c r="E23" s="7" t="s">
        <v>121</v>
      </c>
      <c r="F23" s="7" t="s">
        <v>122</v>
      </c>
      <c r="G23" s="8" t="s">
        <v>344</v>
      </c>
      <c r="H23" s="436" t="str">
        <f t="shared" si="1"/>
        <v>(Schlagregen, Luftdurchlässigkeit)</v>
      </c>
      <c r="I23" s="445"/>
      <c r="K23" s="280">
        <v>0</v>
      </c>
      <c r="L23" s="316">
        <v>0</v>
      </c>
      <c r="M23" s="316">
        <v>0</v>
      </c>
      <c r="N23" s="316">
        <v>0</v>
      </c>
      <c r="O23" s="316" t="str">
        <f t="shared" si="2"/>
        <v>Glastyp wählen</v>
      </c>
      <c r="P23" s="317"/>
      <c r="Q23" s="280">
        <v>0</v>
      </c>
      <c r="R23" s="316">
        <v>0</v>
      </c>
      <c r="S23" s="316">
        <v>0</v>
      </c>
      <c r="T23" s="316">
        <v>0</v>
      </c>
      <c r="U23" s="317" t="str">
        <f t="shared" si="3"/>
        <v>Glastyp wählen</v>
      </c>
      <c r="V23" s="280">
        <f t="shared" si="0"/>
        <v>0</v>
      </c>
      <c r="W23" s="316">
        <f t="shared" si="0"/>
        <v>0</v>
      </c>
      <c r="X23" s="316">
        <f t="shared" si="0"/>
        <v>0</v>
      </c>
      <c r="Y23" s="316">
        <f t="shared" si="0"/>
        <v>0</v>
      </c>
      <c r="Z23" s="316" t="str">
        <f t="shared" si="0"/>
        <v>Glastyp wählen</v>
      </c>
      <c r="AA23" s="317"/>
      <c r="AB23" s="439"/>
      <c r="AC23" s="439"/>
      <c r="AD23" s="439"/>
      <c r="AE23" s="439"/>
      <c r="AF23" s="439"/>
    </row>
    <row r="24" spans="1:32" ht="13.5" thickBot="1" x14ac:dyDescent="0.25">
      <c r="A24" s="466">
        <v>2</v>
      </c>
      <c r="B24" s="460" t="s">
        <v>206</v>
      </c>
      <c r="C24" s="461">
        <f>IF(AND($I$20=TRUE,OR('Pos. 4'!$AL$10='Sprachen &amp; Rückgabewerte(4)'!$B$10,'Pos. 4'!$AL$10='Sprachen &amp; Rückgabewerte(4)'!$B$11)),1,0)</f>
        <v>0</v>
      </c>
      <c r="D24" s="280" t="s">
        <v>111</v>
      </c>
      <c r="E24" s="316" t="s">
        <v>112</v>
      </c>
      <c r="F24" s="316" t="s">
        <v>113</v>
      </c>
      <c r="G24" s="317" t="s">
        <v>114</v>
      </c>
      <c r="H24" s="436" t="str">
        <f t="shared" si="1"/>
        <v>Speziell:</v>
      </c>
      <c r="I24" s="445"/>
      <c r="K24" s="280">
        <v>0</v>
      </c>
      <c r="L24" s="316">
        <v>0</v>
      </c>
      <c r="M24" s="316">
        <v>0</v>
      </c>
      <c r="N24" s="316">
        <v>0</v>
      </c>
      <c r="O24" s="316" t="str">
        <f t="shared" si="2"/>
        <v>Glastyp wählen</v>
      </c>
      <c r="P24" s="317"/>
      <c r="Q24" s="280" t="s">
        <v>660</v>
      </c>
      <c r="R24" s="316">
        <v>0.34</v>
      </c>
      <c r="S24" s="316">
        <v>0.22</v>
      </c>
      <c r="T24" s="316">
        <v>0.43</v>
      </c>
      <c r="U24" s="317" t="s">
        <v>661</v>
      </c>
      <c r="V24" s="280">
        <f t="shared" si="0"/>
        <v>0</v>
      </c>
      <c r="W24" s="316">
        <f t="shared" si="0"/>
        <v>0</v>
      </c>
      <c r="X24" s="316">
        <f t="shared" si="0"/>
        <v>0</v>
      </c>
      <c r="Y24" s="316">
        <f t="shared" si="0"/>
        <v>0</v>
      </c>
      <c r="Z24" s="316" t="str">
        <f t="shared" si="0"/>
        <v>Glastyp wählen</v>
      </c>
      <c r="AA24" s="317"/>
      <c r="AB24" s="439"/>
      <c r="AC24" s="439"/>
      <c r="AD24" s="439"/>
      <c r="AE24" s="439"/>
      <c r="AF24" s="439"/>
    </row>
    <row r="25" spans="1:32" ht="13.5" thickBot="1" x14ac:dyDescent="0.25">
      <c r="B25" s="467" t="s">
        <v>207</v>
      </c>
      <c r="C25" s="464">
        <f>IF(AND($I$20=TRUE,OR('Pos. 4'!$AP$10='Sprachen &amp; Rückgabewerte(4)'!$B$10,'Pos. 4'!$AP$10='Sprachen &amp; Rückgabewerte(4)'!$B$11)),1,0)</f>
        <v>0</v>
      </c>
      <c r="D25" s="280" t="s">
        <v>30</v>
      </c>
      <c r="E25" s="316" t="s">
        <v>30</v>
      </c>
      <c r="F25" s="316" t="s">
        <v>30</v>
      </c>
      <c r="G25" s="317" t="s">
        <v>30</v>
      </c>
      <c r="H25" s="436" t="str">
        <f t="shared" si="1"/>
        <v>Pool</v>
      </c>
      <c r="I25" s="445" t="b">
        <v>0</v>
      </c>
      <c r="K25" s="280">
        <v>0</v>
      </c>
      <c r="L25" s="316">
        <v>0</v>
      </c>
      <c r="M25" s="316">
        <v>0</v>
      </c>
      <c r="N25" s="316">
        <v>0</v>
      </c>
      <c r="O25" s="316" t="str">
        <f t="shared" si="2"/>
        <v>Glastyp wählen</v>
      </c>
      <c r="P25" s="317"/>
      <c r="Q25" s="280" t="s">
        <v>662</v>
      </c>
      <c r="R25" s="316">
        <v>0.33</v>
      </c>
      <c r="S25" s="316">
        <v>0.22</v>
      </c>
      <c r="T25" s="316">
        <v>0.42</v>
      </c>
      <c r="U25" s="317" t="s">
        <v>663</v>
      </c>
      <c r="V25" s="468">
        <f t="shared" si="0"/>
        <v>0</v>
      </c>
      <c r="W25" s="469">
        <f t="shared" si="0"/>
        <v>0</v>
      </c>
      <c r="X25" s="469">
        <f t="shared" si="0"/>
        <v>0</v>
      </c>
      <c r="Y25" s="469">
        <f t="shared" si="0"/>
        <v>0</v>
      </c>
      <c r="Z25" s="469" t="str">
        <f t="shared" si="0"/>
        <v>Glastyp wählen</v>
      </c>
      <c r="AA25" s="470"/>
      <c r="AB25" s="439"/>
      <c r="AC25" s="439"/>
      <c r="AD25" s="439"/>
      <c r="AE25" s="439"/>
      <c r="AF25" s="439"/>
    </row>
    <row r="26" spans="1:32" ht="13.5" thickBot="1" x14ac:dyDescent="0.25">
      <c r="D26" s="280" t="s">
        <v>115</v>
      </c>
      <c r="E26" s="316" t="s">
        <v>120</v>
      </c>
      <c r="F26" s="316" t="s">
        <v>123</v>
      </c>
      <c r="G26" s="317" t="s">
        <v>345</v>
      </c>
      <c r="H26" s="436" t="str">
        <f t="shared" si="1"/>
        <v>Schallschutz</v>
      </c>
      <c r="I26" s="445"/>
      <c r="K26" s="280">
        <v>0</v>
      </c>
      <c r="L26" s="316">
        <v>0</v>
      </c>
      <c r="M26" s="316">
        <v>0</v>
      </c>
      <c r="N26" s="316">
        <v>0</v>
      </c>
      <c r="O26" s="316" t="str">
        <f t="shared" si="2"/>
        <v>Glastyp wählen</v>
      </c>
      <c r="P26" s="317"/>
      <c r="Q26" s="471" t="s">
        <v>664</v>
      </c>
      <c r="R26" s="472">
        <v>0.34</v>
      </c>
      <c r="S26" s="472">
        <v>0.22</v>
      </c>
      <c r="T26" s="472">
        <v>0.43</v>
      </c>
      <c r="U26" s="317" t="s">
        <v>665</v>
      </c>
      <c r="V26" s="280">
        <f t="shared" ref="V26:Z35" si="4">IF($I$125=TRUE,Q26,K26)</f>
        <v>0</v>
      </c>
      <c r="W26" s="316">
        <f t="shared" si="4"/>
        <v>0</v>
      </c>
      <c r="X26" s="316">
        <f t="shared" si="4"/>
        <v>0</v>
      </c>
      <c r="Y26" s="316">
        <f t="shared" si="4"/>
        <v>0</v>
      </c>
      <c r="Z26" s="316" t="str">
        <f t="shared" si="4"/>
        <v>Glastyp wählen</v>
      </c>
      <c r="AA26" s="317"/>
      <c r="AB26" s="439"/>
      <c r="AC26" s="439"/>
      <c r="AD26" s="439"/>
      <c r="AE26" s="439"/>
      <c r="AF26" s="439"/>
    </row>
    <row r="27" spans="1:32" x14ac:dyDescent="0.2">
      <c r="A27" s="56" t="s">
        <v>860</v>
      </c>
      <c r="B27" s="33" t="s">
        <v>208</v>
      </c>
      <c r="C27" s="438"/>
      <c r="D27" s="280" t="s">
        <v>116</v>
      </c>
      <c r="E27" s="316" t="s">
        <v>116</v>
      </c>
      <c r="F27" s="316" t="s">
        <v>116</v>
      </c>
      <c r="G27" s="317" t="s">
        <v>116</v>
      </c>
      <c r="H27" s="436" t="str">
        <f t="shared" si="1"/>
        <v>MINERGIE Modul</v>
      </c>
      <c r="I27" s="445"/>
      <c r="K27" s="280">
        <v>0</v>
      </c>
      <c r="L27" s="316">
        <v>0</v>
      </c>
      <c r="M27" s="316">
        <v>0</v>
      </c>
      <c r="N27" s="316">
        <v>0</v>
      </c>
      <c r="O27" s="316" t="str">
        <f t="shared" si="2"/>
        <v>Glastyp wählen</v>
      </c>
      <c r="P27" s="317"/>
      <c r="Q27" s="471" t="s">
        <v>666</v>
      </c>
      <c r="R27" s="472">
        <v>0.33</v>
      </c>
      <c r="S27" s="472">
        <v>0.22</v>
      </c>
      <c r="T27" s="472">
        <v>0.42</v>
      </c>
      <c r="U27" s="317" t="s">
        <v>667</v>
      </c>
      <c r="V27" s="280">
        <f t="shared" si="4"/>
        <v>0</v>
      </c>
      <c r="W27" s="316">
        <f t="shared" si="4"/>
        <v>0</v>
      </c>
      <c r="X27" s="316">
        <f t="shared" si="4"/>
        <v>0</v>
      </c>
      <c r="Y27" s="316">
        <f t="shared" si="4"/>
        <v>0</v>
      </c>
      <c r="Z27" s="316" t="str">
        <f t="shared" si="4"/>
        <v>Glastyp wählen</v>
      </c>
      <c r="AA27" s="317"/>
      <c r="AB27" s="439"/>
      <c r="AC27" s="439"/>
      <c r="AD27" s="439"/>
      <c r="AE27" s="439"/>
      <c r="AF27" s="439"/>
    </row>
    <row r="28" spans="1:32" x14ac:dyDescent="0.2">
      <c r="A28" s="369"/>
      <c r="B28" s="329" t="s">
        <v>209</v>
      </c>
      <c r="C28" s="362" t="str">
        <f>IF($I$17=TRUE,"P","")</f>
        <v/>
      </c>
      <c r="D28" s="280" t="s">
        <v>117</v>
      </c>
      <c r="E28" s="316" t="s">
        <v>117</v>
      </c>
      <c r="F28" s="316" t="s">
        <v>117</v>
      </c>
      <c r="G28" s="317" t="s">
        <v>117</v>
      </c>
      <c r="H28" s="436" t="str">
        <f t="shared" si="1"/>
        <v>MINERGIE-P Modul</v>
      </c>
      <c r="I28" s="445"/>
      <c r="K28" s="280">
        <v>0</v>
      </c>
      <c r="L28" s="316">
        <v>0</v>
      </c>
      <c r="M28" s="316">
        <v>0</v>
      </c>
      <c r="N28" s="316">
        <v>0</v>
      </c>
      <c r="O28" s="316" t="str">
        <f t="shared" si="2"/>
        <v>Glastyp wählen</v>
      </c>
      <c r="P28" s="317"/>
      <c r="Q28" s="471" t="s">
        <v>668</v>
      </c>
      <c r="R28" s="472">
        <v>0.33</v>
      </c>
      <c r="S28" s="472">
        <v>0.22</v>
      </c>
      <c r="T28" s="472">
        <v>0.42</v>
      </c>
      <c r="U28" s="317" t="s">
        <v>669</v>
      </c>
      <c r="V28" s="280">
        <f t="shared" si="4"/>
        <v>0</v>
      </c>
      <c r="W28" s="316">
        <f t="shared" si="4"/>
        <v>0</v>
      </c>
      <c r="X28" s="316">
        <f t="shared" si="4"/>
        <v>0</v>
      </c>
      <c r="Y28" s="316">
        <f t="shared" si="4"/>
        <v>0</v>
      </c>
      <c r="Z28" s="316" t="str">
        <f t="shared" si="4"/>
        <v>Glastyp wählen</v>
      </c>
      <c r="AA28" s="317"/>
      <c r="AB28" s="439"/>
      <c r="AC28" s="439"/>
      <c r="AD28" s="439"/>
      <c r="AE28" s="439"/>
      <c r="AF28" s="439"/>
    </row>
    <row r="29" spans="1:32" x14ac:dyDescent="0.2">
      <c r="A29" s="370" t="s">
        <v>862</v>
      </c>
      <c r="B29" s="280" t="s">
        <v>210</v>
      </c>
      <c r="C29" s="461" t="str">
        <f>IF($I$18=TRUE,"R","")</f>
        <v/>
      </c>
      <c r="D29" s="280" t="s">
        <v>118</v>
      </c>
      <c r="E29" s="316" t="s">
        <v>118</v>
      </c>
      <c r="F29" s="316" t="s">
        <v>118</v>
      </c>
      <c r="G29" s="317" t="s">
        <v>118</v>
      </c>
      <c r="H29" s="436" t="str">
        <f t="shared" si="1"/>
        <v>Gun</v>
      </c>
      <c r="I29" s="445"/>
      <c r="K29" s="280">
        <v>0</v>
      </c>
      <c r="L29" s="316">
        <v>0</v>
      </c>
      <c r="M29" s="316">
        <v>0</v>
      </c>
      <c r="N29" s="316">
        <v>0</v>
      </c>
      <c r="O29" s="316" t="str">
        <f t="shared" si="2"/>
        <v>Glastyp wählen</v>
      </c>
      <c r="P29" s="317"/>
      <c r="Q29" s="471" t="s">
        <v>670</v>
      </c>
      <c r="R29" s="472">
        <v>0.33</v>
      </c>
      <c r="S29" s="472">
        <v>0.22</v>
      </c>
      <c r="T29" s="472">
        <v>0.42</v>
      </c>
      <c r="U29" s="317" t="s">
        <v>671</v>
      </c>
      <c r="V29" s="280">
        <f t="shared" si="4"/>
        <v>0</v>
      </c>
      <c r="W29" s="316">
        <f t="shared" si="4"/>
        <v>0</v>
      </c>
      <c r="X29" s="316">
        <f t="shared" si="4"/>
        <v>0</v>
      </c>
      <c r="Y29" s="316">
        <f t="shared" si="4"/>
        <v>0</v>
      </c>
      <c r="Z29" s="316" t="str">
        <f t="shared" si="4"/>
        <v>Glastyp wählen</v>
      </c>
      <c r="AA29" s="317"/>
      <c r="AB29" s="439"/>
      <c r="AC29" s="439"/>
      <c r="AD29" s="439"/>
      <c r="AE29" s="439"/>
      <c r="AF29" s="439"/>
    </row>
    <row r="30" spans="1:32" ht="13.5" thickBot="1" x14ac:dyDescent="0.25">
      <c r="A30" s="371" t="s">
        <v>861</v>
      </c>
      <c r="B30" s="467" t="s">
        <v>211</v>
      </c>
      <c r="C30" s="464" t="str">
        <f>IF($I$19=TRUE,"G","")</f>
        <v/>
      </c>
      <c r="D30" s="280" t="s">
        <v>31</v>
      </c>
      <c r="E30" s="316" t="s">
        <v>32</v>
      </c>
      <c r="F30" s="316" t="s">
        <v>33</v>
      </c>
      <c r="G30" s="317" t="s">
        <v>686</v>
      </c>
      <c r="H30" s="436" t="str">
        <f t="shared" si="1"/>
        <v>nach rechts</v>
      </c>
      <c r="I30" s="445" t="b">
        <v>0</v>
      </c>
      <c r="K30" s="280">
        <v>0</v>
      </c>
      <c r="L30" s="316">
        <v>0</v>
      </c>
      <c r="M30" s="316">
        <v>0</v>
      </c>
      <c r="N30" s="316">
        <v>0</v>
      </c>
      <c r="O30" s="316" t="str">
        <f t="shared" si="2"/>
        <v>Glastyp wählen</v>
      </c>
      <c r="P30" s="317"/>
      <c r="Q30" s="280">
        <v>0</v>
      </c>
      <c r="R30" s="316">
        <v>0</v>
      </c>
      <c r="S30" s="316">
        <v>0</v>
      </c>
      <c r="T30" s="316">
        <v>0</v>
      </c>
      <c r="U30" s="317" t="str">
        <f t="shared" ref="U30" si="5">$H$54</f>
        <v>Glastyp wählen</v>
      </c>
      <c r="V30" s="280">
        <f t="shared" si="4"/>
        <v>0</v>
      </c>
      <c r="W30" s="316">
        <f t="shared" si="4"/>
        <v>0</v>
      </c>
      <c r="X30" s="316">
        <f t="shared" si="4"/>
        <v>0</v>
      </c>
      <c r="Y30" s="316">
        <f t="shared" si="4"/>
        <v>0</v>
      </c>
      <c r="Z30" s="316" t="str">
        <f t="shared" si="4"/>
        <v>Glastyp wählen</v>
      </c>
      <c r="AA30" s="317"/>
      <c r="AB30" s="439"/>
      <c r="AC30" s="439"/>
      <c r="AD30" s="439"/>
      <c r="AE30" s="439"/>
      <c r="AF30" s="439"/>
    </row>
    <row r="31" spans="1:32" ht="13.5" thickBot="1" x14ac:dyDescent="0.25">
      <c r="B31" s="439"/>
      <c r="C31" s="473"/>
      <c r="D31" s="460" t="s">
        <v>34</v>
      </c>
      <c r="E31" s="316" t="s">
        <v>35</v>
      </c>
      <c r="F31" s="316" t="s">
        <v>36</v>
      </c>
      <c r="G31" s="317" t="s">
        <v>687</v>
      </c>
      <c r="H31" s="436" t="str">
        <f t="shared" si="1"/>
        <v>nach links</v>
      </c>
      <c r="I31" s="445" t="b">
        <v>0</v>
      </c>
      <c r="K31" s="280">
        <v>0</v>
      </c>
      <c r="L31" s="316">
        <v>0</v>
      </c>
      <c r="M31" s="316">
        <v>0</v>
      </c>
      <c r="N31" s="316">
        <v>0</v>
      </c>
      <c r="O31" s="316" t="str">
        <f t="shared" si="2"/>
        <v>Glastyp wählen</v>
      </c>
      <c r="P31" s="317"/>
      <c r="Q31" s="471" t="s">
        <v>672</v>
      </c>
      <c r="R31" s="472">
        <v>0.33</v>
      </c>
      <c r="S31" s="472">
        <v>0.46</v>
      </c>
      <c r="T31" s="472">
        <v>0.66</v>
      </c>
      <c r="U31" s="317" t="s">
        <v>676</v>
      </c>
      <c r="V31" s="280">
        <f t="shared" si="4"/>
        <v>0</v>
      </c>
      <c r="W31" s="316">
        <f t="shared" si="4"/>
        <v>0</v>
      </c>
      <c r="X31" s="316">
        <f t="shared" si="4"/>
        <v>0</v>
      </c>
      <c r="Y31" s="316">
        <f t="shared" si="4"/>
        <v>0</v>
      </c>
      <c r="Z31" s="316" t="str">
        <f t="shared" si="4"/>
        <v>Glastyp wählen</v>
      </c>
      <c r="AA31" s="317"/>
      <c r="AB31" s="439"/>
      <c r="AC31" s="439"/>
      <c r="AD31" s="439"/>
      <c r="AE31" s="439"/>
      <c r="AF31" s="439"/>
    </row>
    <row r="32" spans="1:32" x14ac:dyDescent="0.2">
      <c r="B32" s="33" t="s">
        <v>217</v>
      </c>
      <c r="C32" s="33"/>
      <c r="D32" s="460" t="s">
        <v>37</v>
      </c>
      <c r="E32" s="316" t="s">
        <v>38</v>
      </c>
      <c r="F32" s="316" t="s">
        <v>39</v>
      </c>
      <c r="G32" s="317" t="s">
        <v>129</v>
      </c>
      <c r="H32" s="436" t="str">
        <f t="shared" si="1"/>
        <v>Breite =</v>
      </c>
      <c r="I32" s="445"/>
      <c r="K32" s="280">
        <v>0</v>
      </c>
      <c r="L32" s="316">
        <v>0</v>
      </c>
      <c r="M32" s="316">
        <v>0</v>
      </c>
      <c r="N32" s="316">
        <v>0</v>
      </c>
      <c r="O32" s="316" t="str">
        <f t="shared" si="2"/>
        <v>Glastyp wählen</v>
      </c>
      <c r="P32" s="317"/>
      <c r="Q32" s="471" t="s">
        <v>673</v>
      </c>
      <c r="R32" s="472">
        <v>0.32</v>
      </c>
      <c r="S32" s="472">
        <v>0.39</v>
      </c>
      <c r="T32" s="472">
        <v>0.57999999999999996</v>
      </c>
      <c r="U32" s="317" t="s">
        <v>677</v>
      </c>
      <c r="V32" s="280">
        <f t="shared" si="4"/>
        <v>0</v>
      </c>
      <c r="W32" s="316">
        <f t="shared" si="4"/>
        <v>0</v>
      </c>
      <c r="X32" s="316">
        <f t="shared" si="4"/>
        <v>0</v>
      </c>
      <c r="Y32" s="316">
        <f t="shared" si="4"/>
        <v>0</v>
      </c>
      <c r="Z32" s="316" t="str">
        <f t="shared" si="4"/>
        <v>Glastyp wählen</v>
      </c>
      <c r="AA32" s="317"/>
      <c r="AB32" s="439"/>
      <c r="AC32" s="439"/>
      <c r="AD32" s="439"/>
      <c r="AE32" s="439"/>
      <c r="AF32" s="439"/>
    </row>
    <row r="33" spans="1:32" x14ac:dyDescent="0.2">
      <c r="B33" s="329"/>
      <c r="C33" s="446"/>
      <c r="D33" s="280" t="s">
        <v>132</v>
      </c>
      <c r="E33" s="316" t="s">
        <v>131</v>
      </c>
      <c r="F33" s="316" t="s">
        <v>40</v>
      </c>
      <c r="G33" s="317" t="s">
        <v>130</v>
      </c>
      <c r="H33" s="436" t="str">
        <f t="shared" si="1"/>
        <v>Griffhöhe:</v>
      </c>
      <c r="I33" s="445"/>
      <c r="K33" s="280">
        <v>0</v>
      </c>
      <c r="L33" s="316">
        <v>0</v>
      </c>
      <c r="M33" s="316">
        <v>0</v>
      </c>
      <c r="N33" s="316">
        <v>0</v>
      </c>
      <c r="O33" s="316" t="str">
        <f t="shared" si="2"/>
        <v>Glastyp wählen</v>
      </c>
      <c r="P33" s="317"/>
      <c r="Q33" s="471" t="s">
        <v>674</v>
      </c>
      <c r="R33" s="472">
        <v>0.32</v>
      </c>
      <c r="S33" s="472">
        <v>0.26</v>
      </c>
      <c r="T33" s="472">
        <v>0.52</v>
      </c>
      <c r="U33" s="317" t="s">
        <v>675</v>
      </c>
      <c r="V33" s="280">
        <f t="shared" si="4"/>
        <v>0</v>
      </c>
      <c r="W33" s="316">
        <f t="shared" si="4"/>
        <v>0</v>
      </c>
      <c r="X33" s="316">
        <f t="shared" si="4"/>
        <v>0</v>
      </c>
      <c r="Y33" s="316">
        <f t="shared" si="4"/>
        <v>0</v>
      </c>
      <c r="Z33" s="316" t="str">
        <f t="shared" si="4"/>
        <v>Glastyp wählen</v>
      </c>
      <c r="AA33" s="317"/>
      <c r="AB33" s="439"/>
      <c r="AC33" s="439"/>
      <c r="AD33" s="439"/>
      <c r="AE33" s="439"/>
      <c r="AF33" s="439"/>
    </row>
    <row r="34" spans="1:32" ht="13.5" thickBot="1" x14ac:dyDescent="0.25">
      <c r="B34" s="474" t="s">
        <v>218</v>
      </c>
      <c r="C34" s="475"/>
      <c r="D34" s="280" t="s">
        <v>41</v>
      </c>
      <c r="E34" s="316" t="s">
        <v>42</v>
      </c>
      <c r="F34" s="316" t="s">
        <v>43</v>
      </c>
      <c r="G34" s="317" t="s">
        <v>133</v>
      </c>
      <c r="H34" s="436" t="str">
        <f t="shared" si="1"/>
        <v xml:space="preserve">Höhe = </v>
      </c>
      <c r="I34" s="445"/>
      <c r="K34" s="280">
        <v>0</v>
      </c>
      <c r="L34" s="316">
        <v>0</v>
      </c>
      <c r="M34" s="316">
        <v>0</v>
      </c>
      <c r="N34" s="316">
        <v>0</v>
      </c>
      <c r="O34" s="316" t="str">
        <f t="shared" si="2"/>
        <v>Glastyp wählen</v>
      </c>
      <c r="P34" s="228"/>
      <c r="Q34" s="280">
        <v>0</v>
      </c>
      <c r="R34" s="316">
        <v>0</v>
      </c>
      <c r="S34" s="316">
        <v>0</v>
      </c>
      <c r="T34" s="316">
        <v>0</v>
      </c>
      <c r="U34" s="317" t="str">
        <f t="shared" ref="U34" si="6">$H$54</f>
        <v>Glastyp wählen</v>
      </c>
      <c r="V34" s="280">
        <f t="shared" si="4"/>
        <v>0</v>
      </c>
      <c r="W34" s="316">
        <f t="shared" si="4"/>
        <v>0</v>
      </c>
      <c r="X34" s="316">
        <f t="shared" si="4"/>
        <v>0</v>
      </c>
      <c r="Y34" s="316">
        <f t="shared" si="4"/>
        <v>0</v>
      </c>
      <c r="Z34" s="316" t="str">
        <f t="shared" si="4"/>
        <v>Glastyp wählen</v>
      </c>
      <c r="AA34" s="317"/>
      <c r="AB34" s="439"/>
      <c r="AC34" s="439"/>
      <c r="AD34" s="439"/>
      <c r="AE34" s="439"/>
      <c r="AF34" s="439"/>
    </row>
    <row r="35" spans="1:32" ht="13.5" thickBot="1" x14ac:dyDescent="0.25">
      <c r="D35" s="280" t="s">
        <v>44</v>
      </c>
      <c r="E35" s="316" t="s">
        <v>45</v>
      </c>
      <c r="F35" s="316" t="s">
        <v>45</v>
      </c>
      <c r="G35" s="317" t="s">
        <v>134</v>
      </c>
      <c r="H35" s="436" t="str">
        <f t="shared" si="1"/>
        <v>Oberfläche:</v>
      </c>
      <c r="I35" s="445"/>
      <c r="K35" s="467">
        <v>0</v>
      </c>
      <c r="L35" s="476">
        <v>0</v>
      </c>
      <c r="M35" s="476">
        <v>0</v>
      </c>
      <c r="N35" s="476">
        <v>0</v>
      </c>
      <c r="O35" s="476" t="str">
        <f t="shared" si="2"/>
        <v>Glastyp wählen</v>
      </c>
      <c r="P35" s="475"/>
      <c r="Q35" s="477" t="s">
        <v>678</v>
      </c>
      <c r="R35" s="478">
        <v>0.32</v>
      </c>
      <c r="S35" s="478">
        <v>0.22</v>
      </c>
      <c r="T35" s="478">
        <v>0.42</v>
      </c>
      <c r="U35" s="475" t="s">
        <v>679</v>
      </c>
      <c r="V35" s="467">
        <f t="shared" si="4"/>
        <v>0</v>
      </c>
      <c r="W35" s="476">
        <f t="shared" si="4"/>
        <v>0</v>
      </c>
      <c r="X35" s="476">
        <f t="shared" si="4"/>
        <v>0</v>
      </c>
      <c r="Y35" s="476">
        <f t="shared" si="4"/>
        <v>0</v>
      </c>
      <c r="Z35" s="476" t="str">
        <f t="shared" si="4"/>
        <v>Glastyp wählen</v>
      </c>
      <c r="AA35" s="475"/>
      <c r="AB35" s="439"/>
      <c r="AC35" s="439"/>
      <c r="AD35" s="439"/>
      <c r="AE35" s="439"/>
      <c r="AF35" s="439"/>
    </row>
    <row r="36" spans="1:32" x14ac:dyDescent="0.2">
      <c r="B36" s="33" t="s">
        <v>219</v>
      </c>
      <c r="C36" s="33"/>
      <c r="D36" s="280" t="s">
        <v>46</v>
      </c>
      <c r="E36" s="316" t="s">
        <v>47</v>
      </c>
      <c r="F36" s="316" t="s">
        <v>136</v>
      </c>
      <c r="G36" s="317" t="s">
        <v>135</v>
      </c>
      <c r="H36" s="436" t="str">
        <f t="shared" si="1"/>
        <v>eloxiert (Qualanod):</v>
      </c>
      <c r="I36" s="445" t="b">
        <v>0</v>
      </c>
      <c r="AB36" s="439"/>
      <c r="AC36" s="439"/>
      <c r="AD36" s="439"/>
      <c r="AE36" s="439"/>
      <c r="AF36" s="439"/>
    </row>
    <row r="37" spans="1:32" x14ac:dyDescent="0.2">
      <c r="B37" s="329" t="s">
        <v>221</v>
      </c>
      <c r="C37" s="446" t="b">
        <v>1</v>
      </c>
      <c r="D37" s="280" t="s">
        <v>48</v>
      </c>
      <c r="E37" s="316" t="s">
        <v>137</v>
      </c>
      <c r="F37" s="316" t="s">
        <v>137</v>
      </c>
      <c r="G37" s="317" t="s">
        <v>137</v>
      </c>
      <c r="H37" s="436" t="str">
        <f t="shared" si="1"/>
        <v>20 my (Standard)</v>
      </c>
      <c r="I37" s="445"/>
    </row>
    <row r="38" spans="1:32" x14ac:dyDescent="0.2">
      <c r="B38" s="280" t="s">
        <v>220</v>
      </c>
      <c r="C38" s="317" t="b">
        <v>1</v>
      </c>
      <c r="D38" s="280" t="s">
        <v>49</v>
      </c>
      <c r="E38" s="316" t="s">
        <v>50</v>
      </c>
      <c r="F38" s="316" t="s">
        <v>51</v>
      </c>
      <c r="G38" s="317" t="s">
        <v>346</v>
      </c>
      <c r="H38" s="436" t="str">
        <f t="shared" si="1"/>
        <v>25 my (Pool/Meer)</v>
      </c>
      <c r="I38" s="445"/>
    </row>
    <row r="39" spans="1:32" ht="13.5" thickBot="1" x14ac:dyDescent="0.25">
      <c r="B39" s="280" t="s">
        <v>222</v>
      </c>
      <c r="C39" s="317" t="b">
        <v>0</v>
      </c>
      <c r="D39" s="280" t="s">
        <v>369</v>
      </c>
      <c r="E39" s="316" t="s">
        <v>370</v>
      </c>
      <c r="F39" s="316" t="s">
        <v>371</v>
      </c>
      <c r="G39" s="317" t="s">
        <v>372</v>
      </c>
      <c r="H39" s="436" t="str">
        <f t="shared" si="1"/>
        <v>pulverbeschichtet:</v>
      </c>
      <c r="I39" s="445" t="b">
        <v>0</v>
      </c>
    </row>
    <row r="40" spans="1:32" x14ac:dyDescent="0.2">
      <c r="A40" s="281" t="s">
        <v>744</v>
      </c>
      <c r="B40" s="280" t="s">
        <v>223</v>
      </c>
      <c r="C40" s="317" t="b">
        <v>0</v>
      </c>
      <c r="D40" s="280" t="s">
        <v>850</v>
      </c>
      <c r="E40" s="316" t="s">
        <v>851</v>
      </c>
      <c r="F40" s="316" t="s">
        <v>852</v>
      </c>
      <c r="G40" s="317" t="s">
        <v>858</v>
      </c>
      <c r="H40" s="436" t="str">
        <f t="shared" si="1"/>
        <v>Vorbehandlung:</v>
      </c>
      <c r="I40" s="445"/>
      <c r="K40" s="56" t="s">
        <v>454</v>
      </c>
      <c r="L40" s="437"/>
      <c r="M40" s="438"/>
      <c r="N40" s="534" t="s">
        <v>606</v>
      </c>
      <c r="O40" s="535"/>
      <c r="P40" s="536"/>
      <c r="Q40" s="56" t="s">
        <v>309</v>
      </c>
      <c r="R40" s="56" t="s">
        <v>514</v>
      </c>
      <c r="S40" s="56" t="s">
        <v>518</v>
      </c>
      <c r="U40" s="33" t="s">
        <v>742</v>
      </c>
      <c r="V40" s="34"/>
    </row>
    <row r="41" spans="1:32" x14ac:dyDescent="0.2">
      <c r="A41" s="459" t="b">
        <f>IF(C41=FALSE,TRUE,(IF(AND(C41=TRUE,'Pos. 4'!F72=""),FALSE,TRUE)))</f>
        <v>1</v>
      </c>
      <c r="B41" s="280" t="s">
        <v>376</v>
      </c>
      <c r="C41" s="317" t="b">
        <v>0</v>
      </c>
      <c r="D41" s="367" t="s">
        <v>52</v>
      </c>
      <c r="E41" s="368" t="s">
        <v>53</v>
      </c>
      <c r="F41" s="368" t="s">
        <v>54</v>
      </c>
      <c r="G41" s="366" t="s">
        <v>138</v>
      </c>
      <c r="H41" s="436" t="str">
        <f t="shared" si="1"/>
        <v>+Voranodisieren</v>
      </c>
      <c r="I41" s="445"/>
      <c r="K41" s="479" t="s">
        <v>455</v>
      </c>
      <c r="L41" s="283">
        <f>IF(OR($I$5=TRUE,$I$6=TRUE),1,0)</f>
        <v>0</v>
      </c>
      <c r="M41" s="480"/>
      <c r="N41" s="192" t="str">
        <f>CONCATENATE("Pos. ",'Pos. 4'!$B$2,".1")</f>
        <v>Pos. 4.1</v>
      </c>
      <c r="O41" s="193" t="b">
        <f>IF(AND('Pos. 4'!AW32&lt;&gt;"",'Pos. 4'!AX32&lt;&gt;""),TRUE,FALSE)</f>
        <v>0</v>
      </c>
      <c r="P41" s="194"/>
      <c r="Q41" s="369"/>
      <c r="R41" s="369"/>
      <c r="S41" s="279">
        <f>COUNTA('Pos. 4'!G20:AP20)</f>
        <v>0</v>
      </c>
      <c r="U41" s="481" t="b">
        <f>IF(L41=0,FALSE,TRUE)</f>
        <v>0</v>
      </c>
      <c r="V41" s="482">
        <f>IF(U41=FALSE,1,0)</f>
        <v>1</v>
      </c>
    </row>
    <row r="42" spans="1:32" x14ac:dyDescent="0.2">
      <c r="A42" s="436" t="b">
        <f>IF(C42=FALSE,TRUE,(IF(AND(C42=TRUE,'Pos. 4'!L72=""),FALSE,TRUE)))</f>
        <v>1</v>
      </c>
      <c r="B42" s="280" t="s">
        <v>377</v>
      </c>
      <c r="C42" s="317" t="b">
        <v>0</v>
      </c>
      <c r="D42" s="280" t="s">
        <v>55</v>
      </c>
      <c r="E42" s="316" t="s">
        <v>56</v>
      </c>
      <c r="F42" s="316" t="s">
        <v>57</v>
      </c>
      <c r="G42" s="317" t="s">
        <v>139</v>
      </c>
      <c r="H42" s="436" t="str">
        <f t="shared" si="1"/>
        <v>Glas-Typ: SG = "Sky-Glass"</v>
      </c>
      <c r="I42" s="445"/>
      <c r="K42" s="310" t="s">
        <v>456</v>
      </c>
      <c r="L42" s="286">
        <f>IF(AND('Pos. 4'!$Y$5&lt;&gt;"",'Pos. 4'!$Y$7&lt;&gt;"",'Pos. 4'!$Y$6&lt;&gt;""),1,0)</f>
        <v>0</v>
      </c>
      <c r="M42" s="483"/>
      <c r="N42" s="192" t="str">
        <f>CONCATENATE("Pos. ",'Pos. 4'!$B$2,".2")</f>
        <v>Pos. 4.2</v>
      </c>
      <c r="O42" s="193" t="b">
        <f>IF(AND('Pos. 4'!AW33&lt;&gt;"",'Pos. 4'!AX33&lt;&gt;""),TRUE,FALSE)</f>
        <v>0</v>
      </c>
      <c r="P42" s="196"/>
      <c r="Q42" s="484">
        <v>1</v>
      </c>
      <c r="R42" s="485" t="s">
        <v>512</v>
      </c>
      <c r="U42" s="310" t="b">
        <f t="shared" ref="U42:U47" si="7">IF(L42=0,FALSE,TRUE)</f>
        <v>0</v>
      </c>
      <c r="V42" s="486">
        <f t="shared" ref="V42:V79" si="8">IF(U42=FALSE,1,0)</f>
        <v>1</v>
      </c>
    </row>
    <row r="43" spans="1:32" x14ac:dyDescent="0.2">
      <c r="A43" s="436" t="b">
        <f>IF(C43=FALSE,TRUE,(IF(AND(C43=TRUE,'Pos. 4'!R72=""),FALSE,TRUE)))</f>
        <v>1</v>
      </c>
      <c r="B43" s="280" t="s">
        <v>378</v>
      </c>
      <c r="C43" s="317" t="b">
        <v>0</v>
      </c>
      <c r="D43" s="280" t="s">
        <v>58</v>
      </c>
      <c r="E43" s="316" t="s">
        <v>59</v>
      </c>
      <c r="F43" s="316" t="s">
        <v>60</v>
      </c>
      <c r="G43" s="317" t="s">
        <v>140</v>
      </c>
      <c r="H43" s="436" t="str">
        <f t="shared" si="1"/>
        <v>Swisspacer-U schwarz</v>
      </c>
      <c r="I43" s="445" t="b">
        <v>0</v>
      </c>
      <c r="K43" s="310" t="s">
        <v>457</v>
      </c>
      <c r="L43" s="286">
        <f>IF(AND('Pos. 4'!$AJ$5&lt;&gt;"",'Pos. 4'!$AJ$6&lt;&gt;"",'Pos. 4'!$AJ$7&lt;&gt;""),1,0)</f>
        <v>0</v>
      </c>
      <c r="M43" s="483"/>
      <c r="N43" s="192" t="str">
        <f>CONCATENATE("Pos. ",'Pos. 4'!$B$2,".3")</f>
        <v>Pos. 4.3</v>
      </c>
      <c r="O43" s="193" t="b">
        <f>IF(AND('Pos. 4'!AW34&lt;&gt;"",'Pos. 4'!AX34&lt;&gt;""),TRUE,FALSE)</f>
        <v>0</v>
      </c>
      <c r="P43" s="196"/>
      <c r="Q43" s="370">
        <v>2</v>
      </c>
      <c r="R43" s="485" t="s">
        <v>513</v>
      </c>
      <c r="U43" s="310" t="b">
        <f t="shared" si="7"/>
        <v>0</v>
      </c>
      <c r="V43" s="486">
        <f t="shared" si="8"/>
        <v>1</v>
      </c>
    </row>
    <row r="44" spans="1:32" x14ac:dyDescent="0.2">
      <c r="A44" s="436" t="b">
        <f>IF(C44=FALSE,TRUE,(IF(AND(C44=TRUE,'Pos. 4'!X72=""),FALSE,TRUE)))</f>
        <v>1</v>
      </c>
      <c r="B44" s="280" t="str">
        <f>IF('Pos. 4'!AB62="","121101/121101","121401/121401")</f>
        <v>121101/121101</v>
      </c>
      <c r="C44" s="317" t="b">
        <v>0</v>
      </c>
      <c r="D44" s="280" t="s">
        <v>61</v>
      </c>
      <c r="E44" s="316" t="s">
        <v>62</v>
      </c>
      <c r="F44" s="316" t="s">
        <v>63</v>
      </c>
      <c r="G44" s="317" t="s">
        <v>141</v>
      </c>
      <c r="H44" s="436" t="str">
        <f t="shared" si="1"/>
        <v>Swisspacer-U grau</v>
      </c>
      <c r="I44" s="445" t="b">
        <v>0</v>
      </c>
      <c r="K44" s="310" t="s">
        <v>458</v>
      </c>
      <c r="L44" s="286">
        <f>IF(OR($I$10=TRUE,$I$11=TRUE,$I$12=TRUE),1,0)</f>
        <v>0</v>
      </c>
      <c r="M44" s="483"/>
      <c r="N44" s="192" t="str">
        <f>CONCATENATE("Pos. ",'Pos. 4'!$B$2,".4")</f>
        <v>Pos. 4.4</v>
      </c>
      <c r="O44" s="193" t="b">
        <f>IF(AND('Pos. 4'!AW35&lt;&gt;"",'Pos. 4'!AX35&lt;&gt;""),TRUE,FALSE)</f>
        <v>0</v>
      </c>
      <c r="P44" s="196"/>
      <c r="Q44" s="370">
        <v>3</v>
      </c>
      <c r="U44" s="310" t="b">
        <f t="shared" si="7"/>
        <v>0</v>
      </c>
      <c r="V44" s="486">
        <f t="shared" si="8"/>
        <v>1</v>
      </c>
    </row>
    <row r="45" spans="1:32" x14ac:dyDescent="0.2">
      <c r="A45" s="436" t="b">
        <f>IF(C45=FALSE,TRUE,(IF(AND(C45=TRUE,'Pos. 4'!H85=""),FALSE,TRUE)))</f>
        <v>1</v>
      </c>
      <c r="B45" s="280" t="s">
        <v>393</v>
      </c>
      <c r="C45" s="317" t="b">
        <v>0</v>
      </c>
      <c r="D45" s="280" t="s">
        <v>111</v>
      </c>
      <c r="E45" s="316" t="s">
        <v>112</v>
      </c>
      <c r="F45" s="316" t="s">
        <v>113</v>
      </c>
      <c r="G45" s="317" t="s">
        <v>114</v>
      </c>
      <c r="H45" s="436" t="str">
        <f t="shared" si="1"/>
        <v>Speziell:</v>
      </c>
      <c r="I45" s="445" t="b">
        <v>0</v>
      </c>
      <c r="K45" s="310" t="s">
        <v>459</v>
      </c>
      <c r="L45" s="286">
        <f>IF(AND('Pos. 4'!$F$10&lt;&gt;"",OR('Pos. 4'!$E$23&lt;&gt;"",'Pos. 4'!$E$24&lt;&gt;"",'Pos. 4'!$E$25&lt;&gt;"",'Pos. 4'!$E$26&lt;&gt;"")),1,0)</f>
        <v>0</v>
      </c>
      <c r="M45" s="483"/>
      <c r="N45" s="192" t="str">
        <f>CONCATENATE("Pos. ",'Pos. 4'!$B$2,".5")</f>
        <v>Pos. 4.5</v>
      </c>
      <c r="O45" s="193" t="b">
        <f>IF(AND('Pos. 4'!AW36&lt;&gt;"",'Pos. 4'!AX36&lt;&gt;""),TRUE,FALSE)</f>
        <v>0</v>
      </c>
      <c r="P45" s="196"/>
      <c r="Q45" s="370">
        <v>4</v>
      </c>
      <c r="U45" s="310" t="b">
        <f t="shared" si="7"/>
        <v>0</v>
      </c>
      <c r="V45" s="486">
        <f t="shared" si="8"/>
        <v>1</v>
      </c>
    </row>
    <row r="46" spans="1:32" x14ac:dyDescent="0.2">
      <c r="A46" s="436" t="b">
        <f>IF(C46=FALSE,TRUE,(IF(AND(C46=TRUE,'Pos. 4'!O85=""),FALSE,TRUE)))</f>
        <v>1</v>
      </c>
      <c r="B46" s="280" t="s">
        <v>394</v>
      </c>
      <c r="C46" s="317" t="b">
        <v>0</v>
      </c>
      <c r="D46" s="280" t="s">
        <v>64</v>
      </c>
      <c r="E46" s="316" t="s">
        <v>65</v>
      </c>
      <c r="F46" s="316" t="s">
        <v>66</v>
      </c>
      <c r="G46" s="317" t="s">
        <v>142</v>
      </c>
      <c r="H46" s="436" t="str">
        <f t="shared" si="1"/>
        <v>Statik:</v>
      </c>
      <c r="I46" s="445"/>
      <c r="K46" s="310" t="s">
        <v>460</v>
      </c>
      <c r="L46" s="286">
        <f>IF(AND($I$13=TRUE,'Pos. 4'!$E$28=""),0,1)</f>
        <v>1</v>
      </c>
      <c r="M46" s="483"/>
      <c r="N46" s="192" t="str">
        <f>CONCATENATE("Pos. ",'Pos. 4'!$B$2,".6")</f>
        <v>Pos. 4.6</v>
      </c>
      <c r="O46" s="193" t="b">
        <f>IF(AND('Pos. 4'!AW37&lt;&gt;"",'Pos. 4'!AX37&lt;&gt;""),TRUE,FALSE)</f>
        <v>0</v>
      </c>
      <c r="P46" s="196"/>
      <c r="Q46" s="370">
        <v>5</v>
      </c>
      <c r="U46" s="310" t="b">
        <f t="shared" si="7"/>
        <v>1</v>
      </c>
      <c r="V46" s="486">
        <f t="shared" si="8"/>
        <v>0</v>
      </c>
    </row>
    <row r="47" spans="1:32" x14ac:dyDescent="0.2">
      <c r="A47" s="436" t="b">
        <f>IF(C47=FALSE,TRUE,(IF(AND(C47=TRUE,'Pos. 4'!V85=""),FALSE,TRUE)))</f>
        <v>1</v>
      </c>
      <c r="B47" s="280" t="str">
        <f>IF('Pos. 4'!AB73="","322301/322301","400419/400419")</f>
        <v>322301/322301</v>
      </c>
      <c r="C47" s="317" t="b">
        <v>0</v>
      </c>
      <c r="D47" s="280" t="s">
        <v>67</v>
      </c>
      <c r="E47" s="316" t="s">
        <v>68</v>
      </c>
      <c r="F47" s="316" t="s">
        <v>69</v>
      </c>
      <c r="G47" s="317" t="s">
        <v>347</v>
      </c>
      <c r="H47" s="436" t="str">
        <f t="shared" si="1"/>
        <v>Windlast:</v>
      </c>
      <c r="I47" s="445"/>
      <c r="K47" s="310" t="s">
        <v>461</v>
      </c>
      <c r="L47" s="288">
        <f>IF(AND($I$13=FALSE,$I$14=FALSE),0,1)</f>
        <v>0</v>
      </c>
      <c r="M47" s="483"/>
      <c r="N47" s="192" t="str">
        <f>CONCATENATE("Pos. ",'Pos. 4'!$B$2,".7")</f>
        <v>Pos. 4.7</v>
      </c>
      <c r="O47" s="193" t="b">
        <f>IF(AND('Pos. 4'!AW38&lt;&gt;"",'Pos. 4'!AX38&lt;&gt;""),TRUE,FALSE)</f>
        <v>0</v>
      </c>
      <c r="P47" s="196"/>
      <c r="Q47" s="370">
        <v>6</v>
      </c>
      <c r="U47" s="310" t="b">
        <f t="shared" si="7"/>
        <v>0</v>
      </c>
      <c r="V47" s="486">
        <f t="shared" si="8"/>
        <v>1</v>
      </c>
    </row>
    <row r="48" spans="1:32" x14ac:dyDescent="0.2">
      <c r="A48" s="436" t="b">
        <f>IF(C48=FALSE,TRUE,(IF(AND(C48=TRUE,'Pos. 4'!H96=""),FALSE,TRUE)))</f>
        <v>1</v>
      </c>
      <c r="B48" s="280" t="s">
        <v>406</v>
      </c>
      <c r="C48" s="317" t="b">
        <v>0</v>
      </c>
      <c r="D48" s="280" t="s">
        <v>70</v>
      </c>
      <c r="E48" s="316" t="s">
        <v>71</v>
      </c>
      <c r="F48" s="316" t="s">
        <v>72</v>
      </c>
      <c r="G48" s="317" t="s">
        <v>348</v>
      </c>
      <c r="H48" s="436" t="str">
        <f t="shared" si="1"/>
        <v>Bemerkung:</v>
      </c>
      <c r="I48" s="445"/>
      <c r="K48" s="310" t="s">
        <v>463</v>
      </c>
      <c r="L48" s="487">
        <f>IF(OR(AND($C$37=FALSE,$C$39=FALSE),(AND($C$38=FALSE,$C$40=FALSE))),0,1)</f>
        <v>1</v>
      </c>
      <c r="M48" s="488">
        <f>IF($L$49=0,0,L48)</f>
        <v>0</v>
      </c>
      <c r="N48" s="192" t="str">
        <f>CONCATENATE("Pos. ",'Pos. 4'!$B$2,".8")</f>
        <v>Pos. 4.8</v>
      </c>
      <c r="O48" s="193" t="b">
        <f>IF(AND('Pos. 4'!AW39&lt;&gt;"",'Pos. 4'!AX39&lt;&gt;""),TRUE,FALSE)</f>
        <v>0</v>
      </c>
      <c r="P48" s="196"/>
      <c r="Q48" s="370">
        <v>7</v>
      </c>
      <c r="U48" s="310" t="b">
        <f>IF(M49=0,FALSE,TRUE)</f>
        <v>0</v>
      </c>
      <c r="V48" s="486">
        <f t="shared" si="8"/>
        <v>1</v>
      </c>
    </row>
    <row r="49" spans="1:22" ht="13.5" thickBot="1" x14ac:dyDescent="0.25">
      <c r="A49" s="489" t="b">
        <f>IF(C49=FALSE,TRUE,(IF(AND(C49=TRUE,'Pos. 4'!O96=""),FALSE,TRUE)))</f>
        <v>1</v>
      </c>
      <c r="B49" s="280" t="s">
        <v>407</v>
      </c>
      <c r="C49" s="317" t="b">
        <v>0</v>
      </c>
      <c r="D49" s="280" t="s">
        <v>73</v>
      </c>
      <c r="E49" s="316" t="s">
        <v>74</v>
      </c>
      <c r="F49" s="316" t="s">
        <v>331</v>
      </c>
      <c r="G49" s="317" t="s">
        <v>349</v>
      </c>
      <c r="H49" s="436" t="str">
        <f t="shared" si="1"/>
        <v>Zubehör:</v>
      </c>
      <c r="I49" s="445"/>
      <c r="K49" s="310" t="s">
        <v>462</v>
      </c>
      <c r="L49" s="490">
        <f>IF(L48=0,0,IF('Pos. 4'!$I$49&gt;0,1,0))</f>
        <v>0</v>
      </c>
      <c r="M49" s="292">
        <f>SUM(L49,M48)</f>
        <v>0</v>
      </c>
      <c r="N49" s="192" t="str">
        <f>CONCATENATE("Pos. ",'Pos. 4'!$B$2,".9")</f>
        <v>Pos. 4.9</v>
      </c>
      <c r="O49" s="193" t="b">
        <f>IF(AND('Pos. 4'!AW40&lt;&gt;"",'Pos. 4'!AX40&lt;&gt;""),TRUE,FALSE)</f>
        <v>0</v>
      </c>
      <c r="P49" s="196"/>
      <c r="Q49" s="370">
        <v>8</v>
      </c>
      <c r="T49" s="315" t="s">
        <v>845</v>
      </c>
      <c r="U49" s="310" t="b">
        <f>IF(AND(L44=1,AND('Pos. 4'!E23="",'Pos. 4'!E24="",'Pos. 4'!E25="")),FALSE,TRUE)</f>
        <v>1</v>
      </c>
      <c r="V49" s="486">
        <f t="shared" si="8"/>
        <v>0</v>
      </c>
    </row>
    <row r="50" spans="1:22" x14ac:dyDescent="0.2">
      <c r="A50" s="279">
        <f>COUNTIF(A41:A49,FALSE)</f>
        <v>0</v>
      </c>
      <c r="B50" s="280" t="s">
        <v>395</v>
      </c>
      <c r="C50" s="317" t="b">
        <v>0</v>
      </c>
      <c r="D50" s="280" t="s">
        <v>730</v>
      </c>
      <c r="E50" s="316" t="s">
        <v>731</v>
      </c>
      <c r="F50" s="316" t="s">
        <v>733</v>
      </c>
      <c r="G50" s="317" t="s">
        <v>732</v>
      </c>
      <c r="H50" s="436" t="str">
        <f t="shared" si="1"/>
        <v>Rinne (siehe unten)</v>
      </c>
      <c r="I50" s="445" t="b">
        <v>0</v>
      </c>
      <c r="K50" s="310" t="s">
        <v>464</v>
      </c>
      <c r="L50" s="293">
        <f>IF(AND(OR($C$53=TRUE,$C$54=TRUE),'Pos. 4'!$Z$42&lt;&gt;"",'Pos. 4'!$T$45&lt;&gt;""),1,0)</f>
        <v>0</v>
      </c>
      <c r="M50" s="483"/>
      <c r="N50" s="192" t="str">
        <f>CONCATENATE("Pos. ",'Pos. 4'!$B$2,".10")</f>
        <v>Pos. 4.10</v>
      </c>
      <c r="O50" s="193" t="b">
        <f>IF(AND('Pos. 4'!AW41&lt;&gt;"",'Pos. 4'!AX41&lt;&gt;""),TRUE,FALSE)</f>
        <v>0</v>
      </c>
      <c r="P50" s="196"/>
      <c r="Q50" s="370">
        <v>9</v>
      </c>
      <c r="U50" s="310" t="b">
        <f>IF(L50=0,FALSE,TRUE)</f>
        <v>0</v>
      </c>
      <c r="V50" s="486">
        <f t="shared" si="8"/>
        <v>1</v>
      </c>
    </row>
    <row r="51" spans="1:22" ht="13.5" thickBot="1" x14ac:dyDescent="0.25">
      <c r="B51" s="280" t="s">
        <v>416</v>
      </c>
      <c r="C51" s="317" t="b">
        <v>0</v>
      </c>
      <c r="D51" s="280" t="s">
        <v>327</v>
      </c>
      <c r="E51" s="316" t="s">
        <v>328</v>
      </c>
      <c r="F51" s="316" t="s">
        <v>329</v>
      </c>
      <c r="G51" s="317" t="s">
        <v>350</v>
      </c>
      <c r="H51" s="436" t="str">
        <f t="shared" si="1"/>
        <v>Wetterschenkel</v>
      </c>
      <c r="I51" s="445" t="b">
        <v>0</v>
      </c>
      <c r="K51" s="310" t="s">
        <v>465</v>
      </c>
      <c r="L51" s="286">
        <f>IF(OR($I$15=TRUE,$I$16=TRUE,$I$17=TRUE,$I$18=TRUE,$I$19=TRUE,$I$20=TRUE,$I$22=TRUE,$I$25=TRUE,$I$125=TRUE),1,0)</f>
        <v>0</v>
      </c>
      <c r="M51" s="483"/>
      <c r="N51" s="195" t="s">
        <v>607</v>
      </c>
      <c r="O51" s="197">
        <f>IF(P51=O52,1,0)</f>
        <v>0</v>
      </c>
      <c r="P51" s="198" t="str">
        <f>CONCATENATE("(",COUNTBLANK('Pos. 4'!AW32:AW41),")")</f>
        <v>(10)</v>
      </c>
      <c r="Q51" s="466">
        <v>10</v>
      </c>
      <c r="U51" s="310" t="b">
        <f t="shared" ref="U51:U55" si="9">IF(L51=0,FALSE,TRUE)</f>
        <v>0</v>
      </c>
      <c r="V51" s="486">
        <f t="shared" si="8"/>
        <v>1</v>
      </c>
    </row>
    <row r="52" spans="1:22" ht="13.5" thickBot="1" x14ac:dyDescent="0.25">
      <c r="B52" s="280"/>
      <c r="C52" s="317"/>
      <c r="D52" s="280" t="s">
        <v>319</v>
      </c>
      <c r="E52" s="316" t="s">
        <v>320</v>
      </c>
      <c r="F52" s="316" t="s">
        <v>321</v>
      </c>
      <c r="G52" s="317" t="s">
        <v>351</v>
      </c>
      <c r="H52" s="436" t="str">
        <f t="shared" si="1"/>
        <v>Standardgrundplatten:</v>
      </c>
      <c r="I52" s="445" t="b">
        <v>0</v>
      </c>
      <c r="K52" s="310" t="s">
        <v>466</v>
      </c>
      <c r="L52" s="286">
        <f>IF(OR(AND($I$36=TRUE,'Pos. 4'!$AM$43&lt;&gt;0,'Pos. 4'!$AR$43&lt;&gt;0,'Pos. 4'!$AM$49&lt;&gt;""),AND($I$39=TRUE,'Pos. 4'!$AM$45&lt;&gt;"",'Pos. 4'!$AM$49&lt;&gt;"",'Pos. 4'!$AM$46&lt;&gt;"",'Pos. 4'!$AM$47&lt;&gt;"")),1,0)</f>
        <v>0</v>
      </c>
      <c r="M52" s="483"/>
      <c r="N52" s="199"/>
      <c r="O52" s="200" t="str">
        <f>CONCATENATE("(",IF(I19=TRUE,COUNTIF(O41:O50,FALSE),""),")")</f>
        <v>()</v>
      </c>
      <c r="P52" s="201"/>
      <c r="U52" s="310" t="b">
        <f t="shared" si="9"/>
        <v>0</v>
      </c>
      <c r="V52" s="486">
        <f t="shared" si="8"/>
        <v>1</v>
      </c>
    </row>
    <row r="53" spans="1:22" x14ac:dyDescent="0.2">
      <c r="B53" s="280" t="s">
        <v>427</v>
      </c>
      <c r="C53" s="317" t="b">
        <v>0</v>
      </c>
      <c r="D53" s="280" t="s">
        <v>75</v>
      </c>
      <c r="E53" s="316" t="s">
        <v>75</v>
      </c>
      <c r="F53" s="316" t="s">
        <v>75</v>
      </c>
      <c r="G53" s="317" t="s">
        <v>75</v>
      </c>
      <c r="H53" s="436" t="str">
        <f t="shared" si="1"/>
        <v>Sun-Box</v>
      </c>
      <c r="I53" s="445"/>
      <c r="K53" s="310" t="s">
        <v>470</v>
      </c>
      <c r="L53" s="286">
        <f>IF('Pos. 4'!AT52=1,1,IF('Pos. 4'!$AE$53&lt;&gt;0,1,0))</f>
        <v>0</v>
      </c>
      <c r="M53" s="483"/>
      <c r="U53" s="310" t="b">
        <f t="shared" si="9"/>
        <v>0</v>
      </c>
      <c r="V53" s="486">
        <f t="shared" si="8"/>
        <v>1</v>
      </c>
    </row>
    <row r="54" spans="1:22" x14ac:dyDescent="0.2">
      <c r="B54" s="280" t="s">
        <v>428</v>
      </c>
      <c r="C54" s="317" t="b">
        <v>0</v>
      </c>
      <c r="D54" s="280" t="s">
        <v>76</v>
      </c>
      <c r="E54" s="316" t="s">
        <v>77</v>
      </c>
      <c r="F54" s="316" t="s">
        <v>78</v>
      </c>
      <c r="G54" s="317" t="s">
        <v>352</v>
      </c>
      <c r="H54" s="436" t="str">
        <f t="shared" si="1"/>
        <v>Glastyp wählen</v>
      </c>
      <c r="I54" s="445"/>
      <c r="K54" s="310" t="s">
        <v>471</v>
      </c>
      <c r="L54" s="286">
        <f>SUM(IF(AND('Pos. 4'!$AE$70&lt;&gt;"",'Pos. 4'!$AN$70&lt;&gt;"",OR($C$60=TRUE,$C$61=TRUE,$C$62=TRUE,$C$63=TRUE)),1,0),M54)</f>
        <v>1</v>
      </c>
      <c r="M54" s="483">
        <f>IF(AND(OR('Pos. 4'!F10="F",'Pos. 4'!F10=""),OR('Pos. 4'!N10="F",'Pos. 4'!N10=""),OR('Pos. 4'!R10="F",'Pos. 4'!R10=""),OR('Pos. 4'!V10="F",'Pos. 4'!V10=""),OR('Pos. 4'!Z10="F",'Pos. 4'!Z10=""),OR('Pos. 4'!AD10="F",'Pos. 4'!AD10=""),OR('Pos. 4'!AH10="F",'Pos. 4'!AH10=""),OR('Pos. 4'!AL10="F",'Pos. 4'!AL10=""),OR('Pos. 4'!AP10="F",'Pos. 4'!AP10="")),1,0)</f>
        <v>1</v>
      </c>
      <c r="U54" s="310" t="b">
        <f t="shared" si="9"/>
        <v>1</v>
      </c>
      <c r="V54" s="486">
        <f t="shared" si="8"/>
        <v>0</v>
      </c>
    </row>
    <row r="55" spans="1:22" x14ac:dyDescent="0.2">
      <c r="B55" s="280" t="s">
        <v>479</v>
      </c>
      <c r="C55" s="317" t="b">
        <v>0</v>
      </c>
      <c r="D55" s="280" t="s">
        <v>79</v>
      </c>
      <c r="E55" s="316" t="s">
        <v>80</v>
      </c>
      <c r="F55" s="316" t="s">
        <v>79</v>
      </c>
      <c r="G55" s="317" t="s">
        <v>79</v>
      </c>
      <c r="H55" s="436" t="str">
        <f t="shared" si="1"/>
        <v>Pos:</v>
      </c>
      <c r="I55" s="445"/>
      <c r="K55" s="310" t="s">
        <v>472</v>
      </c>
      <c r="L55" s="288">
        <f>IF(AND('Pos. 4'!$AM$88&lt;&gt;"",'Pos. 4'!$AE$84&lt;&gt;"",'Pos. 4'!$AM$87&lt;&gt;""),1,0)</f>
        <v>0</v>
      </c>
      <c r="M55" s="483"/>
      <c r="U55" s="310" t="b">
        <f t="shared" si="9"/>
        <v>0</v>
      </c>
      <c r="V55" s="486">
        <f t="shared" si="8"/>
        <v>1</v>
      </c>
    </row>
    <row r="56" spans="1:22" ht="15" customHeight="1" thickBot="1" x14ac:dyDescent="0.25">
      <c r="B56" s="280" t="s">
        <v>480</v>
      </c>
      <c r="C56" s="317" t="b">
        <v>0</v>
      </c>
      <c r="D56" s="280" t="s">
        <v>81</v>
      </c>
      <c r="E56" s="316" t="s">
        <v>82</v>
      </c>
      <c r="F56" s="316" t="s">
        <v>83</v>
      </c>
      <c r="G56" s="317" t="s">
        <v>150</v>
      </c>
      <c r="H56" s="436" t="str">
        <f t="shared" si="1"/>
        <v>Stück:</v>
      </c>
      <c r="I56" s="445"/>
      <c r="K56" s="310" t="s">
        <v>477</v>
      </c>
      <c r="L56" s="487">
        <f>IF(OR($C$41=TRUE,$C$43=TRUE,$C$44=TRUE,AND('Pos. 4'!F10="F",'Pos. 4'!J10="")),1,0)</f>
        <v>0</v>
      </c>
      <c r="M56" s="294">
        <f>SUM(L56:L57)</f>
        <v>0</v>
      </c>
      <c r="U56" s="310" t="b">
        <f>IF(M56=0,FALSE,TRUE)</f>
        <v>0</v>
      </c>
      <c r="V56" s="486">
        <f t="shared" si="8"/>
        <v>1</v>
      </c>
    </row>
    <row r="57" spans="1:22" x14ac:dyDescent="0.2">
      <c r="B57" s="280" t="s">
        <v>481</v>
      </c>
      <c r="C57" s="317" t="b">
        <v>0</v>
      </c>
      <c r="D57" s="280" t="s">
        <v>84</v>
      </c>
      <c r="E57" s="316" t="s">
        <v>85</v>
      </c>
      <c r="F57" s="316" t="s">
        <v>85</v>
      </c>
      <c r="G57" s="317" t="s">
        <v>196</v>
      </c>
      <c r="H57" s="436" t="str">
        <f t="shared" si="1"/>
        <v>Seite:</v>
      </c>
      <c r="I57" s="445"/>
      <c r="K57" s="310" t="s">
        <v>478</v>
      </c>
      <c r="L57" s="490">
        <f>IF(AND($C$42=TRUE,OR($C$55=TRUE,$C$56=TRUE)),1,0)</f>
        <v>0</v>
      </c>
      <c r="M57" s="295"/>
      <c r="O57" s="33" t="s">
        <v>865</v>
      </c>
      <c r="P57" s="437"/>
      <c r="Q57" s="437"/>
      <c r="R57" s="438"/>
      <c r="T57" s="315"/>
      <c r="U57" s="310"/>
      <c r="V57" s="486"/>
    </row>
    <row r="58" spans="1:22" x14ac:dyDescent="0.2">
      <c r="B58" s="280" t="s">
        <v>482</v>
      </c>
      <c r="C58" s="317" t="b">
        <v>0</v>
      </c>
      <c r="D58" s="280" t="s">
        <v>449</v>
      </c>
      <c r="E58" s="316" t="s">
        <v>450</v>
      </c>
      <c r="F58" s="316" t="s">
        <v>451</v>
      </c>
      <c r="G58" s="317" t="s">
        <v>452</v>
      </c>
      <c r="H58" s="436" t="str">
        <f t="shared" si="1"/>
        <v>Achsmass →</v>
      </c>
      <c r="I58" s="445"/>
      <c r="K58" s="310" t="s">
        <v>483</v>
      </c>
      <c r="L58" s="293">
        <f>IF(AND('Pos. 4'!$G$20=0,'Pos. 4'!$K$20=0,'Pos. 4'!$O$20=0,'Pos. 4'!$S$20=0,'Pos. 4'!$W$20=0,'Pos. 4'!$AA$20=0,'Pos. 4'!$AE$20=0,'Pos. 4'!$AI$20=0,'Pos. 4'!$AM$20=0),1,0)</f>
        <v>1</v>
      </c>
      <c r="M58" s="483"/>
      <c r="O58" s="374" t="s">
        <v>866</v>
      </c>
      <c r="P58" s="375" t="s">
        <v>867</v>
      </c>
      <c r="Q58" s="375" t="s">
        <v>869</v>
      </c>
      <c r="R58" s="376" t="s">
        <v>868</v>
      </c>
      <c r="T58" s="315" t="s">
        <v>750</v>
      </c>
      <c r="U58" s="310" t="b">
        <f>IF(AND(L62=1,'Pos. 4'!C11&gt;35),FALSE,TRUE)</f>
        <v>1</v>
      </c>
      <c r="V58" s="486">
        <f t="shared" si="8"/>
        <v>0</v>
      </c>
    </row>
    <row r="59" spans="1:22" x14ac:dyDescent="0.2">
      <c r="B59" s="280"/>
      <c r="C59" s="317"/>
      <c r="D59" s="280" t="s">
        <v>86</v>
      </c>
      <c r="E59" s="316" t="s">
        <v>87</v>
      </c>
      <c r="F59" s="316" t="s">
        <v>88</v>
      </c>
      <c r="G59" s="317" t="s">
        <v>149</v>
      </c>
      <c r="H59" s="436" t="str">
        <f t="shared" si="1"/>
        <v>VSG mit P4A</v>
      </c>
      <c r="I59" s="445"/>
      <c r="K59" s="310" t="s">
        <v>484</v>
      </c>
      <c r="L59" s="491">
        <f>IF(AND($C$49=FALSE,$C$50=FALSE,$C$51=FALSE),0,1)</f>
        <v>0</v>
      </c>
      <c r="M59" s="297">
        <f>SUM(L58:L59)</f>
        <v>1</v>
      </c>
      <c r="O59" s="329" t="s">
        <v>198</v>
      </c>
      <c r="P59" s="492">
        <f>IF(OR('Pos. 4'!$F$10='Sprachen &amp; Rückgabewerte(4)'!$B$10,'Pos. 4'!$F$10='Sprachen &amp; Rückgabewerte(4)'!B11),1,0)</f>
        <v>0</v>
      </c>
      <c r="Q59" s="330">
        <f>IF(P59=1,0,1)</f>
        <v>1</v>
      </c>
      <c r="R59" s="446">
        <f>IF(AND(P59=1,'Pos. 4'!$F$16=""),1,0)</f>
        <v>0</v>
      </c>
      <c r="U59" s="310" t="b">
        <f>IF(M59=0,FALSE,TRUE)</f>
        <v>1</v>
      </c>
      <c r="V59" s="486">
        <f t="shared" si="8"/>
        <v>0</v>
      </c>
    </row>
    <row r="60" spans="1:22" ht="15" customHeight="1" x14ac:dyDescent="0.2">
      <c r="B60" s="280" t="s">
        <v>250</v>
      </c>
      <c r="C60" s="317" t="b">
        <v>0</v>
      </c>
      <c r="D60" s="280" t="s">
        <v>89</v>
      </c>
      <c r="E60" s="316" t="s">
        <v>90</v>
      </c>
      <c r="F60" s="316" t="s">
        <v>310</v>
      </c>
      <c r="G60" s="317" t="s">
        <v>353</v>
      </c>
      <c r="H60" s="436" t="str">
        <f t="shared" si="1"/>
        <v>Insektenschutz</v>
      </c>
      <c r="I60" s="445"/>
      <c r="K60" s="310" t="s">
        <v>485</v>
      </c>
      <c r="L60" s="487">
        <f>IF(AND($C$46=TRUE,OR($C$57=TRUE,$C$58=TRUE)),1,0)</f>
        <v>0</v>
      </c>
      <c r="M60" s="538">
        <f>SUM(L60:L61)</f>
        <v>1</v>
      </c>
      <c r="O60" s="280" t="s">
        <v>199</v>
      </c>
      <c r="P60" s="493">
        <f>IF(OR('Pos. 4'!$J$10='Sprachen &amp; Rückgabewerte(4)'!$B$10,'Pos. 4'!$J$10='Sprachen &amp; Rückgabewerte(4)'!B11),1,0)</f>
        <v>0</v>
      </c>
      <c r="Q60" s="316">
        <f t="shared" ref="Q60:Q68" si="10">IF(P60=1,0,1)</f>
        <v>1</v>
      </c>
      <c r="R60" s="317">
        <f>IF(AND(P60=1,'Pos. 4'!$J$16=""),1,0)</f>
        <v>0</v>
      </c>
      <c r="U60" s="310" t="b">
        <f>IF(M60=0,FALSE,TRUE)</f>
        <v>1</v>
      </c>
      <c r="V60" s="486">
        <f t="shared" si="8"/>
        <v>0</v>
      </c>
    </row>
    <row r="61" spans="1:22" ht="12.75" customHeight="1" x14ac:dyDescent="0.2">
      <c r="B61" s="280" t="s">
        <v>251</v>
      </c>
      <c r="C61" s="317" t="b">
        <v>0</v>
      </c>
      <c r="D61" s="334" t="s">
        <v>148</v>
      </c>
      <c r="E61" s="494" t="s">
        <v>148</v>
      </c>
      <c r="F61" s="494" t="s">
        <v>148</v>
      </c>
      <c r="G61" s="495" t="s">
        <v>148</v>
      </c>
      <c r="H61" s="436" t="str">
        <f t="shared" si="1"/>
        <v>Standard = 1050mm</v>
      </c>
      <c r="I61" s="445"/>
      <c r="K61" s="310"/>
      <c r="L61" s="490">
        <f>IF(C46=FALSE,1,0)</f>
        <v>1</v>
      </c>
      <c r="M61" s="539"/>
      <c r="O61" s="280" t="s">
        <v>200</v>
      </c>
      <c r="P61" s="493">
        <f>IF(OR('Pos. 4'!$N$10='Sprachen &amp; Rückgabewerte(4)'!$B$10,'Pos. 4'!$N$10='Sprachen &amp; Rückgabewerte(4)'!B11),1,0)</f>
        <v>0</v>
      </c>
      <c r="Q61" s="316">
        <f t="shared" si="10"/>
        <v>1</v>
      </c>
      <c r="R61" s="317">
        <f>IF(AND(P61=1,'Pos. 4'!$N$16=""),1,0)</f>
        <v>0</v>
      </c>
      <c r="U61" s="310"/>
      <c r="V61" s="486"/>
    </row>
    <row r="62" spans="1:22" x14ac:dyDescent="0.2">
      <c r="B62" s="280" t="s">
        <v>252</v>
      </c>
      <c r="C62" s="317" t="b">
        <v>0</v>
      </c>
      <c r="D62" s="280" t="s">
        <v>143</v>
      </c>
      <c r="E62" s="316" t="s">
        <v>144</v>
      </c>
      <c r="F62" s="316" t="s">
        <v>145</v>
      </c>
      <c r="G62" s="317" t="s">
        <v>146</v>
      </c>
      <c r="H62" s="436" t="str">
        <f t="shared" si="1"/>
        <v>RC2: zwingend 1050mm</v>
      </c>
      <c r="I62" s="445"/>
      <c r="K62" s="310" t="s">
        <v>510</v>
      </c>
      <c r="L62" s="487">
        <f>IF(OR(AND('Pos. 4'!$F$10="L",'Pos. 4'!$J$10="R"),AND('Pos. 4'!$J$10="L",'Pos. 4'!$N$10="R"),AND('Pos. 4'!$N$10="L",'Pos. 4'!$R$10="R"),AND('Pos. 4'!$R$10="L",'Pos. 4'!$V$10="R"),AND('Pos. 4'!$V$10="L",'Pos. 4'!$Z$10="R"),AND('Pos. 4'!$Z$10="L",'Pos. 4'!$AD$10="R"),AND('Pos. 4'!$AD$10="L",'Pos. 4'!$AH$10="R"),AND('Pos. 4'!$AH$10="L",'Pos. 4'!$AL$10="R"),AND('Pos. 4'!$AL$10="L",'Pos. 4'!$AP$10="R"),AND('Pos. 4'!F10="F",'Pos. 4'!J10="R"),AND('Pos. 4'!J10="F",'Pos. 4'!N10="R"),AND('Pos. 4'!N10="F",'Pos. 4'!R10="R"),AND('Pos. 4'!R10="F",'Pos. 4'!V10="R"),AND('Pos. 4'!V10="F",'Pos. 4'!Z10="R"),AND('Pos. 4'!Z10="F",'Pos. 4'!AD10="R"),AND('Pos. 4'!AD10="F",'Pos. 4'!AH10="R"),AND('Pos. 4'!AH10="F",'Pos. 4'!AL10="R"),AND('Pos. 4'!AL10="F",'Pos. 4'!AP10="R"),AND('Pos. 4'!F10="L",'Pos. 4'!J10="F"),AND('Pos. 4'!J10="L",'Pos. 4'!N10="F"),AND('Pos. 4'!N10="L",'Pos. 4'!R10="F"),AND('Pos. 4'!R10="L",'Pos. 4'!V10="F"),AND('Pos. 4'!V10="L",'Pos. 4'!Z10="F"),AND('Pos. 4'!Z10="L",'Pos. 4'!AD10="F"),AND('Pos. 4'!AD10="L",'Pos. 4'!AH10="F"),AND('Pos. 4'!AH10="L",'Pos. 4'!AL10="F"),AND('Pos. 4'!AL10="L",'Pos. 4'!AP10="F")),1,0)</f>
        <v>0</v>
      </c>
      <c r="M62" s="294">
        <f>IF(AND(L58=0,SUM(L62:L65)=2),0,SUM(L62:L65))</f>
        <v>1</v>
      </c>
      <c r="O62" s="280" t="s">
        <v>201</v>
      </c>
      <c r="P62" s="493">
        <f>IF(OR('Pos. 4'!$R$10='Sprachen &amp; Rückgabewerte(4)'!$B$10,'Pos. 4'!$R$10='Sprachen &amp; Rückgabewerte(4)'!B11),1,0)</f>
        <v>0</v>
      </c>
      <c r="Q62" s="316">
        <f t="shared" si="10"/>
        <v>1</v>
      </c>
      <c r="R62" s="317">
        <f>IF(AND(P62=1,'Pos. 4'!$R$16=""),1,0)</f>
        <v>0</v>
      </c>
      <c r="U62" s="310" t="b">
        <f>IF(OR(M62=2,M62=3),FALSE,TRUE)</f>
        <v>1</v>
      </c>
      <c r="V62" s="486">
        <f t="shared" si="8"/>
        <v>0</v>
      </c>
    </row>
    <row r="63" spans="1:22" ht="15.75" customHeight="1" thickBot="1" x14ac:dyDescent="0.25">
      <c r="B63" s="467" t="s">
        <v>253</v>
      </c>
      <c r="C63" s="475" t="b">
        <v>0</v>
      </c>
      <c r="D63" s="280" t="s">
        <v>147</v>
      </c>
      <c r="E63" s="316" t="s">
        <v>147</v>
      </c>
      <c r="F63" s="316" t="s">
        <v>147</v>
      </c>
      <c r="G63" s="317" t="s">
        <v>147</v>
      </c>
      <c r="H63" s="436" t="str">
        <f t="shared" si="1"/>
        <v>min: RV=200 MVv=750</v>
      </c>
      <c r="I63" s="445"/>
      <c r="K63" s="310"/>
      <c r="L63" s="496">
        <f>IF(AND('Pos. 4'!G20="",'Pos. 4'!K20="",'Pos. 4'!O20="",'Pos. 4'!S20="",'Pos. 4'!W20="",'Pos. 4'!AA20="",'Pos. 4'!AE20="",'Pos. 4'!AI20="",'Pos. 4'!AM20=""),1,2)</f>
        <v>1</v>
      </c>
      <c r="M63" s="299"/>
      <c r="O63" s="280" t="s">
        <v>202</v>
      </c>
      <c r="P63" s="493">
        <f>IF(OR('Pos. 4'!$V$10='Sprachen &amp; Rückgabewerte(4)'!$B$10,'Pos. 4'!$V$10='Sprachen &amp; Rückgabewerte(4)'!B11),1,0)</f>
        <v>0</v>
      </c>
      <c r="Q63" s="316">
        <f t="shared" si="10"/>
        <v>1</v>
      </c>
      <c r="R63" s="317">
        <f>IF(AND(P63=1,'Pos. 4'!$V$16=""),1,0)</f>
        <v>0</v>
      </c>
      <c r="T63" s="315" t="s">
        <v>758</v>
      </c>
      <c r="U63" s="310" t="b">
        <f>IF('Pos. 4'!AX25="",FALSE,TRUE)</f>
        <v>0</v>
      </c>
      <c r="V63" s="486">
        <f>IF(U63=FALSE,1,0)</f>
        <v>1</v>
      </c>
    </row>
    <row r="64" spans="1:22" ht="15" customHeight="1" x14ac:dyDescent="0.2">
      <c r="B64" s="497" t="s">
        <v>575</v>
      </c>
      <c r="C64" s="498">
        <f>IF(OR($C$60=TRUE,$C$61=TRUE,$C$62=TRUE,$C$63=TRUE),1,0)</f>
        <v>0</v>
      </c>
      <c r="D64" s="280" t="s">
        <v>151</v>
      </c>
      <c r="E64" s="316" t="s">
        <v>255</v>
      </c>
      <c r="F64" s="316" t="s">
        <v>279</v>
      </c>
      <c r="G64" s="317" t="s">
        <v>293</v>
      </c>
      <c r="H64" s="436" t="str">
        <f t="shared" si="1"/>
        <v>Verschlussgriffe:</v>
      </c>
      <c r="I64" s="445"/>
      <c r="K64" s="310"/>
      <c r="L64" s="496">
        <f>IF(AND($C$45=FALSE,$C$46=FALSE,$C$47=FALSE,$C$48=FALSE),0,1)</f>
        <v>0</v>
      </c>
      <c r="M64" s="299"/>
      <c r="O64" s="280" t="s">
        <v>203</v>
      </c>
      <c r="P64" s="493">
        <f>IF(OR('Pos. 4'!$Z$10='Sprachen &amp; Rückgabewerte(4)'!$B$10,'Pos. 4'!$Z$10='Sprachen &amp; Rückgabewerte(4)'!B11),1,0)</f>
        <v>0</v>
      </c>
      <c r="Q64" s="316">
        <f t="shared" si="10"/>
        <v>1</v>
      </c>
      <c r="R64" s="317">
        <f>IF(AND(P64=1,'Pos. 4'!$Z$16=""),1,0)</f>
        <v>0</v>
      </c>
      <c r="T64" s="315" t="s">
        <v>765</v>
      </c>
      <c r="U64" s="310" t="b">
        <f>IF('Pos. 4'!AM87="",FALSE,TRUE)</f>
        <v>0</v>
      </c>
      <c r="V64" s="486">
        <f>IF(U64=FALSE,1,0)</f>
        <v>1</v>
      </c>
    </row>
    <row r="65" spans="2:23" ht="15.75" customHeight="1" thickBot="1" x14ac:dyDescent="0.25">
      <c r="B65" s="89"/>
      <c r="C65" s="499"/>
      <c r="D65" s="280" t="s">
        <v>155</v>
      </c>
      <c r="E65" s="316" t="s">
        <v>256</v>
      </c>
      <c r="F65" s="316" t="s">
        <v>311</v>
      </c>
      <c r="G65" s="317" t="s">
        <v>793</v>
      </c>
      <c r="H65" s="436" t="str">
        <f t="shared" si="1"/>
        <v>mit Verschlussraster (Druckknopf)</v>
      </c>
      <c r="I65" s="445"/>
      <c r="K65" s="310"/>
      <c r="L65" s="490">
        <f>IF(AND('Pos. 4'!H11="",'Pos. 4'!I11="",'Pos. 4'!L11="",'Pos. 4'!M11="",'Pos. 4'!P11="",'Pos. 4'!Q11="",'Pos. 4'!T11="",'Pos. 4'!U11="",'Pos. 4'!X11="",'Pos. 4'!Y11="",'Pos. 4'!AB11="",'Pos. 4'!AC11="",'Pos. 4'!AF11="",'Pos. 4'!AG11="",'Pos. 4'!AJ11="",'Pos. 4'!AK11="",'Pos. 4'!AN11="",'Pos. 4'!AO11=""),0,1)</f>
        <v>0</v>
      </c>
      <c r="M65" s="295"/>
      <c r="O65" s="280" t="s">
        <v>204</v>
      </c>
      <c r="P65" s="493">
        <f>IF(OR('Pos. 4'!$AD$10='Sprachen &amp; Rückgabewerte(4)'!$B$10,'Pos. 4'!$AD$10='Sprachen &amp; Rückgabewerte(4)'!B11),1,0)</f>
        <v>0</v>
      </c>
      <c r="Q65" s="316">
        <f t="shared" si="10"/>
        <v>1</v>
      </c>
      <c r="R65" s="317">
        <f>IF(AND(P65=1,'Pos. 4'!$AD$16=""),1,0)</f>
        <v>0</v>
      </c>
      <c r="U65" s="310"/>
      <c r="V65" s="486"/>
    </row>
    <row r="66" spans="2:23" ht="25.5" x14ac:dyDescent="0.2">
      <c r="B66" s="187" t="s">
        <v>576</v>
      </c>
      <c r="C66" s="499"/>
      <c r="D66" s="280" t="s">
        <v>430</v>
      </c>
      <c r="E66" s="316" t="s">
        <v>431</v>
      </c>
      <c r="F66" s="316" t="s">
        <v>433</v>
      </c>
      <c r="G66" s="317" t="s">
        <v>432</v>
      </c>
      <c r="H66" s="436" t="str">
        <f t="shared" si="1"/>
        <v>mit Verschlussraster (Zylinder)</v>
      </c>
      <c r="I66" s="445"/>
      <c r="K66" s="304" t="s">
        <v>579</v>
      </c>
      <c r="L66" s="487" t="b">
        <f>IF(AND($I$71=TRUE,'Pos. 4'!$AP$74="",'Pos. 4'!$AP$75="",'Pos. 4'!$AP$76=""),FALSE,TRUE)</f>
        <v>1</v>
      </c>
      <c r="M66" s="294" t="b">
        <f>IF(OR($L$66=FALSE,$L$67=FALSE,$L$68=FALSE,L69=FALSE),FALSE,TRUE)</f>
        <v>0</v>
      </c>
      <c r="O66" s="280" t="s">
        <v>205</v>
      </c>
      <c r="P66" s="493">
        <f>IF(OR('Pos. 4'!$AH$10='Sprachen &amp; Rückgabewerte(4)'!$B$10,'Pos. 4'!$AH$10='Sprachen &amp; Rückgabewerte(4)'!B11),1,0)</f>
        <v>0</v>
      </c>
      <c r="Q66" s="316">
        <f t="shared" si="10"/>
        <v>1</v>
      </c>
      <c r="R66" s="317">
        <f>IF(AND(P66=1,'Pos. 4'!$AH$16=""),1,0)</f>
        <v>0</v>
      </c>
      <c r="U66" s="310" t="b">
        <f>M66</f>
        <v>0</v>
      </c>
      <c r="V66" s="486">
        <f t="shared" si="8"/>
        <v>1</v>
      </c>
    </row>
    <row r="67" spans="2:23" ht="15" customHeight="1" x14ac:dyDescent="0.2">
      <c r="B67" s="500"/>
      <c r="C67" s="499"/>
      <c r="D67" s="280" t="s">
        <v>152</v>
      </c>
      <c r="E67" s="316" t="s">
        <v>257</v>
      </c>
      <c r="F67" s="316" t="s">
        <v>312</v>
      </c>
      <c r="G67" s="317" t="s">
        <v>354</v>
      </c>
      <c r="H67" s="436" t="str">
        <f t="shared" si="1"/>
        <v>ohne Verschlussraster</v>
      </c>
      <c r="I67" s="445"/>
      <c r="K67" s="304" t="s">
        <v>580</v>
      </c>
      <c r="L67" s="501" t="b">
        <f>IF('Pos. 4'!AN78="",FALSE,TRUE)</f>
        <v>0</v>
      </c>
      <c r="M67" s="299"/>
      <c r="O67" s="280" t="s">
        <v>206</v>
      </c>
      <c r="P67" s="493">
        <f>IF(OR('Pos. 4'!$AL$10='Sprachen &amp; Rückgabewerte(4)'!$B$10,'Pos. 4'!$AL$10='Sprachen &amp; Rückgabewerte(4)'!B11),1,0)</f>
        <v>0</v>
      </c>
      <c r="Q67" s="316">
        <f t="shared" si="10"/>
        <v>1</v>
      </c>
      <c r="R67" s="317">
        <f>IF(AND(P67=1,'Pos. 4'!$AL$16=""),1,0)</f>
        <v>0</v>
      </c>
      <c r="T67" s="315" t="s">
        <v>864</v>
      </c>
      <c r="U67" s="310" t="b">
        <f>IF(R69&gt;0,FALSE,TRUE)</f>
        <v>1</v>
      </c>
      <c r="V67" s="486">
        <f>IF(U67=FALSE,1,0)</f>
        <v>0</v>
      </c>
      <c r="W67" s="502"/>
    </row>
    <row r="68" spans="2:23" ht="15" customHeight="1" x14ac:dyDescent="0.2">
      <c r="B68" s="436" t="str">
        <f>$H$112</f>
        <v>mit CFK</v>
      </c>
      <c r="C68" s="499"/>
      <c r="D68" s="280" t="s">
        <v>153</v>
      </c>
      <c r="E68" s="316" t="s">
        <v>258</v>
      </c>
      <c r="F68" s="316" t="s">
        <v>281</v>
      </c>
      <c r="G68" s="317" t="s">
        <v>355</v>
      </c>
      <c r="H68" s="436" t="str">
        <f t="shared" si="1"/>
        <v>2-Punkt Verriegelung</v>
      </c>
      <c r="I68" s="445"/>
      <c r="J68" s="279" t="str">
        <f>H68</f>
        <v>2-Punkt Verriegelung</v>
      </c>
      <c r="K68" s="304" t="s">
        <v>581</v>
      </c>
      <c r="L68" s="501" t="b">
        <f>IF('Pos. 4'!AN79="",FALSE,TRUE)</f>
        <v>0</v>
      </c>
      <c r="M68" s="299"/>
      <c r="O68" s="280" t="s">
        <v>207</v>
      </c>
      <c r="P68" s="493">
        <f>IF(OR('Pos. 4'!$AP$10='Sprachen &amp; Rückgabewerte(4)'!$B$10,'Pos. 4'!$AP$10='Sprachen &amp; Rückgabewerte(4)'!B11),1,0)</f>
        <v>0</v>
      </c>
      <c r="Q68" s="316">
        <f t="shared" si="10"/>
        <v>1</v>
      </c>
      <c r="R68" s="317">
        <f>IF(AND(P68=1,'Pos. 4'!$AP$16=""),1,0)</f>
        <v>0</v>
      </c>
      <c r="T68" s="315" t="s">
        <v>910</v>
      </c>
      <c r="U68" s="310" t="b">
        <f>IF('Pos. 4'!AQ96="",FALSE,TRUE)</f>
        <v>0</v>
      </c>
      <c r="V68" s="486">
        <f t="shared" ref="V68:V69" si="11">IF(U68=FALSE,1,0)</f>
        <v>1</v>
      </c>
      <c r="W68" s="502">
        <f>SUM(V68:V69)</f>
        <v>1</v>
      </c>
    </row>
    <row r="69" spans="2:23" ht="15" customHeight="1" thickBot="1" x14ac:dyDescent="0.25">
      <c r="B69" s="436" t="str">
        <f>$H$113</f>
        <v>ohne CFK</v>
      </c>
      <c r="C69" s="499"/>
      <c r="D69" s="280" t="s">
        <v>154</v>
      </c>
      <c r="E69" s="316" t="s">
        <v>259</v>
      </c>
      <c r="F69" s="316" t="s">
        <v>280</v>
      </c>
      <c r="G69" s="317" t="s">
        <v>356</v>
      </c>
      <c r="H69" s="436" t="str">
        <f t="shared" si="1"/>
        <v>3-Punkt Verriegelung</v>
      </c>
      <c r="I69" s="445"/>
      <c r="J69" s="279" t="str">
        <f>H69</f>
        <v>3-Punkt Verriegelung</v>
      </c>
      <c r="K69" s="304" t="s">
        <v>582</v>
      </c>
      <c r="L69" s="503" t="b">
        <f>IF('Pos. 4'!$AN$80&lt;&gt;"",TRUE,FALSE)</f>
        <v>0</v>
      </c>
      <c r="M69" s="295"/>
      <c r="O69" s="377"/>
      <c r="P69" s="504"/>
      <c r="Q69" s="378" t="s">
        <v>870</v>
      </c>
      <c r="R69" s="475">
        <f>IF(I20=TRUE,SUM(R59:R68),0)</f>
        <v>0</v>
      </c>
      <c r="T69" s="315" t="s">
        <v>911</v>
      </c>
      <c r="U69" s="310" t="b">
        <f>IF(AND('Pos. 4'!AQ96='Sprachen &amp; Rückgabewerte(4)'!H95,'Pos. 4'!AW96=""),FALSE,TRUE)</f>
        <v>1</v>
      </c>
      <c r="V69" s="486">
        <f t="shared" si="11"/>
        <v>0</v>
      </c>
    </row>
    <row r="70" spans="2:23" x14ac:dyDescent="0.2">
      <c r="B70" s="436"/>
      <c r="C70" s="499"/>
      <c r="D70" s="280" t="s">
        <v>254</v>
      </c>
      <c r="E70" s="316" t="s">
        <v>260</v>
      </c>
      <c r="F70" s="316" t="s">
        <v>282</v>
      </c>
      <c r="G70" s="317" t="s">
        <v>294</v>
      </c>
      <c r="H70" s="436" t="str">
        <f t="shared" si="1"/>
        <v>Befestigung:</v>
      </c>
      <c r="I70" s="445"/>
      <c r="K70" s="310" t="s">
        <v>605</v>
      </c>
      <c r="L70" s="505">
        <f>IF(AND(I19=TRUE,O51=1),1,0)</f>
        <v>0</v>
      </c>
      <c r="M70" s="297"/>
      <c r="U70" s="310" t="b">
        <f>IF(AND(I19=TRUE,O51&lt;&gt;1),FALSE,TRUE)</f>
        <v>1</v>
      </c>
      <c r="V70" s="486">
        <f t="shared" si="8"/>
        <v>0</v>
      </c>
    </row>
    <row r="71" spans="2:23" x14ac:dyDescent="0.2">
      <c r="B71" s="436" t="str">
        <f>$H$114</f>
        <v>mit Stahl</v>
      </c>
      <c r="C71" s="499"/>
      <c r="D71" s="280" t="s">
        <v>306</v>
      </c>
      <c r="E71" s="316" t="s">
        <v>307</v>
      </c>
      <c r="F71" s="316" t="s">
        <v>308</v>
      </c>
      <c r="G71" s="317" t="s">
        <v>295</v>
      </c>
      <c r="H71" s="436" t="str">
        <f t="shared" si="1"/>
        <v>Universalschrauben (A2):</v>
      </c>
      <c r="I71" s="445" t="b">
        <v>0</v>
      </c>
      <c r="K71" s="310" t="s">
        <v>683</v>
      </c>
      <c r="L71" s="505">
        <f>IF(OR('Pos. 4'!$F$10='Sprachen &amp; Rückgabewerte(4)'!$B$14,'Pos. 4'!$J$10='Sprachen &amp; Rückgabewerte(4)'!$B$14,'Pos. 4'!$N$10='Sprachen &amp; Rückgabewerte(4)'!B14,'Pos. 4'!$R$10='Sprachen &amp; Rückgabewerte(4)'!$B$14,'Pos. 4'!$V$10='Sprachen &amp; Rückgabewerte(4)'!$B$14,'Pos. 4'!$Z$10='Sprachen &amp; Rückgabewerte(4)'!$B$14,'Pos. 4'!$AD$10='Sprachen &amp; Rückgabewerte(4)'!$B$14,'Pos. 4'!$AH$10='Sprachen &amp; Rückgabewerte(4)'!$B$14,'Pos. 4'!$AL$10='Sprachen &amp; Rückgabewerte(4)'!$B$14,'Pos. 4'!$AP$10='Sprachen &amp; Rückgabewerte(4)'!$B$14),0,1)</f>
        <v>1</v>
      </c>
      <c r="M71" s="297">
        <f>IF(AND(L71=0,'Pos. 4'!AW48=""),0,1)</f>
        <v>1</v>
      </c>
      <c r="U71" s="310" t="b">
        <f>IF(M71=1,TRUE,FALSE)</f>
        <v>1</v>
      </c>
      <c r="V71" s="486">
        <f t="shared" si="8"/>
        <v>0</v>
      </c>
    </row>
    <row r="72" spans="2:23" x14ac:dyDescent="0.2">
      <c r="B72" s="436" t="str">
        <f>$H$115</f>
        <v>ohne Stahl</v>
      </c>
      <c r="C72" s="499"/>
      <c r="D72" s="280" t="s">
        <v>156</v>
      </c>
      <c r="E72" s="316" t="s">
        <v>156</v>
      </c>
      <c r="F72" s="316" t="s">
        <v>156</v>
      </c>
      <c r="G72" s="316" t="s">
        <v>156</v>
      </c>
      <c r="H72" s="436" t="str">
        <f t="shared" ref="H72:H88" si="12">IF($B$3=$A$3,D72,IF($B$3=$A$4,E72,IF($B$3=$A$5,F72,IF($B$3=$A$6,G72,""))))</f>
        <v>L=52mm</v>
      </c>
      <c r="I72" s="445"/>
      <c r="J72" s="279" t="str">
        <f>H72</f>
        <v>L=52mm</v>
      </c>
      <c r="K72" s="304" t="s">
        <v>743</v>
      </c>
      <c r="L72" s="305">
        <f>C95</f>
        <v>6</v>
      </c>
      <c r="M72" s="486"/>
      <c r="U72" s="310" t="b">
        <f>IF(AND(L72&gt;0,I50=TRUE),FALSE,TRUE)</f>
        <v>1</v>
      </c>
      <c r="V72" s="486">
        <f t="shared" si="8"/>
        <v>0</v>
      </c>
    </row>
    <row r="73" spans="2:23" x14ac:dyDescent="0.2">
      <c r="B73" s="436"/>
      <c r="C73" s="499"/>
      <c r="D73" s="280" t="s">
        <v>157</v>
      </c>
      <c r="E73" s="316" t="s">
        <v>157</v>
      </c>
      <c r="F73" s="316" t="s">
        <v>157</v>
      </c>
      <c r="G73" s="316" t="s">
        <v>157</v>
      </c>
      <c r="H73" s="436" t="str">
        <f t="shared" si="12"/>
        <v>L=82mm</v>
      </c>
      <c r="I73" s="445"/>
      <c r="J73" s="279" t="str">
        <f>H73</f>
        <v>L=82mm</v>
      </c>
      <c r="K73" s="304" t="s">
        <v>745</v>
      </c>
      <c r="L73" s="305">
        <f>A50</f>
        <v>0</v>
      </c>
      <c r="M73" s="486"/>
      <c r="U73" s="310" t="b">
        <f>IF(L73=0,TRUE,FALSE)</f>
        <v>1</v>
      </c>
      <c r="V73" s="486">
        <f t="shared" si="8"/>
        <v>0</v>
      </c>
    </row>
    <row r="74" spans="2:23" x14ac:dyDescent="0.2">
      <c r="B74" s="436" t="str">
        <f>$H$120</f>
        <v>mit AL.</v>
      </c>
      <c r="C74" s="499"/>
      <c r="D74" s="280" t="s">
        <v>158</v>
      </c>
      <c r="E74" s="316" t="s">
        <v>158</v>
      </c>
      <c r="F74" s="316" t="s">
        <v>158</v>
      </c>
      <c r="G74" s="316" t="s">
        <v>158</v>
      </c>
      <c r="H74" s="436" t="str">
        <f t="shared" si="12"/>
        <v>L=112mm</v>
      </c>
      <c r="I74" s="445"/>
      <c r="J74" s="279" t="str">
        <f>H74</f>
        <v>L=112mm</v>
      </c>
      <c r="K74" s="304" t="s">
        <v>327</v>
      </c>
      <c r="L74" s="305" t="b">
        <f>IF(AND(I51=TRUE,'Pos. 4'!AP86=""),FALSE,TRUE)</f>
        <v>1</v>
      </c>
      <c r="M74" s="486"/>
      <c r="U74" s="310" t="b">
        <f>L74</f>
        <v>1</v>
      </c>
      <c r="V74" s="486">
        <f t="shared" si="8"/>
        <v>0</v>
      </c>
    </row>
    <row r="75" spans="2:23" x14ac:dyDescent="0.2">
      <c r="B75" s="436" t="str">
        <f>$H$121</f>
        <v>ohne AL.</v>
      </c>
      <c r="C75" s="499"/>
      <c r="D75" s="280" t="s">
        <v>871</v>
      </c>
      <c r="E75" s="316" t="s">
        <v>872</v>
      </c>
      <c r="F75" s="316" t="s">
        <v>873</v>
      </c>
      <c r="G75" s="317" t="s">
        <v>874</v>
      </c>
      <c r="H75" s="436" t="str">
        <f t="shared" si="12"/>
        <v>(VE à 100 Stk.)</v>
      </c>
      <c r="I75" s="445"/>
      <c r="K75" s="304" t="s">
        <v>746</v>
      </c>
      <c r="L75" s="305" t="b">
        <f>IF(AND(I22=TRUE,'Pos. 4'!AL39=""),FALSE,TRUE)</f>
        <v>1</v>
      </c>
      <c r="M75" s="486"/>
      <c r="U75" s="310" t="b">
        <f>L75</f>
        <v>1</v>
      </c>
      <c r="V75" s="486">
        <f t="shared" si="8"/>
        <v>0</v>
      </c>
    </row>
    <row r="76" spans="2:23" x14ac:dyDescent="0.2">
      <c r="B76" s="436"/>
      <c r="D76" s="280" t="s">
        <v>159</v>
      </c>
      <c r="E76" s="316" t="s">
        <v>261</v>
      </c>
      <c r="F76" s="316" t="s">
        <v>283</v>
      </c>
      <c r="G76" s="317" t="s">
        <v>296</v>
      </c>
      <c r="H76" s="436" t="str">
        <f t="shared" si="12"/>
        <v>Sockelbefestigung:</v>
      </c>
      <c r="I76" s="445"/>
      <c r="K76" s="304" t="s">
        <v>747</v>
      </c>
      <c r="L76" s="305" t="b">
        <f>IF(AND(I45=TRUE,'Pos. 4'!AI57=""),FALSE,TRUE)</f>
        <v>1</v>
      </c>
      <c r="M76" s="486"/>
      <c r="U76" s="310" t="b">
        <f t="shared" ref="U76:U77" si="13">L76</f>
        <v>1</v>
      </c>
      <c r="V76" s="486">
        <f t="shared" si="8"/>
        <v>0</v>
      </c>
    </row>
    <row r="77" spans="2:23" ht="13.5" thickBot="1" x14ac:dyDescent="0.25">
      <c r="B77" s="436" t="str">
        <f>$H$122</f>
        <v>mit Stahl (&gt;2.5m)</v>
      </c>
      <c r="D77" s="280" t="s">
        <v>160</v>
      </c>
      <c r="E77" s="316" t="s">
        <v>262</v>
      </c>
      <c r="F77" s="316" t="s">
        <v>284</v>
      </c>
      <c r="G77" s="317" t="s">
        <v>297</v>
      </c>
      <c r="H77" s="436" t="str">
        <f t="shared" si="12"/>
        <v>Verstellschrauben M10 x</v>
      </c>
      <c r="I77" s="445"/>
      <c r="J77" s="279" t="str">
        <f>H80</f>
        <v>ohne</v>
      </c>
      <c r="K77" s="307" t="s">
        <v>748</v>
      </c>
      <c r="L77" s="308" t="b">
        <f>IF(OR('Pos. 4'!AE84='Sprachen &amp; Rückgabewerte(4)'!H88,AND('Pos. 4'!AE84='Sprachen &amp; Rückgabewerte(4)'!H89,'Pos. 4'!AE85&lt;&gt;"")),TRUE,FALSE)</f>
        <v>0</v>
      </c>
      <c r="M77" s="506"/>
      <c r="U77" s="310" t="b">
        <f t="shared" si="13"/>
        <v>0</v>
      </c>
      <c r="V77" s="486">
        <f t="shared" si="8"/>
        <v>1</v>
      </c>
    </row>
    <row r="78" spans="2:23" ht="13.5" thickBot="1" x14ac:dyDescent="0.25">
      <c r="B78" s="489" t="str">
        <f>$H$123</f>
        <v>ohne Stahl (&lt;2.5m)</v>
      </c>
      <c r="D78" s="280" t="s">
        <v>161</v>
      </c>
      <c r="E78" s="316" t="s">
        <v>161</v>
      </c>
      <c r="F78" s="316" t="s">
        <v>161</v>
      </c>
      <c r="G78" s="316" t="s">
        <v>161</v>
      </c>
      <c r="H78" s="436" t="str">
        <f t="shared" si="12"/>
        <v>L=70mm</v>
      </c>
      <c r="I78" s="445"/>
      <c r="J78" s="279" t="str">
        <f>H78</f>
        <v>L=70mm</v>
      </c>
      <c r="K78" s="33" t="s">
        <v>429</v>
      </c>
      <c r="L78" s="437"/>
      <c r="M78" s="437"/>
      <c r="N78" s="437"/>
      <c r="O78" s="438"/>
      <c r="T78" s="315" t="s">
        <v>935</v>
      </c>
      <c r="U78" s="310" t="b">
        <f>IF('Pos. 4'!AZ9="",FALSE,TRUE)</f>
        <v>0</v>
      </c>
      <c r="V78" s="486">
        <f t="shared" si="8"/>
        <v>1</v>
      </c>
      <c r="W78" s="502">
        <f>SUM(V78:V79)</f>
        <v>2</v>
      </c>
    </row>
    <row r="79" spans="2:23" ht="13.5" thickBot="1" x14ac:dyDescent="0.25">
      <c r="D79" s="280" t="s">
        <v>162</v>
      </c>
      <c r="E79" s="316" t="s">
        <v>162</v>
      </c>
      <c r="F79" s="316" t="s">
        <v>162</v>
      </c>
      <c r="G79" s="316" t="s">
        <v>162</v>
      </c>
      <c r="H79" s="436" t="str">
        <f t="shared" si="12"/>
        <v>L=100mm</v>
      </c>
      <c r="I79" s="445"/>
      <c r="J79" s="279" t="str">
        <f>H79</f>
        <v>L=100mm</v>
      </c>
      <c r="K79" s="507" t="str">
        <f>H65</f>
        <v>mit Verschlussraster (Druckknopf)</v>
      </c>
      <c r="L79" s="508"/>
      <c r="M79" s="509"/>
      <c r="N79" s="510" t="str">
        <f>IF(OR(C62=TRUE,C63=TRUE),K81,K79)</f>
        <v>mit Verschlussraster (Druckknopf)</v>
      </c>
      <c r="O79" s="511"/>
      <c r="T79" s="315" t="s">
        <v>936</v>
      </c>
      <c r="U79" s="310" t="b">
        <f>IF('Pos. 4'!AZ10="",FALSE,TRUE)</f>
        <v>0</v>
      </c>
      <c r="V79" s="486">
        <f t="shared" si="8"/>
        <v>1</v>
      </c>
    </row>
    <row r="80" spans="2:23" ht="13.5" thickBot="1" x14ac:dyDescent="0.25">
      <c r="B80" s="56" t="s">
        <v>604</v>
      </c>
      <c r="D80" s="280" t="s">
        <v>163</v>
      </c>
      <c r="E80" s="316" t="s">
        <v>263</v>
      </c>
      <c r="F80" s="316" t="s">
        <v>285</v>
      </c>
      <c r="G80" s="317" t="s">
        <v>298</v>
      </c>
      <c r="H80" s="436" t="str">
        <f t="shared" si="12"/>
        <v>ohne</v>
      </c>
      <c r="I80" s="445"/>
      <c r="J80" s="279" t="str">
        <f>H80</f>
        <v>ohne</v>
      </c>
      <c r="K80" s="512" t="str">
        <f>H67</f>
        <v>ohne Verschlussraster</v>
      </c>
      <c r="L80" s="513"/>
      <c r="M80" s="460"/>
      <c r="N80" s="514" t="str">
        <f>IF(OR(C62=TRUE,C63=TRUE),K82,K80)</f>
        <v>ohne Verschlussraster</v>
      </c>
      <c r="O80" s="450"/>
      <c r="U80" s="310"/>
      <c r="V80" s="486"/>
    </row>
    <row r="81" spans="1:22" ht="13.5" thickBot="1" x14ac:dyDescent="0.25">
      <c r="A81" s="515">
        <v>280</v>
      </c>
      <c r="B81" s="516" t="str">
        <f>""</f>
        <v/>
      </c>
      <c r="C81" s="517">
        <v>214</v>
      </c>
      <c r="D81" s="280" t="s">
        <v>164</v>
      </c>
      <c r="E81" s="316" t="s">
        <v>264</v>
      </c>
      <c r="F81" s="316" t="s">
        <v>286</v>
      </c>
      <c r="G81" s="317" t="s">
        <v>299</v>
      </c>
      <c r="H81" s="436" t="str">
        <f t="shared" si="12"/>
        <v>inklusive</v>
      </c>
      <c r="I81" s="445"/>
      <c r="J81" s="279" t="str">
        <f>H81</f>
        <v>inklusive</v>
      </c>
      <c r="K81" s="377" t="str">
        <f>H66</f>
        <v>mit Verschlussraster (Zylinder)</v>
      </c>
      <c r="L81" s="504"/>
      <c r="M81" s="378"/>
      <c r="N81" s="518"/>
      <c r="O81" s="455"/>
      <c r="U81" s="310"/>
      <c r="V81" s="486"/>
    </row>
    <row r="82" spans="1:22" x14ac:dyDescent="0.2">
      <c r="A82" s="519">
        <v>254</v>
      </c>
      <c r="B82" s="520">
        <v>85</v>
      </c>
      <c r="C82" s="521">
        <f>IF('Pos. 4'!$T$114='Sprachen &amp; Rückgabewerte(4)'!$J$146,130,144)</f>
        <v>144</v>
      </c>
      <c r="D82" s="280" t="s">
        <v>265</v>
      </c>
      <c r="E82" s="316" t="s">
        <v>266</v>
      </c>
      <c r="F82" s="316" t="s">
        <v>287</v>
      </c>
      <c r="G82" s="317" t="s">
        <v>266</v>
      </c>
      <c r="H82" s="436" t="str">
        <f t="shared" si="12"/>
        <v>Sockel 75</v>
      </c>
      <c r="I82" s="445"/>
      <c r="J82" s="279" t="str">
        <f>H82</f>
        <v>Sockel 75</v>
      </c>
      <c r="K82" s="279" t="str">
        <f>H161</f>
        <v>ohne Verschlussraster (Zylinder)</v>
      </c>
      <c r="U82" s="310"/>
      <c r="V82" s="486"/>
    </row>
    <row r="83" spans="1:22" ht="13.5" thickBot="1" x14ac:dyDescent="0.25">
      <c r="A83" s="519">
        <v>254</v>
      </c>
      <c r="B83" s="520">
        <v>105</v>
      </c>
      <c r="C83" s="521">
        <f>IF('Pos. 4'!$T$114='Sprachen &amp; Rückgabewerte(4)'!$J$146,158,172)</f>
        <v>172</v>
      </c>
      <c r="D83" s="280" t="s">
        <v>163</v>
      </c>
      <c r="E83" s="316" t="s">
        <v>263</v>
      </c>
      <c r="F83" s="316" t="s">
        <v>285</v>
      </c>
      <c r="G83" s="317" t="s">
        <v>298</v>
      </c>
      <c r="H83" s="436" t="str">
        <f t="shared" si="12"/>
        <v>ohne</v>
      </c>
      <c r="I83" s="445"/>
      <c r="S83" s="279" t="s">
        <v>934</v>
      </c>
      <c r="T83" s="314" t="s">
        <v>749</v>
      </c>
      <c r="U83" s="311" t="b">
        <f>IF(V83&gt;0,FALSE,TRUE)</f>
        <v>0</v>
      </c>
      <c r="V83" s="506">
        <f>SUM(V41:V82)</f>
        <v>20</v>
      </c>
    </row>
    <row r="84" spans="1:22" ht="13.5" thickBot="1" x14ac:dyDescent="0.25">
      <c r="A84" s="522">
        <v>228</v>
      </c>
      <c r="B84" s="523">
        <v>110</v>
      </c>
      <c r="C84" s="524">
        <f>IF('Pos. 4'!$T$114='Sprachen &amp; Rückgabewerte(4)'!$J$146,186,200)</f>
        <v>200</v>
      </c>
      <c r="D84" s="280" t="s">
        <v>165</v>
      </c>
      <c r="E84" s="316" t="s">
        <v>267</v>
      </c>
      <c r="F84" s="316" t="s">
        <v>288</v>
      </c>
      <c r="G84" s="317" t="s">
        <v>300</v>
      </c>
      <c r="H84" s="436" t="str">
        <f t="shared" si="12"/>
        <v>Rahmenzusammenbau:</v>
      </c>
      <c r="I84" s="445"/>
    </row>
    <row r="85" spans="1:22" x14ac:dyDescent="0.2">
      <c r="D85" s="280" t="s">
        <v>166</v>
      </c>
      <c r="E85" s="316" t="s">
        <v>268</v>
      </c>
      <c r="F85" s="316" t="s">
        <v>289</v>
      </c>
      <c r="G85" s="317" t="s">
        <v>301</v>
      </c>
      <c r="H85" s="436" t="str">
        <f t="shared" si="12"/>
        <v>Gehrungsstoss (A)</v>
      </c>
      <c r="I85" s="445"/>
      <c r="J85" s="279" t="str">
        <f>H85</f>
        <v>Gehrungsstoss (A)</v>
      </c>
      <c r="L85" s="542" t="s">
        <v>696</v>
      </c>
      <c r="M85" s="543"/>
    </row>
    <row r="86" spans="1:22" ht="13.5" thickBot="1" x14ac:dyDescent="0.25">
      <c r="D86" s="280" t="s">
        <v>322</v>
      </c>
      <c r="E86" s="316" t="s">
        <v>269</v>
      </c>
      <c r="F86" s="316" t="s">
        <v>290</v>
      </c>
      <c r="G86" s="317" t="s">
        <v>493</v>
      </c>
      <c r="H86" s="436" t="str">
        <f t="shared" si="12"/>
        <v>Montagestoss (B)</v>
      </c>
      <c r="I86" s="445"/>
      <c r="J86" s="279" t="str">
        <f>H86</f>
        <v>Montagestoss (B)</v>
      </c>
      <c r="L86" s="525"/>
      <c r="M86" s="446"/>
    </row>
    <row r="87" spans="1:22" x14ac:dyDescent="0.2">
      <c r="B87" s="540" t="s">
        <v>634</v>
      </c>
      <c r="C87" s="541"/>
      <c r="D87" s="280" t="s">
        <v>167</v>
      </c>
      <c r="E87" s="316" t="s">
        <v>270</v>
      </c>
      <c r="F87" s="316" t="s">
        <v>330</v>
      </c>
      <c r="G87" s="317" t="s">
        <v>302</v>
      </c>
      <c r="H87" s="436" t="str">
        <f t="shared" si="12"/>
        <v>Logistik:</v>
      </c>
      <c r="I87" s="445"/>
      <c r="L87" s="526">
        <v>1</v>
      </c>
      <c r="M87" s="317" t="str">
        <f>CONCATENATE($H$154," ",L87)</f>
        <v>Kalenderwoche 1</v>
      </c>
    </row>
    <row r="88" spans="1:22" x14ac:dyDescent="0.2">
      <c r="B88" s="329" t="s">
        <v>635</v>
      </c>
      <c r="C88" s="362">
        <f>IF(AND(I50=TRUE,'Pos. 4'!T104&lt;&gt;""),0,1)</f>
        <v>1</v>
      </c>
      <c r="D88" s="280" t="s">
        <v>323</v>
      </c>
      <c r="E88" s="316" t="s">
        <v>753</v>
      </c>
      <c r="F88" s="316" t="s">
        <v>324</v>
      </c>
      <c r="G88" s="317" t="s">
        <v>508</v>
      </c>
      <c r="H88" s="436" t="str">
        <f t="shared" si="12"/>
        <v>ohne Glas-Sortierung</v>
      </c>
      <c r="I88" s="445"/>
      <c r="J88" s="279" t="str">
        <f>H88</f>
        <v>ohne Glas-Sortierung</v>
      </c>
      <c r="L88" s="526">
        <v>2</v>
      </c>
      <c r="M88" s="317" t="str">
        <f t="shared" ref="M88:M138" si="14">CONCATENATE($H$154," ",L88)</f>
        <v>Kalenderwoche 2</v>
      </c>
    </row>
    <row r="89" spans="1:22" x14ac:dyDescent="0.2">
      <c r="B89" s="280" t="s">
        <v>636</v>
      </c>
      <c r="C89" s="461">
        <f>IF(AND(I50=TRUE,'Pos. 4'!T106&lt;&gt;""),0,1)</f>
        <v>1</v>
      </c>
      <c r="D89" s="280" t="s">
        <v>168</v>
      </c>
      <c r="E89" s="316" t="s">
        <v>325</v>
      </c>
      <c r="F89" s="316" t="s">
        <v>326</v>
      </c>
      <c r="G89" s="317" t="s">
        <v>509</v>
      </c>
      <c r="H89" s="436" t="str">
        <f>IF($B$3=$A$3,D89,IF($B$3=$A$4,E89,IF($B$3=$A$5,F89,IF($B$3=$A$6,$G$89,""))))</f>
        <v>nach Stockwerk:</v>
      </c>
      <c r="I89" s="445"/>
      <c r="J89" s="279" t="str">
        <f>H89</f>
        <v>nach Stockwerk:</v>
      </c>
      <c r="L89" s="526">
        <v>3</v>
      </c>
      <c r="M89" s="317" t="str">
        <f t="shared" si="14"/>
        <v>Kalenderwoche 3</v>
      </c>
    </row>
    <row r="90" spans="1:22" x14ac:dyDescent="0.2">
      <c r="B90" s="280" t="s">
        <v>637</v>
      </c>
      <c r="C90" s="461">
        <f>IF(AND(I50=TRUE,'Pos. 4'!T108&lt;&gt;""),0,1)</f>
        <v>1</v>
      </c>
      <c r="D90" s="280" t="s">
        <v>272</v>
      </c>
      <c r="E90" s="316" t="s">
        <v>271</v>
      </c>
      <c r="F90" s="316" t="s">
        <v>291</v>
      </c>
      <c r="G90" s="317" t="s">
        <v>357</v>
      </c>
      <c r="H90" s="436" t="str">
        <f>IF($B$3=$A$3,D90,IF($B$3=$A$4,E90,IF($B$3=$A$5,F90,IF($B$3=$A$6,G90,""))))</f>
        <v>Wunschtermin:</v>
      </c>
      <c r="I90" s="445"/>
      <c r="L90" s="526">
        <v>4</v>
      </c>
      <c r="M90" s="317" t="str">
        <f t="shared" si="14"/>
        <v>Kalenderwoche 4</v>
      </c>
    </row>
    <row r="91" spans="1:22" x14ac:dyDescent="0.2">
      <c r="B91" s="280" t="s">
        <v>638</v>
      </c>
      <c r="C91" s="461">
        <f>IF(AND(I50=TRUE,'Pos. 4'!T110&lt;&gt;""),0,1)</f>
        <v>1</v>
      </c>
      <c r="D91" s="280" t="s">
        <v>373</v>
      </c>
      <c r="E91" s="316" t="s">
        <v>273</v>
      </c>
      <c r="F91" s="316" t="s">
        <v>374</v>
      </c>
      <c r="G91" s="317" t="s">
        <v>375</v>
      </c>
      <c r="H91" s="436" t="str">
        <f t="shared" ref="H91:H111" si="15">IF($B$3=$A$3,D91,IF($B$3=$A$4,E91,IF($B$3=$A$5,F91,IF($B$3=$A$6,G91,""))))</f>
        <v>Farbe Laufschiene + Schraubenarretierungen:</v>
      </c>
      <c r="I91" s="445"/>
      <c r="L91" s="526">
        <v>5</v>
      </c>
      <c r="M91" s="317" t="str">
        <f t="shared" si="14"/>
        <v>Kalenderwoche 5</v>
      </c>
    </row>
    <row r="92" spans="1:22" x14ac:dyDescent="0.2">
      <c r="B92" s="280" t="s">
        <v>639</v>
      </c>
      <c r="C92" s="461">
        <f>IF(AND(I50=TRUE,'Pos. 4'!T112&lt;&gt;""),0,1)</f>
        <v>1</v>
      </c>
      <c r="D92" s="280" t="s">
        <v>421</v>
      </c>
      <c r="E92" s="316" t="s">
        <v>422</v>
      </c>
      <c r="F92" s="316" t="s">
        <v>423</v>
      </c>
      <c r="G92" s="317" t="s">
        <v>424</v>
      </c>
      <c r="H92" s="436" t="str">
        <f t="shared" si="15"/>
        <v>Silber</v>
      </c>
      <c r="I92" s="445"/>
      <c r="J92" s="279" t="str">
        <f>H92</f>
        <v>Silber</v>
      </c>
      <c r="L92" s="526">
        <v>6</v>
      </c>
      <c r="M92" s="317" t="str">
        <f t="shared" si="14"/>
        <v>Kalenderwoche 6</v>
      </c>
    </row>
    <row r="93" spans="1:22" x14ac:dyDescent="0.2">
      <c r="B93" s="280" t="s">
        <v>640</v>
      </c>
      <c r="C93" s="461">
        <f>IF(AND(I50=TRUE,'Pos. 4'!T114&lt;&gt;""),0,1)</f>
        <v>1</v>
      </c>
      <c r="D93" s="280" t="s">
        <v>169</v>
      </c>
      <c r="E93" s="316" t="s">
        <v>274</v>
      </c>
      <c r="F93" s="316" t="s">
        <v>292</v>
      </c>
      <c r="G93" s="317" t="s">
        <v>303</v>
      </c>
      <c r="H93" s="436" t="str">
        <f t="shared" si="15"/>
        <v>Schwarz</v>
      </c>
      <c r="I93" s="445"/>
      <c r="J93" s="279" t="str">
        <f>H93</f>
        <v>Schwarz</v>
      </c>
      <c r="L93" s="526">
        <v>7</v>
      </c>
      <c r="M93" s="317" t="str">
        <f t="shared" si="14"/>
        <v>Kalenderwoche 7</v>
      </c>
      <c r="N93" s="527"/>
    </row>
    <row r="94" spans="1:22" x14ac:dyDescent="0.2">
      <c r="B94" s="280"/>
      <c r="C94" s="317"/>
      <c r="D94" s="280" t="s">
        <v>367</v>
      </c>
      <c r="E94" s="316" t="s">
        <v>578</v>
      </c>
      <c r="F94" s="316" t="s">
        <v>366</v>
      </c>
      <c r="G94" s="317" t="s">
        <v>368</v>
      </c>
      <c r="H94" s="436" t="str">
        <f t="shared" si="15"/>
        <v>Druckausgleichsventile :</v>
      </c>
      <c r="I94" s="445"/>
      <c r="L94" s="526">
        <v>8</v>
      </c>
      <c r="M94" s="317" t="str">
        <f t="shared" si="14"/>
        <v>Kalenderwoche 8</v>
      </c>
    </row>
    <row r="95" spans="1:22" ht="13.5" thickBot="1" x14ac:dyDescent="0.25">
      <c r="B95" s="225" t="s">
        <v>641</v>
      </c>
      <c r="C95" s="226">
        <f>SUM(C88:C93)</f>
        <v>6</v>
      </c>
      <c r="D95" s="280" t="s">
        <v>170</v>
      </c>
      <c r="E95" s="316" t="s">
        <v>175</v>
      </c>
      <c r="F95" s="316" t="s">
        <v>313</v>
      </c>
      <c r="G95" s="317" t="s">
        <v>304</v>
      </c>
      <c r="H95" s="436" t="str">
        <f t="shared" si="15"/>
        <v>Ja</v>
      </c>
      <c r="I95" s="445"/>
      <c r="J95" s="279" t="str">
        <f>H95</f>
        <v>Ja</v>
      </c>
      <c r="L95" s="526">
        <v>9</v>
      </c>
      <c r="M95" s="317" t="str">
        <f t="shared" si="14"/>
        <v>Kalenderwoche 9</v>
      </c>
    </row>
    <row r="96" spans="1:22" x14ac:dyDescent="0.2">
      <c r="D96" s="280" t="s">
        <v>171</v>
      </c>
      <c r="E96" s="316" t="s">
        <v>176</v>
      </c>
      <c r="F96" s="316" t="s">
        <v>798</v>
      </c>
      <c r="G96" s="317" t="s">
        <v>176</v>
      </c>
      <c r="H96" s="436" t="str">
        <f t="shared" si="15"/>
        <v>Nein</v>
      </c>
      <c r="I96" s="445"/>
      <c r="J96" s="279" t="str">
        <f>H96</f>
        <v>Nein</v>
      </c>
      <c r="L96" s="526">
        <v>10</v>
      </c>
      <c r="M96" s="317" t="str">
        <f t="shared" si="14"/>
        <v>Kalenderwoche 10</v>
      </c>
    </row>
    <row r="97" spans="4:14" x14ac:dyDescent="0.2">
      <c r="D97" s="280" t="s">
        <v>172</v>
      </c>
      <c r="E97" s="316" t="s">
        <v>177</v>
      </c>
      <c r="F97" s="316" t="s">
        <v>314</v>
      </c>
      <c r="G97" s="317" t="s">
        <v>305</v>
      </c>
      <c r="H97" s="436" t="str">
        <f t="shared" si="15"/>
        <v>Digitale Unterschrift:</v>
      </c>
      <c r="I97" s="445"/>
      <c r="L97" s="526">
        <v>11</v>
      </c>
      <c r="M97" s="317" t="str">
        <f t="shared" si="14"/>
        <v>Kalenderwoche 11</v>
      </c>
    </row>
    <row r="98" spans="4:14" x14ac:dyDescent="0.2">
      <c r="D98" s="280" t="s">
        <v>174</v>
      </c>
      <c r="E98" s="316" t="s">
        <v>275</v>
      </c>
      <c r="F98" s="316" t="s">
        <v>315</v>
      </c>
      <c r="G98" s="317" t="s">
        <v>358</v>
      </c>
      <c r="H98" s="436" t="str">
        <f t="shared" si="15"/>
        <v>Bestellung an:</v>
      </c>
      <c r="I98" s="445"/>
      <c r="L98" s="526">
        <v>12</v>
      </c>
      <c r="M98" s="317" t="str">
        <f t="shared" si="14"/>
        <v>Kalenderwoche 12</v>
      </c>
    </row>
    <row r="99" spans="4:14" x14ac:dyDescent="0.2">
      <c r="D99" s="280" t="s">
        <v>173</v>
      </c>
      <c r="E99" s="316" t="s">
        <v>173</v>
      </c>
      <c r="F99" s="316" t="s">
        <v>173</v>
      </c>
      <c r="G99" s="317" t="s">
        <v>173</v>
      </c>
      <c r="H99" s="436" t="str">
        <f t="shared" si="15"/>
        <v>orders@sky-frame.ch</v>
      </c>
      <c r="I99" s="445"/>
      <c r="L99" s="526">
        <v>13</v>
      </c>
      <c r="M99" s="317" t="str">
        <f t="shared" si="14"/>
        <v>Kalenderwoche 13</v>
      </c>
    </row>
    <row r="100" spans="4:14" x14ac:dyDescent="0.2">
      <c r="D100" s="280"/>
      <c r="E100" s="316"/>
      <c r="F100" s="316"/>
      <c r="G100" s="317"/>
      <c r="H100" s="436">
        <f t="shared" si="15"/>
        <v>0</v>
      </c>
      <c r="I100" s="445"/>
      <c r="L100" s="526">
        <v>14</v>
      </c>
      <c r="M100" s="317" t="str">
        <f t="shared" si="14"/>
        <v>Kalenderwoche 14</v>
      </c>
    </row>
    <row r="101" spans="4:14" x14ac:dyDescent="0.2">
      <c r="D101" s="280"/>
      <c r="E101" s="316"/>
      <c r="F101" s="316"/>
      <c r="G101" s="317"/>
      <c r="H101" s="436">
        <f t="shared" si="15"/>
        <v>0</v>
      </c>
      <c r="I101" s="445"/>
      <c r="L101" s="526">
        <v>15</v>
      </c>
      <c r="M101" s="317" t="str">
        <f t="shared" si="14"/>
        <v>Kalenderwoche 15</v>
      </c>
    </row>
    <row r="102" spans="4:14" ht="51" x14ac:dyDescent="0.2">
      <c r="D102" s="334" t="s">
        <v>496</v>
      </c>
      <c r="E102" s="494" t="s">
        <v>276</v>
      </c>
      <c r="F102" s="494" t="s">
        <v>734</v>
      </c>
      <c r="G102" s="495" t="s">
        <v>417</v>
      </c>
      <c r="H102" s="528" t="str">
        <f t="shared" si="15"/>
        <v>Diese Bestellung ist verbindlich und muss komplett ausgefüllt werden. Änderungen werden als Mehraufwand verrechnet.</v>
      </c>
      <c r="I102" s="445"/>
      <c r="L102" s="526">
        <v>16</v>
      </c>
      <c r="M102" s="317" t="str">
        <f t="shared" si="14"/>
        <v>Kalenderwoche 16</v>
      </c>
    </row>
    <row r="103" spans="4:14" ht="12.75" customHeight="1" x14ac:dyDescent="0.2">
      <c r="D103" s="334"/>
      <c r="E103" s="316"/>
      <c r="F103" s="316"/>
      <c r="G103" s="317"/>
      <c r="H103" s="436"/>
      <c r="I103" s="445"/>
      <c r="L103" s="526">
        <v>17</v>
      </c>
      <c r="M103" s="317" t="str">
        <f t="shared" si="14"/>
        <v>Kalenderwoche 17</v>
      </c>
      <c r="N103" s="527"/>
    </row>
    <row r="104" spans="4:14" ht="12.75" customHeight="1" x14ac:dyDescent="0.2">
      <c r="D104" s="280" t="s">
        <v>212</v>
      </c>
      <c r="E104" s="316" t="s">
        <v>741</v>
      </c>
      <c r="F104" s="316" t="s">
        <v>316</v>
      </c>
      <c r="G104" s="317" t="s">
        <v>359</v>
      </c>
      <c r="H104" s="436" t="str">
        <f t="shared" si="15"/>
        <v>A-Ecke 90°</v>
      </c>
      <c r="I104" s="445"/>
      <c r="L104" s="526">
        <v>18</v>
      </c>
      <c r="M104" s="317" t="str">
        <f t="shared" si="14"/>
        <v>Kalenderwoche 18</v>
      </c>
    </row>
    <row r="105" spans="4:14" ht="12.75" customHeight="1" x14ac:dyDescent="0.2">
      <c r="D105" s="280" t="s">
        <v>213</v>
      </c>
      <c r="E105" s="316" t="s">
        <v>740</v>
      </c>
      <c r="F105" s="316" t="s">
        <v>447</v>
      </c>
      <c r="G105" s="317" t="s">
        <v>360</v>
      </c>
      <c r="H105" s="436" t="str">
        <f t="shared" si="15"/>
        <v>I-Ecke 90°</v>
      </c>
      <c r="I105" s="445"/>
      <c r="L105" s="526">
        <v>19</v>
      </c>
      <c r="M105" s="317" t="str">
        <f t="shared" si="14"/>
        <v>Kalenderwoche 19</v>
      </c>
    </row>
    <row r="106" spans="4:14" ht="12.75" customHeight="1" x14ac:dyDescent="0.2">
      <c r="D106" s="280" t="s">
        <v>215</v>
      </c>
      <c r="E106" s="316" t="s">
        <v>739</v>
      </c>
      <c r="F106" s="316" t="s">
        <v>317</v>
      </c>
      <c r="G106" s="317" t="s">
        <v>361</v>
      </c>
      <c r="H106" s="436" t="str">
        <f t="shared" si="15"/>
        <v>A-Ecke≠90°</v>
      </c>
      <c r="I106" s="445"/>
      <c r="L106" s="526">
        <v>20</v>
      </c>
      <c r="M106" s="317" t="str">
        <f t="shared" si="14"/>
        <v>Kalenderwoche 20</v>
      </c>
    </row>
    <row r="107" spans="4:14" ht="12.75" customHeight="1" x14ac:dyDescent="0.2">
      <c r="D107" s="280" t="s">
        <v>216</v>
      </c>
      <c r="E107" s="316" t="s">
        <v>738</v>
      </c>
      <c r="F107" s="316" t="s">
        <v>448</v>
      </c>
      <c r="G107" s="317" t="s">
        <v>362</v>
      </c>
      <c r="H107" s="436" t="str">
        <f t="shared" si="15"/>
        <v>I-Ecke≠90°</v>
      </c>
      <c r="I107" s="445"/>
      <c r="L107" s="526">
        <v>21</v>
      </c>
      <c r="M107" s="317" t="str">
        <f t="shared" si="14"/>
        <v>Kalenderwoche 21</v>
      </c>
    </row>
    <row r="108" spans="4:14" ht="12.75" customHeight="1" x14ac:dyDescent="0.2">
      <c r="D108" s="280" t="s">
        <v>434</v>
      </c>
      <c r="E108" s="316" t="s">
        <v>435</v>
      </c>
      <c r="F108" s="316" t="s">
        <v>436</v>
      </c>
      <c r="G108" s="317" t="s">
        <v>437</v>
      </c>
      <c r="H108" s="436" t="str">
        <f t="shared" si="15"/>
        <v>Wert:</v>
      </c>
      <c r="I108" s="445"/>
      <c r="L108" s="526">
        <v>22</v>
      </c>
      <c r="M108" s="317" t="str">
        <f t="shared" si="14"/>
        <v>Kalenderwoche 22</v>
      </c>
    </row>
    <row r="109" spans="4:14" ht="12.75" customHeight="1" x14ac:dyDescent="0.2">
      <c r="D109" s="280" t="s">
        <v>278</v>
      </c>
      <c r="E109" s="316" t="s">
        <v>277</v>
      </c>
      <c r="F109" s="316" t="s">
        <v>318</v>
      </c>
      <c r="G109" s="316" t="s">
        <v>363</v>
      </c>
      <c r="H109" s="436" t="str">
        <f t="shared" si="15"/>
        <v>Bitte auswählen:</v>
      </c>
      <c r="I109" s="445"/>
      <c r="L109" s="526">
        <v>23</v>
      </c>
      <c r="M109" s="317" t="str">
        <f t="shared" si="14"/>
        <v>Kalenderwoche 23</v>
      </c>
    </row>
    <row r="110" spans="4:14" ht="12.75" customHeight="1" x14ac:dyDescent="0.2">
      <c r="D110" s="280" t="s">
        <v>338</v>
      </c>
      <c r="E110" s="316" t="s">
        <v>338</v>
      </c>
      <c r="F110" s="316" t="s">
        <v>338</v>
      </c>
      <c r="G110" s="316" t="s">
        <v>338</v>
      </c>
      <c r="H110" s="436" t="str">
        <f t="shared" si="15"/>
        <v>KABA (22)</v>
      </c>
      <c r="I110" s="445" t="b">
        <v>0</v>
      </c>
      <c r="L110" s="526">
        <v>24</v>
      </c>
      <c r="M110" s="317" t="str">
        <f t="shared" si="14"/>
        <v>Kalenderwoche 24</v>
      </c>
    </row>
    <row r="111" spans="4:14" ht="12.75" customHeight="1" x14ac:dyDescent="0.2">
      <c r="D111" s="280" t="s">
        <v>339</v>
      </c>
      <c r="E111" s="316" t="s">
        <v>339</v>
      </c>
      <c r="F111" s="316" t="s">
        <v>339</v>
      </c>
      <c r="G111" s="317" t="s">
        <v>339</v>
      </c>
      <c r="H111" s="436" t="str">
        <f t="shared" si="15"/>
        <v>PZ / Euro (17)</v>
      </c>
      <c r="I111" s="445" t="b">
        <v>0</v>
      </c>
      <c r="L111" s="526">
        <v>25</v>
      </c>
      <c r="M111" s="317" t="str">
        <f t="shared" si="14"/>
        <v>Kalenderwoche 25</v>
      </c>
    </row>
    <row r="112" spans="4:14" x14ac:dyDescent="0.2">
      <c r="D112" s="280" t="s">
        <v>379</v>
      </c>
      <c r="E112" s="316" t="s">
        <v>380</v>
      </c>
      <c r="F112" s="316" t="s">
        <v>381</v>
      </c>
      <c r="G112" s="317" t="s">
        <v>382</v>
      </c>
      <c r="H112" s="436" t="str">
        <f>IF($B$3=$A$3,D112,IF($B$3=$A$4,E112,IF($B$3=$A$5,F112,IF($B$3=$A$6,G112,""))))</f>
        <v>mit CFK</v>
      </c>
      <c r="I112" s="445"/>
      <c r="L112" s="526">
        <v>26</v>
      </c>
      <c r="M112" s="317" t="str">
        <f t="shared" si="14"/>
        <v>Kalenderwoche 26</v>
      </c>
    </row>
    <row r="113" spans="4:14" x14ac:dyDescent="0.2">
      <c r="D113" s="280" t="s">
        <v>383</v>
      </c>
      <c r="E113" s="316" t="s">
        <v>384</v>
      </c>
      <c r="F113" s="316" t="s">
        <v>385</v>
      </c>
      <c r="G113" s="317" t="s">
        <v>386</v>
      </c>
      <c r="H113" s="436" t="str">
        <f>IF($B$3=$A$3,D113,IF($B$3=$A$4,E113,IF($B$3=$A$5,F113,IF($B$3=$A$6,G113,""))))</f>
        <v>ohne CFK</v>
      </c>
      <c r="I113" s="445"/>
      <c r="L113" s="526">
        <v>27</v>
      </c>
      <c r="M113" s="317" t="str">
        <f t="shared" si="14"/>
        <v>Kalenderwoche 27</v>
      </c>
      <c r="N113" s="527"/>
    </row>
    <row r="114" spans="4:14" x14ac:dyDescent="0.2">
      <c r="D114" s="280" t="s">
        <v>387</v>
      </c>
      <c r="E114" s="316" t="s">
        <v>389</v>
      </c>
      <c r="F114" s="316" t="s">
        <v>391</v>
      </c>
      <c r="G114" s="317" t="s">
        <v>425</v>
      </c>
      <c r="H114" s="436" t="str">
        <f>IF($B$3=$A$3,D114,IF($B$3=$A$4,E114,IF($B$3=$A$5,F114,IF($B$3=$A$6,G114,""))))</f>
        <v>mit Stahl</v>
      </c>
      <c r="I114" s="445"/>
      <c r="L114" s="526">
        <v>28</v>
      </c>
      <c r="M114" s="317" t="str">
        <f t="shared" si="14"/>
        <v>Kalenderwoche 28</v>
      </c>
    </row>
    <row r="115" spans="4:14" x14ac:dyDescent="0.2">
      <c r="D115" s="280" t="s">
        <v>388</v>
      </c>
      <c r="E115" s="316" t="s">
        <v>390</v>
      </c>
      <c r="F115" s="316" t="s">
        <v>392</v>
      </c>
      <c r="G115" s="317" t="s">
        <v>426</v>
      </c>
      <c r="H115" s="436" t="str">
        <f>IF($B$3=$A$3,D115,IF($B$3=$A$4,E115,IF($B$3=$A$5,F115,IF($B$3=$A$6,G115,""))))</f>
        <v>ohne Stahl</v>
      </c>
      <c r="I115" s="445"/>
      <c r="L115" s="526">
        <v>29</v>
      </c>
      <c r="M115" s="317" t="str">
        <f t="shared" si="14"/>
        <v>Kalenderwoche 29</v>
      </c>
    </row>
    <row r="116" spans="4:14" x14ac:dyDescent="0.2">
      <c r="D116" s="280" t="s">
        <v>395</v>
      </c>
      <c r="E116" s="316" t="s">
        <v>398</v>
      </c>
      <c r="F116" s="316" t="s">
        <v>400</v>
      </c>
      <c r="G116" s="317" t="s">
        <v>403</v>
      </c>
      <c r="H116" s="436" t="str">
        <f>IF($B$3=$A$3,D116,IF($B$3=$A$4,E116,IF($B$3=$A$5,F116,IF($B$3=$A$6,G116,""))))</f>
        <v>Ganzglas-Ecke</v>
      </c>
      <c r="I116" s="445"/>
      <c r="L116" s="526">
        <v>30</v>
      </c>
      <c r="M116" s="317" t="str">
        <f t="shared" si="14"/>
        <v>Kalenderwoche 30</v>
      </c>
    </row>
    <row r="117" spans="4:14" x14ac:dyDescent="0.2">
      <c r="D117" s="280" t="s">
        <v>396</v>
      </c>
      <c r="E117" s="316" t="s">
        <v>737</v>
      </c>
      <c r="F117" s="316" t="s">
        <v>401</v>
      </c>
      <c r="G117" s="317" t="s">
        <v>404</v>
      </c>
      <c r="H117" s="436" t="str">
        <f t="shared" ref="H117:H180" si="16">IF($B$3=$A$3,D117,IF($B$3=$A$4,E117,IF($B$3=$A$5,F117,IF($B$3=$A$6,G117,""))))</f>
        <v>Ecke RC2 (WK2)</v>
      </c>
      <c r="I117" s="445"/>
      <c r="L117" s="526">
        <v>31</v>
      </c>
      <c r="M117" s="317" t="str">
        <f t="shared" si="14"/>
        <v>Kalenderwoche 31</v>
      </c>
    </row>
    <row r="118" spans="4:14" x14ac:dyDescent="0.2">
      <c r="D118" s="280" t="s">
        <v>397</v>
      </c>
      <c r="E118" s="316" t="s">
        <v>399</v>
      </c>
      <c r="F118" s="316" t="s">
        <v>402</v>
      </c>
      <c r="G118" s="317" t="s">
        <v>405</v>
      </c>
      <c r="H118" s="436" t="str">
        <f t="shared" si="16"/>
        <v>Standard (RC2 in Anlehnung)</v>
      </c>
      <c r="I118" s="445"/>
      <c r="L118" s="526">
        <v>32</v>
      </c>
      <c r="M118" s="317" t="str">
        <f t="shared" si="14"/>
        <v>Kalenderwoche 32</v>
      </c>
    </row>
    <row r="119" spans="4:14" x14ac:dyDescent="0.2">
      <c r="D119" s="280" t="s">
        <v>968</v>
      </c>
      <c r="E119" s="316" t="s">
        <v>969</v>
      </c>
      <c r="F119" s="316" t="s">
        <v>970</v>
      </c>
      <c r="G119" s="317" t="s">
        <v>971</v>
      </c>
      <c r="H119" s="436" t="str">
        <f t="shared" si="16"/>
        <v>RC2 mit Blech</v>
      </c>
      <c r="I119" s="445"/>
      <c r="L119" s="526">
        <v>33</v>
      </c>
      <c r="M119" s="317" t="str">
        <f t="shared" si="14"/>
        <v>Kalenderwoche 33</v>
      </c>
    </row>
    <row r="120" spans="4:14" x14ac:dyDescent="0.2">
      <c r="D120" s="280" t="s">
        <v>408</v>
      </c>
      <c r="E120" s="316" t="s">
        <v>411</v>
      </c>
      <c r="F120" s="316" t="s">
        <v>412</v>
      </c>
      <c r="G120" s="317" t="s">
        <v>414</v>
      </c>
      <c r="H120" s="436" t="str">
        <f t="shared" si="16"/>
        <v>mit AL.</v>
      </c>
      <c r="I120" s="445"/>
      <c r="L120" s="526">
        <v>34</v>
      </c>
      <c r="M120" s="317" t="str">
        <f t="shared" si="14"/>
        <v>Kalenderwoche 34</v>
      </c>
    </row>
    <row r="121" spans="4:14" x14ac:dyDescent="0.2">
      <c r="D121" s="280" t="s">
        <v>409</v>
      </c>
      <c r="E121" s="316" t="s">
        <v>410</v>
      </c>
      <c r="F121" s="316" t="s">
        <v>413</v>
      </c>
      <c r="G121" s="317" t="s">
        <v>415</v>
      </c>
      <c r="H121" s="436" t="str">
        <f t="shared" si="16"/>
        <v>ohne AL.</v>
      </c>
      <c r="I121" s="445"/>
      <c r="L121" s="526">
        <v>35</v>
      </c>
      <c r="M121" s="317" t="str">
        <f t="shared" si="14"/>
        <v>Kalenderwoche 35</v>
      </c>
    </row>
    <row r="122" spans="4:14" x14ac:dyDescent="0.2">
      <c r="D122" s="280" t="s">
        <v>837</v>
      </c>
      <c r="E122" s="316" t="s">
        <v>839</v>
      </c>
      <c r="F122" s="316" t="s">
        <v>841</v>
      </c>
      <c r="G122" s="317" t="s">
        <v>843</v>
      </c>
      <c r="H122" s="436" t="str">
        <f t="shared" si="16"/>
        <v>mit Stahl (&gt;2.5m)</v>
      </c>
      <c r="I122" s="445"/>
      <c r="L122" s="526">
        <v>36</v>
      </c>
      <c r="M122" s="317" t="str">
        <f t="shared" si="14"/>
        <v>Kalenderwoche 36</v>
      </c>
    </row>
    <row r="123" spans="4:14" x14ac:dyDescent="0.2">
      <c r="D123" s="280" t="s">
        <v>838</v>
      </c>
      <c r="E123" s="316" t="s">
        <v>840</v>
      </c>
      <c r="F123" s="316" t="s">
        <v>842</v>
      </c>
      <c r="G123" s="317" t="s">
        <v>844</v>
      </c>
      <c r="H123" s="436" t="str">
        <f t="shared" si="16"/>
        <v>ohne Stahl (&lt;2.5m)</v>
      </c>
      <c r="I123" s="445"/>
      <c r="L123" s="526">
        <v>37</v>
      </c>
      <c r="M123" s="317" t="str">
        <f t="shared" si="14"/>
        <v>Kalenderwoche 37</v>
      </c>
    </row>
    <row r="124" spans="4:14" x14ac:dyDescent="0.2">
      <c r="D124" s="280" t="s">
        <v>418</v>
      </c>
      <c r="E124" s="316" t="s">
        <v>736</v>
      </c>
      <c r="F124" s="316" t="s">
        <v>419</v>
      </c>
      <c r="G124" s="317" t="s">
        <v>420</v>
      </c>
      <c r="H124" s="436" t="str">
        <f t="shared" si="16"/>
        <v>Ecke:</v>
      </c>
      <c r="I124" s="445"/>
      <c r="L124" s="526">
        <v>38</v>
      </c>
      <c r="M124" s="317" t="str">
        <f t="shared" si="14"/>
        <v>Kalenderwoche 38</v>
      </c>
    </row>
    <row r="125" spans="4:14" x14ac:dyDescent="0.2">
      <c r="D125" s="280" t="s">
        <v>442</v>
      </c>
      <c r="E125" s="316" t="s">
        <v>442</v>
      </c>
      <c r="F125" s="316" t="s">
        <v>442</v>
      </c>
      <c r="G125" s="317" t="s">
        <v>442</v>
      </c>
      <c r="H125" s="436" t="str">
        <f t="shared" si="16"/>
        <v>NFRC (USA)</v>
      </c>
      <c r="I125" s="445" t="b">
        <v>0</v>
      </c>
      <c r="L125" s="526">
        <v>39</v>
      </c>
      <c r="M125" s="317" t="str">
        <f t="shared" si="14"/>
        <v>Kalenderwoche 39</v>
      </c>
    </row>
    <row r="126" spans="4:14" x14ac:dyDescent="0.2">
      <c r="D126" s="280" t="s">
        <v>453</v>
      </c>
      <c r="E126" s="316" t="s">
        <v>487</v>
      </c>
      <c r="F126" s="316" t="s">
        <v>490</v>
      </c>
      <c r="G126" s="317" t="s">
        <v>474</v>
      </c>
      <c r="H126" s="436" t="str">
        <f t="shared" si="16"/>
        <v>Bestellung vollständig ausfüllen.</v>
      </c>
      <c r="I126" s="445"/>
      <c r="L126" s="526">
        <v>40</v>
      </c>
      <c r="M126" s="317" t="str">
        <f t="shared" si="14"/>
        <v>Kalenderwoche 40</v>
      </c>
    </row>
    <row r="127" spans="4:14" x14ac:dyDescent="0.2">
      <c r="D127" s="280" t="s">
        <v>468</v>
      </c>
      <c r="E127" s="316" t="s">
        <v>488</v>
      </c>
      <c r="F127" s="316" t="s">
        <v>492</v>
      </c>
      <c r="G127" s="317" t="s">
        <v>475</v>
      </c>
      <c r="H127" s="436" t="str">
        <f t="shared" si="16"/>
        <v>Überprüfen ob keine roten Rahmen aufleuchten.</v>
      </c>
      <c r="I127" s="445"/>
      <c r="L127" s="526">
        <v>41</v>
      </c>
      <c r="M127" s="317" t="str">
        <f t="shared" si="14"/>
        <v>Kalenderwoche 41</v>
      </c>
    </row>
    <row r="128" spans="4:14" x14ac:dyDescent="0.2">
      <c r="D128" s="280" t="s">
        <v>469</v>
      </c>
      <c r="E128" s="316" t="s">
        <v>489</v>
      </c>
      <c r="F128" s="316" t="s">
        <v>491</v>
      </c>
      <c r="G128" s="317" t="s">
        <v>476</v>
      </c>
      <c r="H128" s="436" t="str">
        <f t="shared" si="16"/>
        <v>Bestellung senden an:</v>
      </c>
      <c r="I128" s="445"/>
      <c r="L128" s="526">
        <v>42</v>
      </c>
      <c r="M128" s="317" t="str">
        <f t="shared" si="14"/>
        <v>Kalenderwoche 42</v>
      </c>
    </row>
    <row r="129" spans="4:13" x14ac:dyDescent="0.2">
      <c r="D129" s="280" t="s">
        <v>467</v>
      </c>
      <c r="E129" s="316" t="s">
        <v>486</v>
      </c>
      <c r="F129" s="316" t="s">
        <v>486</v>
      </c>
      <c r="G129" s="317" t="s">
        <v>473</v>
      </c>
      <c r="H129" s="436" t="str">
        <f t="shared" si="16"/>
        <v>Anleitung:</v>
      </c>
      <c r="I129" s="445"/>
      <c r="L129" s="526">
        <v>43</v>
      </c>
      <c r="M129" s="317" t="str">
        <f t="shared" si="14"/>
        <v>Kalenderwoche 43</v>
      </c>
    </row>
    <row r="130" spans="4:13" x14ac:dyDescent="0.2">
      <c r="D130" s="280" t="s">
        <v>498</v>
      </c>
      <c r="E130" s="316" t="s">
        <v>497</v>
      </c>
      <c r="F130" s="316" t="s">
        <v>503</v>
      </c>
      <c r="G130" s="317" t="s">
        <v>685</v>
      </c>
      <c r="H130" s="436" t="str">
        <f t="shared" si="16"/>
        <v>Vertriebspartner:</v>
      </c>
      <c r="I130" s="445"/>
      <c r="L130" s="526">
        <v>44</v>
      </c>
      <c r="M130" s="317" t="str">
        <f t="shared" si="14"/>
        <v>Kalenderwoche 44</v>
      </c>
    </row>
    <row r="131" spans="4:13" x14ac:dyDescent="0.2">
      <c r="D131" s="280" t="s">
        <v>495</v>
      </c>
      <c r="E131" s="316" t="s">
        <v>505</v>
      </c>
      <c r="F131" s="316" t="s">
        <v>504</v>
      </c>
      <c r="G131" s="317" t="s">
        <v>507</v>
      </c>
      <c r="H131" s="436" t="str">
        <f t="shared" si="16"/>
        <v>Bemerkungen:</v>
      </c>
      <c r="I131" s="445"/>
      <c r="L131" s="526">
        <v>45</v>
      </c>
      <c r="M131" s="317" t="str">
        <f t="shared" si="14"/>
        <v>Kalenderwoche 45</v>
      </c>
    </row>
    <row r="132" spans="4:13" x14ac:dyDescent="0.2">
      <c r="D132" s="280" t="s">
        <v>511</v>
      </c>
      <c r="E132" s="316" t="s">
        <v>515</v>
      </c>
      <c r="F132" s="316" t="s">
        <v>516</v>
      </c>
      <c r="G132" s="317" t="s">
        <v>517</v>
      </c>
      <c r="H132" s="436" t="str">
        <f>IF($B$3=$A$3,D132,IF($B$3=$A$4,E132,IF($B$3=$A$5,F132,IF($B$3=$A$6,G132,""))))</f>
        <v>Öffnung angeben →</v>
      </c>
      <c r="I132" s="445"/>
      <c r="L132" s="526">
        <v>46</v>
      </c>
      <c r="M132" s="317" t="str">
        <f t="shared" si="14"/>
        <v>Kalenderwoche 46</v>
      </c>
    </row>
    <row r="133" spans="4:13" x14ac:dyDescent="0.2">
      <c r="D133" s="280" t="s">
        <v>567</v>
      </c>
      <c r="E133" s="316" t="s">
        <v>568</v>
      </c>
      <c r="F133" s="316" t="s">
        <v>570</v>
      </c>
      <c r="G133" s="317" t="s">
        <v>569</v>
      </c>
      <c r="H133" s="436" t="str">
        <f t="shared" si="16"/>
        <v>5-gleisig</v>
      </c>
      <c r="I133" s="445" t="b">
        <f>IF(AND(I12=TRUE,'Pos. 4'!AT5=1),TRUE,FALSE)</f>
        <v>0</v>
      </c>
      <c r="L133" s="526">
        <v>47</v>
      </c>
      <c r="M133" s="317" t="str">
        <f t="shared" si="14"/>
        <v>Kalenderwoche 47</v>
      </c>
    </row>
    <row r="134" spans="4:13" x14ac:dyDescent="0.2">
      <c r="D134" s="512" t="s">
        <v>572</v>
      </c>
      <c r="E134" s="316" t="s">
        <v>572</v>
      </c>
      <c r="F134" s="316" t="s">
        <v>572</v>
      </c>
      <c r="G134" s="317" t="s">
        <v>572</v>
      </c>
      <c r="H134" s="436" t="str">
        <f t="shared" si="16"/>
        <v>Features</v>
      </c>
      <c r="I134" s="445"/>
      <c r="J134" s="279" t="str">
        <f>H159</f>
        <v>Keine</v>
      </c>
      <c r="L134" s="526">
        <v>48</v>
      </c>
      <c r="M134" s="317" t="str">
        <f t="shared" si="14"/>
        <v>Kalenderwoche 48</v>
      </c>
    </row>
    <row r="135" spans="4:13" x14ac:dyDescent="0.2">
      <c r="D135" s="280" t="s">
        <v>586</v>
      </c>
      <c r="E135" s="316" t="s">
        <v>588</v>
      </c>
      <c r="F135" s="316" t="s">
        <v>589</v>
      </c>
      <c r="G135" s="317" t="s">
        <v>590</v>
      </c>
      <c r="H135" s="436" t="str">
        <f t="shared" si="16"/>
        <v>Oben Links</v>
      </c>
      <c r="I135" s="445"/>
      <c r="J135" s="279" t="str">
        <f>H135</f>
        <v>Oben Links</v>
      </c>
      <c r="L135" s="526">
        <v>49</v>
      </c>
      <c r="M135" s="317" t="str">
        <f t="shared" si="14"/>
        <v>Kalenderwoche 49</v>
      </c>
    </row>
    <row r="136" spans="4:13" x14ac:dyDescent="0.2">
      <c r="D136" s="280" t="s">
        <v>587</v>
      </c>
      <c r="E136" s="316" t="s">
        <v>591</v>
      </c>
      <c r="F136" s="316" t="s">
        <v>592</v>
      </c>
      <c r="G136" s="317" t="s">
        <v>593</v>
      </c>
      <c r="H136" s="436" t="str">
        <f t="shared" si="16"/>
        <v>Oben Rechts</v>
      </c>
      <c r="I136" s="445"/>
      <c r="J136" s="279" t="str">
        <f>H136</f>
        <v>Oben Rechts</v>
      </c>
      <c r="L136" s="526">
        <v>50</v>
      </c>
      <c r="M136" s="317" t="str">
        <f t="shared" si="14"/>
        <v>Kalenderwoche 50</v>
      </c>
    </row>
    <row r="137" spans="4:13" x14ac:dyDescent="0.2">
      <c r="D137" s="280" t="s">
        <v>594</v>
      </c>
      <c r="E137" s="316" t="s">
        <v>595</v>
      </c>
      <c r="F137" s="316" t="s">
        <v>596</v>
      </c>
      <c r="G137" s="317" t="s">
        <v>597</v>
      </c>
      <c r="H137" s="436" t="str">
        <f t="shared" si="16"/>
        <v>Lage Glasspinne (Ansicht von Aussen)</v>
      </c>
      <c r="I137" s="445"/>
      <c r="L137" s="526">
        <v>51</v>
      </c>
      <c r="M137" s="317" t="str">
        <f t="shared" si="14"/>
        <v>Kalenderwoche 51</v>
      </c>
    </row>
    <row r="138" spans="4:13" ht="13.5" thickBot="1" x14ac:dyDescent="0.25">
      <c r="D138" s="280" t="s">
        <v>598</v>
      </c>
      <c r="E138" s="316" t="s">
        <v>715</v>
      </c>
      <c r="F138" s="316" t="s">
        <v>688</v>
      </c>
      <c r="G138" s="317" t="s">
        <v>697</v>
      </c>
      <c r="H138" s="436" t="str">
        <f t="shared" si="16"/>
        <v>Rinnenbestellung</v>
      </c>
      <c r="I138" s="445"/>
      <c r="L138" s="529">
        <v>52</v>
      </c>
      <c r="M138" s="475" t="str">
        <f t="shared" si="14"/>
        <v>Kalenderwoche 52</v>
      </c>
    </row>
    <row r="139" spans="4:13" x14ac:dyDescent="0.2">
      <c r="D139" s="280" t="s">
        <v>632</v>
      </c>
      <c r="E139" s="316" t="s">
        <v>716</v>
      </c>
      <c r="F139" s="316" t="s">
        <v>709</v>
      </c>
      <c r="G139" s="317" t="s">
        <v>698</v>
      </c>
      <c r="H139" s="436" t="str">
        <f t="shared" si="16"/>
        <v>Wahl des Rinnensystems:</v>
      </c>
      <c r="I139" s="445"/>
    </row>
    <row r="140" spans="4:13" x14ac:dyDescent="0.2">
      <c r="D140" s="280" t="s">
        <v>631</v>
      </c>
      <c r="E140" s="316" t="s">
        <v>717</v>
      </c>
      <c r="F140" s="316" t="s">
        <v>710</v>
      </c>
      <c r="G140" s="317" t="s">
        <v>833</v>
      </c>
      <c r="H140" s="436" t="str">
        <f t="shared" si="16"/>
        <v>Einzug an der linken Anlagenseite:</v>
      </c>
      <c r="I140" s="445"/>
    </row>
    <row r="141" spans="4:13" x14ac:dyDescent="0.2">
      <c r="D141" s="280" t="s">
        <v>630</v>
      </c>
      <c r="E141" s="316" t="s">
        <v>718</v>
      </c>
      <c r="F141" s="316" t="s">
        <v>711</v>
      </c>
      <c r="G141" s="317" t="s">
        <v>834</v>
      </c>
      <c r="H141" s="436" t="str">
        <f t="shared" si="16"/>
        <v>Einzug an der rechten Anlagenseite:</v>
      </c>
      <c r="I141" s="445"/>
    </row>
    <row r="142" spans="4:13" x14ac:dyDescent="0.2">
      <c r="D142" s="280" t="s">
        <v>629</v>
      </c>
      <c r="E142" s="316" t="s">
        <v>719</v>
      </c>
      <c r="F142" s="316" t="s">
        <v>712</v>
      </c>
      <c r="G142" s="317" t="s">
        <v>699</v>
      </c>
      <c r="H142" s="436" t="str">
        <f t="shared" si="16"/>
        <v>Anschlussstutzen:</v>
      </c>
      <c r="I142" s="445"/>
    </row>
    <row r="143" spans="4:13" x14ac:dyDescent="0.2">
      <c r="D143" s="280" t="s">
        <v>599</v>
      </c>
      <c r="E143" s="316" t="s">
        <v>720</v>
      </c>
      <c r="F143" s="316" t="s">
        <v>689</v>
      </c>
      <c r="G143" s="317" t="s">
        <v>700</v>
      </c>
      <c r="H143" s="436" t="str">
        <f t="shared" si="16"/>
        <v>lose mitliefern</v>
      </c>
      <c r="I143" s="445"/>
      <c r="J143" s="279" t="str">
        <f>H143</f>
        <v>lose mitliefern</v>
      </c>
    </row>
    <row r="144" spans="4:13" x14ac:dyDescent="0.2">
      <c r="D144" s="280" t="s">
        <v>600</v>
      </c>
      <c r="E144" s="316" t="s">
        <v>721</v>
      </c>
      <c r="F144" s="316" t="s">
        <v>690</v>
      </c>
      <c r="G144" s="317" t="s">
        <v>701</v>
      </c>
      <c r="H144" s="436" t="str">
        <f t="shared" si="16"/>
        <v>vordefiniert</v>
      </c>
      <c r="I144" s="445"/>
      <c r="J144" s="279" t="str">
        <f>H144</f>
        <v>vordefiniert</v>
      </c>
    </row>
    <row r="145" spans="4:10" x14ac:dyDescent="0.2">
      <c r="D145" s="280" t="s">
        <v>633</v>
      </c>
      <c r="E145" s="316" t="s">
        <v>722</v>
      </c>
      <c r="F145" s="316" t="s">
        <v>713</v>
      </c>
      <c r="G145" s="317" t="s">
        <v>702</v>
      </c>
      <c r="H145" s="436" t="str">
        <f t="shared" si="16"/>
        <v>Anzahl Anschlussstutzen:</v>
      </c>
      <c r="I145" s="445"/>
    </row>
    <row r="146" spans="4:10" x14ac:dyDescent="0.2">
      <c r="D146" s="280" t="s">
        <v>601</v>
      </c>
      <c r="E146" s="316" t="s">
        <v>691</v>
      </c>
      <c r="F146" s="316" t="s">
        <v>691</v>
      </c>
      <c r="G146" s="317" t="s">
        <v>703</v>
      </c>
      <c r="H146" s="436" t="str">
        <f t="shared" si="16"/>
        <v>Typ A</v>
      </c>
      <c r="I146" s="445"/>
      <c r="J146" s="279" t="str">
        <f>H146</f>
        <v>Typ A</v>
      </c>
    </row>
    <row r="147" spans="4:10" x14ac:dyDescent="0.2">
      <c r="D147" s="280" t="s">
        <v>602</v>
      </c>
      <c r="E147" s="316" t="s">
        <v>692</v>
      </c>
      <c r="F147" s="316" t="s">
        <v>692</v>
      </c>
      <c r="G147" s="317" t="s">
        <v>704</v>
      </c>
      <c r="H147" s="436" t="str">
        <f t="shared" si="16"/>
        <v>Typ B</v>
      </c>
      <c r="I147" s="445"/>
      <c r="J147" s="279" t="str">
        <f>H147</f>
        <v>Typ B</v>
      </c>
    </row>
    <row r="148" spans="4:10" x14ac:dyDescent="0.2">
      <c r="D148" s="280" t="s">
        <v>887</v>
      </c>
      <c r="E148" s="316" t="s">
        <v>888</v>
      </c>
      <c r="F148" s="316" t="s">
        <v>889</v>
      </c>
      <c r="G148" s="317" t="s">
        <v>890</v>
      </c>
      <c r="H148" s="436" t="str">
        <f t="shared" si="16"/>
        <v>Abstände Ablaufstutzen (E):</v>
      </c>
      <c r="I148" s="445"/>
    </row>
    <row r="149" spans="4:10" x14ac:dyDescent="0.2">
      <c r="D149" s="280" t="s">
        <v>603</v>
      </c>
      <c r="E149" s="316" t="s">
        <v>723</v>
      </c>
      <c r="F149" s="316" t="s">
        <v>735</v>
      </c>
      <c r="G149" s="317" t="s">
        <v>705</v>
      </c>
      <c r="H149" s="436" t="str">
        <f t="shared" si="16"/>
        <v>Rinnenanschluss:</v>
      </c>
      <c r="I149" s="445"/>
    </row>
    <row r="150" spans="4:10" x14ac:dyDescent="0.2">
      <c r="D150" s="280" t="s">
        <v>680</v>
      </c>
      <c r="E150" s="316" t="s">
        <v>724</v>
      </c>
      <c r="F150" s="316" t="s">
        <v>714</v>
      </c>
      <c r="G150" s="317" t="s">
        <v>706</v>
      </c>
      <c r="H150" s="436" t="str">
        <f t="shared" si="16"/>
        <v>Farbe Panele:</v>
      </c>
      <c r="I150" s="445"/>
    </row>
    <row r="151" spans="4:10" x14ac:dyDescent="0.2">
      <c r="D151" s="280" t="s">
        <v>16</v>
      </c>
      <c r="E151" s="316" t="s">
        <v>16</v>
      </c>
      <c r="F151" s="316" t="s">
        <v>16</v>
      </c>
      <c r="G151" s="317" t="s">
        <v>16</v>
      </c>
      <c r="H151" s="436" t="str">
        <f t="shared" si="16"/>
        <v>Standard</v>
      </c>
      <c r="I151" s="445"/>
      <c r="J151" s="279" t="str">
        <f>H151</f>
        <v>Standard</v>
      </c>
    </row>
    <row r="152" spans="4:10" x14ac:dyDescent="0.2">
      <c r="D152" s="280" t="s">
        <v>681</v>
      </c>
      <c r="E152" s="316" t="s">
        <v>725</v>
      </c>
      <c r="F152" s="316" t="s">
        <v>693</v>
      </c>
      <c r="G152" s="317" t="s">
        <v>707</v>
      </c>
      <c r="H152" s="436" t="str">
        <f t="shared" si="16"/>
        <v>Rahmenfarbe</v>
      </c>
      <c r="I152" s="445"/>
      <c r="J152" s="279" t="str">
        <f>H152</f>
        <v>Rahmenfarbe</v>
      </c>
    </row>
    <row r="153" spans="4:10" x14ac:dyDescent="0.2">
      <c r="D153" s="280" t="s">
        <v>682</v>
      </c>
      <c r="E153" s="316" t="s">
        <v>726</v>
      </c>
      <c r="F153" s="316" t="s">
        <v>694</v>
      </c>
      <c r="G153" s="317" t="s">
        <v>708</v>
      </c>
      <c r="H153" s="436" t="str">
        <f t="shared" si="16"/>
        <v>Glas Satinato</v>
      </c>
      <c r="I153" s="445"/>
      <c r="J153" s="279" t="str">
        <f>H153</f>
        <v>Glas Satinato</v>
      </c>
    </row>
    <row r="154" spans="4:10" x14ac:dyDescent="0.2">
      <c r="D154" s="280" t="s">
        <v>695</v>
      </c>
      <c r="E154" s="316" t="s">
        <v>727</v>
      </c>
      <c r="F154" s="316" t="s">
        <v>728</v>
      </c>
      <c r="G154" s="317" t="s">
        <v>729</v>
      </c>
      <c r="H154" s="436" t="str">
        <f t="shared" si="16"/>
        <v>Kalenderwoche</v>
      </c>
      <c r="I154" s="445"/>
    </row>
    <row r="155" spans="4:10" x14ac:dyDescent="0.2">
      <c r="D155" s="280" t="s">
        <v>751</v>
      </c>
      <c r="E155" s="316" t="s">
        <v>759</v>
      </c>
      <c r="F155" s="316" t="s">
        <v>762</v>
      </c>
      <c r="G155" s="317" t="s">
        <v>777</v>
      </c>
      <c r="H155" s="436" t="str">
        <f>IF($B$3=$A$3,D155,IF($B$3=$A$4,E155,IF($B$3=$A$5,F155,IF($B$3=$A$6,G155,""))))</f>
        <v>Bestellformular unvollständig!</v>
      </c>
      <c r="I155" s="445"/>
    </row>
    <row r="156" spans="4:10" x14ac:dyDescent="0.2">
      <c r="D156" s="280" t="s">
        <v>761</v>
      </c>
      <c r="E156" s="316" t="s">
        <v>760</v>
      </c>
      <c r="F156" s="316" t="s">
        <v>763</v>
      </c>
      <c r="G156" s="317" t="s">
        <v>778</v>
      </c>
      <c r="H156" s="436" t="str">
        <f t="shared" si="16"/>
        <v>Bestellformular vollständig.</v>
      </c>
      <c r="I156" s="445"/>
    </row>
    <row r="157" spans="4:10" x14ac:dyDescent="0.2">
      <c r="D157" s="280" t="s">
        <v>756</v>
      </c>
      <c r="E157" s="316" t="s">
        <v>755</v>
      </c>
      <c r="F157" s="316" t="s">
        <v>754</v>
      </c>
      <c r="G157" s="317" t="s">
        <v>757</v>
      </c>
      <c r="H157" s="436" t="str">
        <f t="shared" si="16"/>
        <v>B2B-Login Projektnr:</v>
      </c>
      <c r="I157" s="445"/>
    </row>
    <row r="158" spans="4:10" ht="12.75" customHeight="1" x14ac:dyDescent="0.2">
      <c r="D158" s="323" t="s">
        <v>766</v>
      </c>
      <c r="E158" s="316" t="s">
        <v>767</v>
      </c>
      <c r="F158" s="316" t="s">
        <v>768</v>
      </c>
      <c r="G158" s="317" t="s">
        <v>769</v>
      </c>
      <c r="H158" s="436" t="str">
        <f t="shared" si="16"/>
        <v>OHNE Glas</v>
      </c>
      <c r="I158" s="445"/>
    </row>
    <row r="159" spans="4:10" ht="12.75" customHeight="1" x14ac:dyDescent="0.2">
      <c r="D159" s="280" t="s">
        <v>770</v>
      </c>
      <c r="E159" s="316" t="s">
        <v>771</v>
      </c>
      <c r="F159" s="316" t="s">
        <v>285</v>
      </c>
      <c r="G159" s="317" t="s">
        <v>298</v>
      </c>
      <c r="H159" s="436" t="str">
        <f t="shared" si="16"/>
        <v>Keine</v>
      </c>
      <c r="I159" s="445"/>
    </row>
    <row r="160" spans="4:10" ht="12.75" customHeight="1" x14ac:dyDescent="0.2">
      <c r="D160" s="280" t="s">
        <v>773</v>
      </c>
      <c r="E160" s="316" t="s">
        <v>774</v>
      </c>
      <c r="F160" s="316" t="s">
        <v>775</v>
      </c>
      <c r="G160" s="317" t="s">
        <v>776</v>
      </c>
      <c r="H160" s="436" t="str">
        <f t="shared" si="16"/>
        <v>(auf Anfrage)</v>
      </c>
      <c r="I160" s="445"/>
    </row>
    <row r="161" spans="4:10" x14ac:dyDescent="0.2">
      <c r="D161" s="280" t="s">
        <v>797</v>
      </c>
      <c r="E161" s="316" t="s">
        <v>794</v>
      </c>
      <c r="F161" s="316" t="s">
        <v>796</v>
      </c>
      <c r="G161" s="317" t="s">
        <v>795</v>
      </c>
      <c r="H161" s="436" t="str">
        <f t="shared" si="16"/>
        <v>ohne Verschlussraster (Zylinder)</v>
      </c>
      <c r="I161" s="445"/>
    </row>
    <row r="162" spans="4:10" x14ac:dyDescent="0.2">
      <c r="D162" s="280"/>
      <c r="E162" s="316"/>
      <c r="F162" s="316"/>
      <c r="G162" s="317"/>
      <c r="H162" s="436">
        <f t="shared" si="16"/>
        <v>0</v>
      </c>
      <c r="I162" s="445"/>
    </row>
    <row r="163" spans="4:10" x14ac:dyDescent="0.2">
      <c r="D163" s="280"/>
      <c r="E163" s="316"/>
      <c r="F163" s="316"/>
      <c r="G163" s="317"/>
      <c r="H163" s="436">
        <f t="shared" si="16"/>
        <v>0</v>
      </c>
      <c r="I163" s="445"/>
    </row>
    <row r="164" spans="4:10" x14ac:dyDescent="0.2">
      <c r="D164" s="280"/>
      <c r="E164" s="316"/>
      <c r="F164" s="316"/>
      <c r="G164" s="317"/>
      <c r="H164" s="436">
        <f t="shared" si="16"/>
        <v>0</v>
      </c>
      <c r="I164" s="445"/>
    </row>
    <row r="165" spans="4:10" x14ac:dyDescent="0.2">
      <c r="D165" s="280" t="s">
        <v>937</v>
      </c>
      <c r="E165" s="335" t="s">
        <v>938</v>
      </c>
      <c r="F165" s="335" t="s">
        <v>504</v>
      </c>
      <c r="G165" s="335" t="s">
        <v>939</v>
      </c>
      <c r="H165" s="528" t="str">
        <f t="shared" si="16"/>
        <v>Hinweise:</v>
      </c>
      <c r="I165" s="445"/>
    </row>
    <row r="166" spans="4:10" x14ac:dyDescent="0.2">
      <c r="D166" s="280" t="s">
        <v>799</v>
      </c>
      <c r="E166" s="336" t="s">
        <v>807</v>
      </c>
      <c r="F166" s="335" t="s">
        <v>815</v>
      </c>
      <c r="G166" s="336" t="s">
        <v>823</v>
      </c>
      <c r="H166" s="528" t="str">
        <f t="shared" si="16"/>
        <v>Angabe erstöffnender Flügel</v>
      </c>
      <c r="I166" s="445"/>
    </row>
    <row r="167" spans="4:10" ht="102" x14ac:dyDescent="0.2">
      <c r="D167" s="334" t="s">
        <v>800</v>
      </c>
      <c r="E167" s="337" t="s">
        <v>808</v>
      </c>
      <c r="F167" s="337" t="s">
        <v>816</v>
      </c>
      <c r="G167" s="337" t="s">
        <v>824</v>
      </c>
      <c r="H167" s="528" t="str">
        <f t="shared" si="16"/>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45"/>
    </row>
    <row r="168" spans="4:10" x14ac:dyDescent="0.2">
      <c r="D168" s="334" t="s">
        <v>801</v>
      </c>
      <c r="E168" s="336" t="s">
        <v>809</v>
      </c>
      <c r="F168" s="336" t="s">
        <v>817</v>
      </c>
      <c r="G168" s="337" t="s">
        <v>825</v>
      </c>
      <c r="H168" s="528" t="str">
        <f t="shared" si="16"/>
        <v>Eingabe Ecke ≠ 90° (von 60° - 160°)</v>
      </c>
      <c r="I168" s="445"/>
    </row>
    <row r="169" spans="4:10" ht="63.75" x14ac:dyDescent="0.2">
      <c r="D169" s="334" t="s">
        <v>802</v>
      </c>
      <c r="E169" s="337" t="s">
        <v>810</v>
      </c>
      <c r="F169" s="337" t="s">
        <v>818</v>
      </c>
      <c r="G169" s="337" t="s">
        <v>826</v>
      </c>
      <c r="H169" s="528" t="str">
        <f t="shared" si="16"/>
        <v xml:space="preserve">Um eine Ecke auszuwählen, welche grösser oder kleiner wie 90° ist, muss das dementsprechende Feld ausgewählt werden. Danach muss der gewünschte Wert angegeben werden. </v>
      </c>
      <c r="I169" s="445"/>
    </row>
    <row r="170" spans="4:10" ht="25.5" x14ac:dyDescent="0.2">
      <c r="D170" s="334" t="s">
        <v>803</v>
      </c>
      <c r="E170" s="336" t="s">
        <v>811</v>
      </c>
      <c r="F170" s="336" t="s">
        <v>819</v>
      </c>
      <c r="G170" s="337" t="s">
        <v>827</v>
      </c>
      <c r="H170" s="528" t="str">
        <f t="shared" si="16"/>
        <v>Breitenangabe bei Eckanlagen</v>
      </c>
      <c r="I170" s="445"/>
    </row>
    <row r="171" spans="4:10" ht="102" x14ac:dyDescent="0.2">
      <c r="D171" s="334" t="s">
        <v>804</v>
      </c>
      <c r="E171" s="337" t="s">
        <v>812</v>
      </c>
      <c r="F171" s="337" t="s">
        <v>820</v>
      </c>
      <c r="G171" s="337" t="s">
        <v>828</v>
      </c>
      <c r="H171" s="528" t="str">
        <f t="shared" si="16"/>
        <v>Wird eine Eckanlage eingegeben, erscheint bei der Angabe "Breite" automatisch ein neues Eingabefeld. Die Länge der einzelnen Fronten muss hier separat angegeben werden (Rahmenaussenmass). Die verschiedenen Fronten sind von links nach rechts anzugeben:</v>
      </c>
      <c r="I171" s="445"/>
    </row>
    <row r="172" spans="4:10" x14ac:dyDescent="0.2">
      <c r="D172" s="334" t="s">
        <v>805</v>
      </c>
      <c r="E172" s="336" t="s">
        <v>813</v>
      </c>
      <c r="F172" s="336" t="s">
        <v>821</v>
      </c>
      <c r="G172" s="337" t="s">
        <v>829</v>
      </c>
      <c r="H172" s="528" t="str">
        <f t="shared" si="16"/>
        <v>Rinnenlänge angeben</v>
      </c>
      <c r="I172" s="445"/>
    </row>
    <row r="173" spans="4:10" ht="140.25" x14ac:dyDescent="0.2">
      <c r="D173" s="334" t="s">
        <v>806</v>
      </c>
      <c r="E173" s="338" t="s">
        <v>814</v>
      </c>
      <c r="F173" s="337" t="s">
        <v>822</v>
      </c>
      <c r="G173" s="337" t="s">
        <v>830</v>
      </c>
      <c r="H173" s="528" t="str">
        <f t="shared" si="16"/>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45"/>
    </row>
    <row r="174" spans="4:10" x14ac:dyDescent="0.2">
      <c r="D174" s="280" t="s">
        <v>16</v>
      </c>
      <c r="E174" s="316" t="s">
        <v>16</v>
      </c>
      <c r="F174" s="316" t="s">
        <v>16</v>
      </c>
      <c r="G174" s="317" t="s">
        <v>16</v>
      </c>
      <c r="H174" s="528" t="str">
        <f t="shared" si="16"/>
        <v>Standard</v>
      </c>
      <c r="I174" s="445"/>
      <c r="J174" s="279" t="str">
        <f>H174</f>
        <v>Standard</v>
      </c>
    </row>
    <row r="175" spans="4:10" x14ac:dyDescent="0.2">
      <c r="D175" s="280" t="s">
        <v>846</v>
      </c>
      <c r="E175" s="316" t="s">
        <v>847</v>
      </c>
      <c r="F175" s="316" t="s">
        <v>848</v>
      </c>
      <c r="G175" s="317" t="s">
        <v>849</v>
      </c>
      <c r="H175" s="528" t="str">
        <f t="shared" si="16"/>
        <v>Seaside (Pool/Meer)</v>
      </c>
      <c r="I175" s="445"/>
      <c r="J175" s="279" t="str">
        <f>H175</f>
        <v>Seaside (Pool/Meer)</v>
      </c>
    </row>
    <row r="176" spans="4:10" x14ac:dyDescent="0.2">
      <c r="D176" s="280" t="s">
        <v>853</v>
      </c>
      <c r="E176" s="316" t="s">
        <v>854</v>
      </c>
      <c r="F176" s="316" t="s">
        <v>855</v>
      </c>
      <c r="G176" s="317" t="s">
        <v>859</v>
      </c>
      <c r="H176" s="528" t="str">
        <f t="shared" si="16"/>
        <v>Pulverlack Klasse:</v>
      </c>
      <c r="I176" s="445"/>
    </row>
    <row r="177" spans="4:10" x14ac:dyDescent="0.2">
      <c r="D177" s="280" t="s">
        <v>856</v>
      </c>
      <c r="E177" s="316" t="s">
        <v>856</v>
      </c>
      <c r="F177" s="316" t="s">
        <v>856</v>
      </c>
      <c r="G177" s="317" t="s">
        <v>856</v>
      </c>
      <c r="H177" s="528" t="str">
        <f t="shared" si="16"/>
        <v>Qualicoat 1</v>
      </c>
      <c r="I177" s="445"/>
      <c r="J177" s="279" t="str">
        <f>H177</f>
        <v>Qualicoat 1</v>
      </c>
    </row>
    <row r="178" spans="4:10" x14ac:dyDescent="0.2">
      <c r="D178" s="280" t="s">
        <v>857</v>
      </c>
      <c r="E178" s="316" t="s">
        <v>857</v>
      </c>
      <c r="F178" s="316" t="s">
        <v>857</v>
      </c>
      <c r="G178" s="317" t="s">
        <v>857</v>
      </c>
      <c r="H178" s="528" t="str">
        <f t="shared" si="16"/>
        <v>Qualicoat 2</v>
      </c>
      <c r="I178" s="445"/>
      <c r="J178" s="279" t="str">
        <f>H178</f>
        <v>Qualicoat 2</v>
      </c>
    </row>
    <row r="179" spans="4:10" x14ac:dyDescent="0.2">
      <c r="D179" s="280" t="s">
        <v>879</v>
      </c>
      <c r="E179" s="316" t="s">
        <v>881</v>
      </c>
      <c r="F179" s="316" t="s">
        <v>880</v>
      </c>
      <c r="G179" s="317" t="s">
        <v>886</v>
      </c>
      <c r="H179" s="528" t="str">
        <f t="shared" si="16"/>
        <v>Übersicht:</v>
      </c>
      <c r="I179" s="445"/>
    </row>
    <row r="180" spans="4:10" x14ac:dyDescent="0.2">
      <c r="D180" s="280" t="s">
        <v>875</v>
      </c>
      <c r="E180" s="316" t="s">
        <v>876</v>
      </c>
      <c r="F180" s="316" t="s">
        <v>877</v>
      </c>
      <c r="G180" s="317" t="s">
        <v>878</v>
      </c>
      <c r="H180" s="528" t="str">
        <f t="shared" si="16"/>
        <v>VE</v>
      </c>
      <c r="I180" s="445"/>
    </row>
    <row r="181" spans="4:10" x14ac:dyDescent="0.2">
      <c r="D181" s="280" t="s">
        <v>893</v>
      </c>
      <c r="E181" s="316" t="s">
        <v>940</v>
      </c>
      <c r="F181" s="316" t="s">
        <v>941</v>
      </c>
      <c r="G181" s="317" t="s">
        <v>919</v>
      </c>
      <c r="H181" s="528" t="str">
        <f t="shared" ref="H181:H206" si="17">IF($B$3=$A$3,D181,IF($B$3=$A$4,E181,IF($B$3=$A$5,F181,IF($B$3=$A$6,G181,""))))</f>
        <v>Sky-Frame Beratung vorhanden:</v>
      </c>
      <c r="I181" s="445"/>
    </row>
    <row r="182" spans="4:10" x14ac:dyDescent="0.2">
      <c r="D182" s="280" t="s">
        <v>894</v>
      </c>
      <c r="E182" s="316" t="s">
        <v>942</v>
      </c>
      <c r="F182" s="316" t="s">
        <v>943</v>
      </c>
      <c r="G182" s="317" t="s">
        <v>918</v>
      </c>
      <c r="H182" s="528" t="str">
        <f t="shared" si="17"/>
        <v>Beratungsnummer: (z.B. P123456)</v>
      </c>
      <c r="I182" s="445"/>
    </row>
    <row r="183" spans="4:10" x14ac:dyDescent="0.2">
      <c r="D183" s="280" t="s">
        <v>895</v>
      </c>
      <c r="E183" s="316" t="s">
        <v>896</v>
      </c>
      <c r="F183" s="316" t="s">
        <v>944</v>
      </c>
      <c r="G183" s="317" t="s">
        <v>917</v>
      </c>
      <c r="H183" s="528" t="str">
        <f t="shared" si="17"/>
        <v>Inch-Rechner</v>
      </c>
      <c r="I183" s="445"/>
    </row>
    <row r="184" spans="4:10" x14ac:dyDescent="0.2">
      <c r="D184" s="280" t="s">
        <v>897</v>
      </c>
      <c r="E184" s="316" t="s">
        <v>898</v>
      </c>
      <c r="F184" s="316" t="s">
        <v>945</v>
      </c>
      <c r="G184" s="317" t="s">
        <v>916</v>
      </c>
      <c r="H184" s="528" t="str">
        <f t="shared" si="17"/>
        <v>Fuss:</v>
      </c>
      <c r="I184" s="445"/>
    </row>
    <row r="185" spans="4:10" x14ac:dyDescent="0.2">
      <c r="D185" s="280" t="s">
        <v>899</v>
      </c>
      <c r="E185" s="316" t="s">
        <v>900</v>
      </c>
      <c r="F185" s="316" t="s">
        <v>946</v>
      </c>
      <c r="G185" s="317" t="s">
        <v>915</v>
      </c>
      <c r="H185" s="528" t="str">
        <f t="shared" si="17"/>
        <v>Zoll:</v>
      </c>
      <c r="I185" s="445"/>
    </row>
    <row r="186" spans="4:10" x14ac:dyDescent="0.2">
      <c r="D186" s="280" t="s">
        <v>901</v>
      </c>
      <c r="E186" s="316" t="s">
        <v>947</v>
      </c>
      <c r="F186" s="316" t="s">
        <v>948</v>
      </c>
      <c r="G186" s="317" t="s">
        <v>914</v>
      </c>
      <c r="H186" s="528" t="str">
        <f t="shared" si="17"/>
        <v>Bemassung Bahnhof</v>
      </c>
      <c r="I186" s="445"/>
    </row>
    <row r="187" spans="4:10" ht="102" x14ac:dyDescent="0.2">
      <c r="D187" s="434" t="s">
        <v>902</v>
      </c>
      <c r="E187" s="338" t="s">
        <v>949</v>
      </c>
      <c r="F187" s="338" t="s">
        <v>950</v>
      </c>
      <c r="G187" s="435" t="s">
        <v>903</v>
      </c>
      <c r="H187" s="528"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45"/>
    </row>
    <row r="188" spans="4:10" x14ac:dyDescent="0.2">
      <c r="D188" s="280" t="s">
        <v>904</v>
      </c>
      <c r="E188" s="316" t="s">
        <v>951</v>
      </c>
      <c r="F188" s="316" t="s">
        <v>952</v>
      </c>
      <c r="G188" s="317" t="s">
        <v>913</v>
      </c>
      <c r="H188" s="528" t="str">
        <f t="shared" si="17"/>
        <v>Bahnhof Typ 1:</v>
      </c>
      <c r="I188" s="445"/>
    </row>
    <row r="189" spans="4:10" x14ac:dyDescent="0.2">
      <c r="D189" s="280" t="s">
        <v>905</v>
      </c>
      <c r="E189" s="316" t="s">
        <v>953</v>
      </c>
      <c r="F189" s="316" t="s">
        <v>954</v>
      </c>
      <c r="G189" s="317" t="s">
        <v>912</v>
      </c>
      <c r="H189" s="528" t="str">
        <f t="shared" si="17"/>
        <v>Bahnhof Typ 2:</v>
      </c>
      <c r="I189" s="445"/>
    </row>
    <row r="190" spans="4:10" x14ac:dyDescent="0.2">
      <c r="D190" s="280" t="s">
        <v>906</v>
      </c>
      <c r="E190" s="316" t="s">
        <v>274</v>
      </c>
      <c r="F190" s="316" t="s">
        <v>292</v>
      </c>
      <c r="G190" s="317" t="s">
        <v>303</v>
      </c>
      <c r="H190" s="528" t="str">
        <f t="shared" si="17"/>
        <v>schwarz</v>
      </c>
      <c r="I190" s="445"/>
    </row>
    <row r="191" spans="4:10" x14ac:dyDescent="0.2">
      <c r="D191" s="280" t="s">
        <v>681</v>
      </c>
      <c r="E191" s="316" t="s">
        <v>907</v>
      </c>
      <c r="F191" s="316" t="s">
        <v>908</v>
      </c>
      <c r="G191" s="317" t="s">
        <v>909</v>
      </c>
      <c r="H191" s="528" t="str">
        <f t="shared" si="17"/>
        <v>Rahmenfarbe</v>
      </c>
      <c r="I191" s="445"/>
    </row>
    <row r="192" spans="4:10" x14ac:dyDescent="0.2">
      <c r="D192" s="280" t="s">
        <v>906</v>
      </c>
      <c r="E192" s="316" t="s">
        <v>274</v>
      </c>
      <c r="F192" s="316" t="s">
        <v>292</v>
      </c>
      <c r="G192" s="317" t="s">
        <v>303</v>
      </c>
      <c r="H192" s="528" t="str">
        <f t="shared" si="17"/>
        <v>schwarz</v>
      </c>
      <c r="I192" s="445"/>
    </row>
    <row r="193" spans="4:9" x14ac:dyDescent="0.2">
      <c r="D193" s="280" t="s">
        <v>920</v>
      </c>
      <c r="E193" s="316" t="s">
        <v>921</v>
      </c>
      <c r="F193" s="316" t="s">
        <v>955</v>
      </c>
      <c r="G193" s="317" t="s">
        <v>956</v>
      </c>
      <c r="H193" s="528" t="str">
        <f t="shared" si="17"/>
        <v>Sonstiges:</v>
      </c>
      <c r="I193" s="445"/>
    </row>
    <row r="194" spans="4:9" x14ac:dyDescent="0.2">
      <c r="D194" s="280" t="s">
        <v>922</v>
      </c>
      <c r="E194" s="316" t="s">
        <v>923</v>
      </c>
      <c r="F194" s="316" t="s">
        <v>957</v>
      </c>
      <c r="G194" s="317" t="s">
        <v>958</v>
      </c>
      <c r="H194" s="528" t="str">
        <f t="shared" si="17"/>
        <v>Sichtbare Rahmenprofile (aussen):</v>
      </c>
      <c r="I194" s="445"/>
    </row>
    <row r="195" spans="4:9" x14ac:dyDescent="0.2">
      <c r="D195" s="280" t="s">
        <v>924</v>
      </c>
      <c r="E195" s="316" t="s">
        <v>925</v>
      </c>
      <c r="F195" s="316" t="s">
        <v>959</v>
      </c>
      <c r="G195" s="317" t="s">
        <v>960</v>
      </c>
      <c r="H195" s="528" t="str">
        <f t="shared" si="17"/>
        <v>Lieferung Glas und Rahmen:</v>
      </c>
      <c r="I195" s="445"/>
    </row>
    <row r="196" spans="4:9" x14ac:dyDescent="0.2">
      <c r="D196" s="280" t="s">
        <v>926</v>
      </c>
      <c r="E196" s="316" t="s">
        <v>927</v>
      </c>
      <c r="F196" s="316" t="s">
        <v>961</v>
      </c>
      <c r="G196" s="317" t="s">
        <v>962</v>
      </c>
      <c r="H196" s="528" t="str">
        <f t="shared" si="17"/>
        <v>zusammen</v>
      </c>
      <c r="I196" s="445"/>
    </row>
    <row r="197" spans="4:9" x14ac:dyDescent="0.2">
      <c r="D197" s="280" t="s">
        <v>928</v>
      </c>
      <c r="E197" s="316" t="s">
        <v>929</v>
      </c>
      <c r="F197" s="316" t="s">
        <v>963</v>
      </c>
      <c r="G197" s="317" t="s">
        <v>964</v>
      </c>
      <c r="H197" s="528" t="str">
        <f t="shared" si="17"/>
        <v>getrennt</v>
      </c>
      <c r="I197" s="445"/>
    </row>
    <row r="198" spans="4:9" x14ac:dyDescent="0.2">
      <c r="D198" s="280" t="s">
        <v>930</v>
      </c>
      <c r="E198" s="316" t="s">
        <v>931</v>
      </c>
      <c r="F198" s="316" t="s">
        <v>931</v>
      </c>
      <c r="G198" s="317" t="s">
        <v>965</v>
      </c>
      <c r="H198" s="528" t="str">
        <f t="shared" si="17"/>
        <v>sichtbar</v>
      </c>
      <c r="I198" s="445"/>
    </row>
    <row r="199" spans="4:9" x14ac:dyDescent="0.2">
      <c r="D199" s="280" t="s">
        <v>932</v>
      </c>
      <c r="E199" s="316" t="s">
        <v>933</v>
      </c>
      <c r="F199" s="316" t="s">
        <v>966</v>
      </c>
      <c r="G199" s="317" t="s">
        <v>967</v>
      </c>
      <c r="H199" s="528" t="str">
        <f t="shared" si="17"/>
        <v>nicht sichtbar</v>
      </c>
      <c r="I199" s="445"/>
    </row>
    <row r="200" spans="4:9" x14ac:dyDescent="0.2">
      <c r="D200" s="280"/>
      <c r="E200" s="316"/>
      <c r="F200" s="316"/>
      <c r="G200" s="317"/>
      <c r="H200" s="528">
        <f t="shared" si="17"/>
        <v>0</v>
      </c>
      <c r="I200" s="445"/>
    </row>
    <row r="201" spans="4:9" x14ac:dyDescent="0.2">
      <c r="D201" s="280"/>
      <c r="E201" s="316"/>
      <c r="F201" s="316"/>
      <c r="G201" s="317"/>
      <c r="H201" s="528">
        <f t="shared" si="17"/>
        <v>0</v>
      </c>
      <c r="I201" s="445"/>
    </row>
    <row r="202" spans="4:9" x14ac:dyDescent="0.2">
      <c r="D202" s="280"/>
      <c r="E202" s="316"/>
      <c r="F202" s="316"/>
      <c r="G202" s="317"/>
      <c r="H202" s="528">
        <f t="shared" si="17"/>
        <v>0</v>
      </c>
      <c r="I202" s="445"/>
    </row>
    <row r="203" spans="4:9" x14ac:dyDescent="0.2">
      <c r="D203" s="280"/>
      <c r="E203" s="316"/>
      <c r="F203" s="316"/>
      <c r="G203" s="317"/>
      <c r="H203" s="528">
        <f t="shared" si="17"/>
        <v>0</v>
      </c>
      <c r="I203" s="445"/>
    </row>
    <row r="204" spans="4:9" x14ac:dyDescent="0.2">
      <c r="D204" s="280"/>
      <c r="E204" s="316"/>
      <c r="F204" s="316"/>
      <c r="G204" s="317"/>
      <c r="H204" s="528">
        <f t="shared" si="17"/>
        <v>0</v>
      </c>
      <c r="I204" s="445"/>
    </row>
    <row r="205" spans="4:9" x14ac:dyDescent="0.2">
      <c r="D205" s="280"/>
      <c r="E205" s="316"/>
      <c r="F205" s="316"/>
      <c r="G205" s="317"/>
      <c r="H205" s="528">
        <f t="shared" si="17"/>
        <v>0</v>
      </c>
      <c r="I205" s="445"/>
    </row>
    <row r="206" spans="4:9" x14ac:dyDescent="0.2">
      <c r="D206" s="280"/>
      <c r="E206" s="316"/>
      <c r="F206" s="316"/>
      <c r="G206" s="317"/>
      <c r="H206" s="528">
        <f t="shared" si="17"/>
        <v>0</v>
      </c>
      <c r="I206" s="445"/>
    </row>
  </sheetData>
  <mergeCells count="5">
    <mergeCell ref="AB4:AB18"/>
    <mergeCell ref="N40:P40"/>
    <mergeCell ref="M60:M61"/>
    <mergeCell ref="L85:M85"/>
    <mergeCell ref="B87:C87"/>
  </mergeCells>
  <dataValidations count="1">
    <dataValidation type="list" allowBlank="1" showInputMessage="1" showErrorMessage="1" sqref="P38" xr:uid="{56381975-0692-4685-8A51-8C79316505C5}">
      <formula1>$O$45:$O$46</formula1>
    </dataValidation>
  </dataValidations>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02C0F1DF393D49A49997C7F3FF49ED" ma:contentTypeVersion="6" ma:contentTypeDescription="Create a new document." ma:contentTypeScope="" ma:versionID="245fe1a52091f69cfbbb9f39b2e6a4cf">
  <xsd:schema xmlns:xsd="http://www.w3.org/2001/XMLSchema" xmlns:xs="http://www.w3.org/2001/XMLSchema" xmlns:p="http://schemas.microsoft.com/office/2006/metadata/properties" xmlns:ns2="efac78f3-c8ba-4178-9ea7-4b8ba0705f15" targetNamespace="http://schemas.microsoft.com/office/2006/metadata/properties" ma:root="true" ma:fieldsID="0660b116fc745cd2c3395df3f9073a34" ns2:_="">
    <xsd:import namespace="efac78f3-c8ba-4178-9ea7-4b8ba0705f1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c78f3-c8ba-4178-9ea7-4b8ba0705f1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B1A560-EAB6-4485-94BA-BAF18AD9D125}"/>
</file>

<file path=customXml/itemProps2.xml><?xml version="1.0" encoding="utf-8"?>
<ds:datastoreItem xmlns:ds="http://schemas.openxmlformats.org/officeDocument/2006/customXml" ds:itemID="{F5EE458E-F62F-4997-A8CE-57111601431F}"/>
</file>

<file path=customXml/itemProps3.xml><?xml version="1.0" encoding="utf-8"?>
<ds:datastoreItem xmlns:ds="http://schemas.openxmlformats.org/officeDocument/2006/customXml" ds:itemID="{E5A4F5AF-2F31-4119-8FA3-227026FB726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7</vt:i4>
      </vt:variant>
    </vt:vector>
  </HeadingPairs>
  <TitlesOfParts>
    <vt:vector size="20" baseType="lpstr">
      <vt:lpstr>INDEX</vt:lpstr>
      <vt:lpstr>NOTES</vt:lpstr>
      <vt:lpstr>Sprachen &amp; Rückgabewerte</vt:lpstr>
      <vt:lpstr>Pos. 1</vt:lpstr>
      <vt:lpstr>Sprachen &amp; Rückgabewerte(2)</vt:lpstr>
      <vt:lpstr>Pos. 2</vt:lpstr>
      <vt:lpstr>Sprachen &amp; Rückgabewerte(3)</vt:lpstr>
      <vt:lpstr>Pos. 3</vt:lpstr>
      <vt:lpstr>Sprachen &amp; Rückgabewerte(4)</vt:lpstr>
      <vt:lpstr>Pos. 4</vt:lpstr>
      <vt:lpstr>Sprachen &amp; Rückgabewerte(5)</vt:lpstr>
      <vt:lpstr>Pos. 5</vt:lpstr>
      <vt:lpstr>INFO</vt:lpstr>
      <vt:lpstr>INFO!Druckbereich</vt:lpstr>
      <vt:lpstr>NOTES!Druckbereich</vt:lpstr>
      <vt:lpstr>'Pos. 1'!Druckbereich</vt:lpstr>
      <vt:lpstr>'Pos. 2'!Druckbereich</vt:lpstr>
      <vt:lpstr>'Pos. 3'!Druckbereich</vt:lpstr>
      <vt:lpstr>'Pos. 4'!Druckbereich</vt:lpstr>
      <vt:lpstr>'Pos. 5'!Druckbereich</vt:lpstr>
    </vt:vector>
  </TitlesOfParts>
  <Company>Sky-Frame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Maurin Müller</dc:creator>
  <cp:lastModifiedBy>Maurin Müller</cp:lastModifiedBy>
  <cp:lastPrinted>2016-10-07T13:02:20Z</cp:lastPrinted>
  <dcterms:created xsi:type="dcterms:W3CDTF">2015-11-10T13:23:10Z</dcterms:created>
  <dcterms:modified xsi:type="dcterms:W3CDTF">2018-08-15T08:42:46Z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0x0101009D02C0F1DF393D49A49997C7F3FF49ED</vt:lpwstr>
  </property>
</Properties>
</file>