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Администратор\Music\Desktop\NT\Документация\"/>
    </mc:Choice>
  </mc:AlternateContent>
  <bookViews>
    <workbookView xWindow="0" yWindow="0" windowWidth="20490" windowHeight="7560" activeTab="2"/>
  </bookViews>
  <sheets>
    <sheet name="Лист1" sheetId="4" r:id="rId1"/>
    <sheet name="Лист2" sheetId="6" r:id="rId2"/>
    <sheet name="Автоматизированный расчет" sheetId="3" r:id="rId3"/>
    <sheet name="Соответствие профилю" sheetId="2" r:id="rId4"/>
  </sheet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8" i="3" l="1"/>
  <c r="U7" i="3"/>
  <c r="V8" i="3"/>
  <c r="V7" i="3"/>
  <c r="S7" i="3"/>
  <c r="W2" i="3"/>
  <c r="G29" i="3" l="1"/>
  <c r="F24" i="3"/>
  <c r="H24" i="3" s="1"/>
  <c r="F25" i="3"/>
  <c r="H25" i="3" s="1"/>
  <c r="F26" i="3"/>
  <c r="H26" i="3" s="1"/>
  <c r="F22" i="3"/>
  <c r="H22" i="3" s="1"/>
  <c r="F23" i="3"/>
  <c r="H23" i="3" s="1"/>
  <c r="C29" i="3"/>
  <c r="P2" i="3" l="1"/>
  <c r="P3" i="3"/>
  <c r="P4" i="3"/>
  <c r="P5" i="3"/>
  <c r="P6" i="3"/>
  <c r="V2" i="3"/>
  <c r="S2" i="3"/>
  <c r="U2" i="3" s="1"/>
  <c r="S6" i="3"/>
  <c r="U6" i="3" s="1"/>
  <c r="S5" i="3"/>
  <c r="U5" i="3" s="1"/>
  <c r="S4" i="3"/>
  <c r="U4" i="3" s="1"/>
  <c r="S3" i="3"/>
  <c r="U3" i="3" s="1"/>
  <c r="C30" i="3"/>
  <c r="C31" i="3"/>
  <c r="C33" i="3"/>
  <c r="C35" i="3"/>
  <c r="C32" i="3"/>
  <c r="C36" i="3" l="1"/>
  <c r="I29" i="3"/>
  <c r="G31" i="3"/>
  <c r="I31" i="3" s="1"/>
  <c r="G33" i="3"/>
  <c r="I33" i="3" s="1"/>
  <c r="G32" i="3"/>
  <c r="I32" i="3" s="1"/>
  <c r="G35" i="3"/>
  <c r="I35" i="3" s="1"/>
  <c r="G34" i="3"/>
  <c r="I34" i="3" s="1"/>
  <c r="G30" i="3"/>
  <c r="I30" i="3" s="1"/>
  <c r="F18" i="3"/>
  <c r="F14" i="3"/>
  <c r="F10" i="3"/>
  <c r="F6" i="3"/>
  <c r="F21" i="3"/>
  <c r="F17" i="3"/>
  <c r="F13" i="3"/>
  <c r="F9" i="3"/>
  <c r="F5" i="3"/>
  <c r="F20" i="3"/>
  <c r="H20" i="3" s="1"/>
  <c r="F16" i="3"/>
  <c r="H16" i="3" s="1"/>
  <c r="F12" i="3"/>
  <c r="H12" i="3" s="1"/>
  <c r="F8" i="3"/>
  <c r="H8" i="3" s="1"/>
  <c r="F4" i="3"/>
  <c r="H4" i="3" s="1"/>
  <c r="F2" i="3"/>
  <c r="H2" i="3" s="1"/>
  <c r="F19" i="3"/>
  <c r="H19" i="3" s="1"/>
  <c r="F15" i="3"/>
  <c r="H15" i="3" s="1"/>
  <c r="F11" i="3"/>
  <c r="F7" i="3"/>
  <c r="F3" i="3"/>
  <c r="H3" i="3" s="1"/>
  <c r="D32" i="3"/>
  <c r="D33" i="3"/>
  <c r="D30" i="3"/>
  <c r="D35" i="3"/>
  <c r="D31" i="3"/>
  <c r="D34" i="3"/>
  <c r="V4" i="3"/>
  <c r="V3" i="3"/>
  <c r="V6" i="3"/>
  <c r="V5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/>
  <c r="H10" i="3" l="1"/>
  <c r="H14" i="3"/>
  <c r="H18" i="3"/>
  <c r="H6" i="3"/>
  <c r="H21" i="3"/>
  <c r="H13" i="3"/>
  <c r="H9" i="3"/>
  <c r="H7" i="3"/>
  <c r="H5" i="3"/>
  <c r="H11" i="3"/>
  <c r="H17" i="3"/>
  <c r="I40" i="2"/>
  <c r="I44" i="2"/>
  <c r="I41" i="2"/>
  <c r="I32" i="2"/>
  <c r="I31" i="2"/>
  <c r="I30" i="2"/>
  <c r="I29" i="2"/>
  <c r="I28" i="2"/>
  <c r="I27" i="2"/>
  <c r="I26" i="2"/>
  <c r="D36" i="3" l="1"/>
  <c r="D29" i="3"/>
</calcChain>
</file>

<file path=xl/sharedStrings.xml><?xml version="1.0" encoding="utf-8"?>
<sst xmlns="http://schemas.openxmlformats.org/spreadsheetml/2006/main" count="171" uniqueCount="63">
  <si>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</si>
  <si>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</si>
  <si>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</si>
  <si>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</si>
  <si>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</si>
  <si>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</si>
  <si>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</si>
  <si>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</si>
  <si>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 xml:space="preserve">Удаление бронирования 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</si>
  <si>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</si>
  <si>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</si>
  <si>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</si>
  <si>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</si>
  <si>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</si>
  <si>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</si>
  <si>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</si>
  <si>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</si>
  <si>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</si>
  <si>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</si>
  <si>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</si>
  <si>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</si>
  <si>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</si>
  <si>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</si>
  <si>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</si>
  <si>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</si>
  <si>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</si>
  <si>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</si>
  <si>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</si>
  <si>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</si>
  <si>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</si>
  <si>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</si>
  <si>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</si>
  <si>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</si>
  <si>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</si>
  <si>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</si>
  <si>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</si>
  <si>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</si>
  <si>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</si>
  <si>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</si>
  <si>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</si>
  <si>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Статистика</t>
  </si>
  <si>
    <t>Операция (бизнес процесс)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</si>
  <si>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</si>
  <si>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</si>
  <si>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</si>
  <si>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</si>
  <si>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</si>
  <si>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</si>
  <si>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</si>
  <si>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</si>
  <si>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</si>
  <si>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Запросов в час</t>
  </si>
  <si>
    <t>pacing</t>
  </si>
  <si>
    <t>одним пользователем в минуту</t>
  </si>
  <si>
    <t>Длительность ступени</t>
  </si>
  <si>
    <t>Duration + Thin_time</t>
  </si>
  <si>
    <t>Соотвествие профилю</t>
  </si>
  <si>
    <t>Оформление билета с просмотром квитанции</t>
  </si>
  <si>
    <t>Отмена бронирования</t>
  </si>
  <si>
    <t>Оформление билета</t>
  </si>
  <si>
    <t>Выбор рейса без оплаты</t>
  </si>
  <si>
    <t>Оформление билета с просмотром квитанций</t>
  </si>
  <si>
    <t>Количество запросов одним пользователем в минуту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</si>
</sst>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5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6" borderId="7" applyNumberFormat="0" applyAlignment="0" applyProtection="0"/>
    <xf numFmtId="0" fontId="18" fillId="7" borderId="8" applyNumberFormat="0" applyAlignment="0" applyProtection="0"/>
    <xf numFmtId="0" fontId="19" fillId="7" borderId="7" applyNumberFormat="0" applyAlignment="0" applyProtection="0"/>
    <xf numFmtId="0" fontId="20" fillId="0" borderId="9" applyNumberFormat="0" applyFill="0" applyAlignment="0" applyProtection="0"/>
    <xf numFmtId="0" fontId="21" fillId="8" borderId="10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" fillId="0" borderId="12" applyNumberFormat="0" applyFill="0" applyAlignment="0" applyProtection="0"/>
    <xf numFmtId="0" fontId="2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4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1" applyNumberFormat="0" applyFont="0" applyAlignment="0" applyProtection="0"/>
    <xf numFmtId="9" fontId="25" fillId="0" borderId="0" applyFont="0" applyFill="0" applyBorder="0" applyAlignment="0" applyProtection="0"/>
  </cellStyleXfs>
  <cellXfs count="39">
    <xf numFmtId="0" fontId="0" fillId="0" borderId="0" xfId="0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top" wrapText="1"/>
    </xf>
    <xf numFmtId="0" fontId="11" fillId="0" borderId="3" xfId="0" applyFont="1" applyBorder="1" applyAlignment="1">
      <alignment horizontal="left" vertical="top" wrapText="1"/>
    </xf>
    <xf numFmtId="0" fontId="9" fillId="0" borderId="3" xfId="4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10" fontId="10" fillId="0" borderId="3" xfId="0" applyNumberFormat="1" applyFont="1" applyBorder="1" applyAlignment="1">
      <alignment horizontal="center" vertical="top"/>
    </xf>
    <xf numFmtId="10" fontId="12" fillId="0" borderId="3" xfId="0" applyNumberFormat="1" applyFont="1" applyBorder="1" applyAlignment="1">
      <alignment horizontal="center" vertical="top"/>
    </xf>
    <xf numFmtId="10" fontId="12" fillId="0" borderId="3" xfId="0" applyNumberFormat="1" applyFont="1" applyBorder="1" applyAlignment="1">
      <alignment horizontal="left" vertical="top"/>
    </xf>
    <xf numFmtId="0" fontId="10" fillId="5" borderId="3" xfId="0" applyFont="1" applyFill="1" applyBorder="1" applyAlignment="1">
      <alignment horizontal="left" vertical="top"/>
    </xf>
    <xf numFmtId="0" fontId="1" fillId="0" borderId="3" xfId="42" applyBorder="1"/>
    <xf numFmtId="0" fontId="10" fillId="0" borderId="3" xfId="0" applyFont="1" applyBorder="1" applyAlignment="1">
      <alignment horizontal="left" vertical="top"/>
    </xf>
    <xf numFmtId="10" fontId="10" fillId="0" borderId="3" xfId="0" applyNumberFormat="1" applyFont="1" applyBorder="1" applyAlignment="1">
      <alignment horizontal="left" vertical="top"/>
    </xf>
    <xf numFmtId="0" fontId="9" fillId="0" borderId="3" xfId="4" applyFont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1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3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9" fontId="0" fillId="0" borderId="0" xfId="44" applyFont="1"/>
    <xf numFmtId="1" fontId="3" fillId="0" borderId="0" xfId="0" applyNumberFormat="1" applyFont="1" applyBorder="1" applyAlignment="1">
      <alignment horizontal="center" vertical="center" wrapText="1"/>
    </xf>
    <xf numFmtId="0" fontId="0" fillId="0" borderId="13" xfId="0" applyBorder="1"/>
    <xf numFmtId="0" fontId="0" fillId="0" borderId="14" xfId="0" applyBorder="1"/>
    <xf numFmtId="0" fontId="26" fillId="0" borderId="0" xfId="0" applyFont="1"/>
    <xf numFmtId="1" fontId="26" fillId="0" borderId="0" xfId="0" applyNumberFormat="1" applyFont="1"/>
    <xf numFmtId="9" fontId="26" fillId="0" borderId="0" xfId="0" applyNumberFormat="1" applyFont="1"/>
    <xf numFmtId="0" fontId="0" fillId="36" borderId="3" xfId="0" applyFill="1" applyBorder="1"/>
    <xf numFmtId="0" fontId="5" fillId="0" borderId="0" xfId="0" applyFont="1"/>
    <xf numFmtId="0" fontId="0" fillId="0" borderId="14" xfId="0" applyFill="1" applyBorder="1"/>
    <xf numFmtId="0" fontId="0" fillId="35" borderId="15" xfId="0" applyFill="1" applyBorder="1"/>
    <xf numFmtId="9" fontId="0" fillId="0" borderId="0" xfId="0" applyNumberFormat="1"/>
    <xf numFmtId="0" fontId="0" fillId="34" borderId="0" xfId="0" applyFill="1" applyAlignment="1">
      <alignment horizontal="center"/>
    </xf>
  </cellXfs>
  <cellStyles count="45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/>
    <cellStyle name="Обычный 3" xfId="42"/>
    <cellStyle name="Плохой" xfId="2" builtinId="27" customBuiltin="1"/>
    <cellStyle name="Пояснение" xfId="16" builtinId="53" customBuiltin="1"/>
    <cellStyle name="Примечание 2" xfId="43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дминистратор" refreshedDate="44092.504083912034" createdVersion="6" refreshedVersion="6" minRefreshableVersion="3" recordCount="25">
  <cacheSource type="worksheet">
    <worksheetSource ref="A1:H26" sheet="Автоматизированный расчет"/>
  </cacheSource>
  <cacheFields count="8">
    <cacheField name="Script name" numFmtId="0">
      <sharedItems/>
    </cacheField>
    <cacheField name="transaction rq" numFmtId="0">
      <sharedItems count="7">
        <s v="Вход в систему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Отмена бронирования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4"/>
    </cacheField>
    <cacheField name="pacing" numFmtId="0">
      <sharedItems containsSemiMixedTypes="0" containsString="0" containsNumber="1" containsInteger="1" minValue="49" maxValue="150"/>
    </cacheField>
    <cacheField name="одним пользователем в минуту" numFmtId="2">
      <sharedItems containsSemiMixedTypes="0" containsString="0" containsNumber="1" minValue="0.4" maxValue="1.2244897959183674"/>
    </cacheField>
    <cacheField name="Длительность ступени" numFmtId="0">
      <sharedItems containsSemiMixedTypes="0" containsString="0" containsNumber="1" containsInteger="1" minValue="60" maxValue="60"/>
    </cacheField>
    <cacheField name="Итого" numFmtId="1">
      <sharedItems containsSemiMixedTypes="0" containsString="0" containsNumber="1" minValue="45" maxValue="130.909090909090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s v="Оформление билета с просмотром квитанции"/>
    <x v="0"/>
    <n v="1"/>
    <n v="1"/>
    <n v="80"/>
    <n v="0.75"/>
    <n v="60"/>
    <n v="45"/>
  </r>
  <r>
    <s v="Оформление билета с просмотром квитанции"/>
    <x v="1"/>
    <n v="1"/>
    <n v="1"/>
    <n v="80"/>
    <n v="0.75"/>
    <n v="60"/>
    <n v="45"/>
  </r>
  <r>
    <s v="Оформление билета с просмотром квитанции"/>
    <x v="2"/>
    <n v="1"/>
    <n v="1"/>
    <n v="80"/>
    <n v="0.75"/>
    <n v="60"/>
    <n v="45"/>
  </r>
  <r>
    <s v="Оформление билета с просмотром квитанции"/>
    <x v="3"/>
    <n v="1"/>
    <n v="1"/>
    <n v="80"/>
    <n v="0.75"/>
    <n v="60"/>
    <n v="45"/>
  </r>
  <r>
    <s v="Оформление билета с просмотром квитанции"/>
    <x v="4"/>
    <n v="1"/>
    <n v="1"/>
    <n v="80"/>
    <n v="0.75"/>
    <n v="60"/>
    <n v="45"/>
  </r>
  <r>
    <s v="Оформление билета с просмотром квитанции"/>
    <x v="5"/>
    <n v="1"/>
    <n v="1"/>
    <n v="80"/>
    <n v="0.75"/>
    <n v="60"/>
    <n v="45"/>
  </r>
  <r>
    <s v="Удаление бронирования "/>
    <x v="0"/>
    <n v="1"/>
    <n v="1"/>
    <n v="49"/>
    <n v="1.2244897959183674"/>
    <n v="60"/>
    <n v="73.469387755102048"/>
  </r>
  <r>
    <s v="Удаление бронирования "/>
    <x v="4"/>
    <n v="1"/>
    <n v="1"/>
    <n v="49"/>
    <n v="1.2244897959183674"/>
    <n v="60"/>
    <n v="73.469387755102048"/>
  </r>
  <r>
    <s v="Удаление бронирования "/>
    <x v="6"/>
    <n v="1"/>
    <n v="1"/>
    <n v="49"/>
    <n v="1.2244897959183674"/>
    <n v="60"/>
    <n v="73.469387755102048"/>
  </r>
  <r>
    <s v="Удаление бронирования "/>
    <x v="5"/>
    <n v="1"/>
    <n v="1"/>
    <n v="49"/>
    <n v="1.2244897959183674"/>
    <n v="60"/>
    <n v="73.469387755102048"/>
  </r>
  <r>
    <s v="Оформление билета"/>
    <x v="0"/>
    <n v="1"/>
    <n v="4"/>
    <n v="110"/>
    <n v="0.54545454545454541"/>
    <n v="60"/>
    <n v="130.90909090909091"/>
  </r>
  <r>
    <s v="Оформление билета"/>
    <x v="1"/>
    <n v="1"/>
    <n v="4"/>
    <n v="110"/>
    <n v="0.54545454545454541"/>
    <n v="60"/>
    <n v="130.90909090909091"/>
  </r>
  <r>
    <s v="Оформление билета"/>
    <x v="2"/>
    <n v="1"/>
    <n v="4"/>
    <n v="110"/>
    <n v="0.54545454545454541"/>
    <n v="60"/>
    <n v="130.90909090909091"/>
  </r>
  <r>
    <s v="Оформление билета"/>
    <x v="3"/>
    <n v="1"/>
    <n v="4"/>
    <n v="110"/>
    <n v="0.54545454545454541"/>
    <n v="60"/>
    <n v="130.90909090909091"/>
  </r>
  <r>
    <s v="Оформление билета"/>
    <x v="5"/>
    <n v="1"/>
    <n v="4"/>
    <n v="110"/>
    <n v="0.54545454545454541"/>
    <n v="60"/>
    <n v="130.90909090909091"/>
  </r>
  <r>
    <s v="Выбор рейса без покупки"/>
    <x v="0"/>
    <n v="1"/>
    <n v="1"/>
    <n v="50"/>
    <n v="1.2"/>
    <n v="60"/>
    <n v="72"/>
  </r>
  <r>
    <s v="Выбор рейса без покупки"/>
    <x v="1"/>
    <n v="1"/>
    <n v="1"/>
    <n v="50"/>
    <n v="1.2"/>
    <n v="60"/>
    <n v="72"/>
  </r>
  <r>
    <s v="Выбор рейса без покупки"/>
    <x v="2"/>
    <n v="1"/>
    <n v="1"/>
    <n v="50"/>
    <n v="1.2"/>
    <n v="60"/>
    <n v="72"/>
  </r>
  <r>
    <s v="Выбор рейса без покупки"/>
    <x v="5"/>
    <n v="1"/>
    <n v="1"/>
    <n v="50"/>
    <n v="1.2"/>
    <n v="60"/>
    <n v="72"/>
  </r>
  <r>
    <s v="Просмотр квитанций"/>
    <x v="0"/>
    <n v="1"/>
    <n v="2"/>
    <n v="150"/>
    <n v="0.4"/>
    <n v="60"/>
    <n v="48"/>
  </r>
  <r>
    <s v="Просмотр квитанций"/>
    <x v="4"/>
    <n v="1"/>
    <n v="2"/>
    <n v="150"/>
    <n v="0.4"/>
    <n v="60"/>
    <n v="48"/>
  </r>
  <r>
    <s v="Просмотр квитанций"/>
    <x v="5"/>
    <n v="1"/>
    <n v="2"/>
    <n v="150"/>
    <n v="0.4"/>
    <n v="60"/>
    <n v="48"/>
  </r>
  <r>
    <s v="Заполнение полей для поиска билета "/>
    <x v="0"/>
    <n v="1"/>
    <n v="1"/>
    <n v="70"/>
    <n v="0.8571428571428571"/>
    <n v="60"/>
    <n v="51.428571428571423"/>
  </r>
  <r>
    <s v="Заполнение полей для поиска билета "/>
    <x v="1"/>
    <n v="1"/>
    <n v="1"/>
    <n v="70"/>
    <n v="0.8571428571428571"/>
    <n v="60"/>
    <n v="51.428571428571423"/>
  </r>
  <r>
    <s v="Заполнение полей для поиска билета "/>
    <x v="5"/>
    <n v="1"/>
    <n v="1"/>
    <n v="70"/>
    <n v="0.8571428571428571"/>
    <n v="60"/>
    <n v="51.4285714285714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7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9" firstHeaderRow="1" firstDataRow="1" firstDataCol="1"/>
  <pivotFields count="8">
    <pivotField showAll="0"/>
    <pivotField axis="axisRow" showAll="0">
      <items count="8">
        <item x="0"/>
        <item x="2"/>
        <item x="5"/>
        <item x="1"/>
        <item x="3"/>
        <item x="6"/>
        <item x="4"/>
        <item t="default"/>
      </items>
    </pivotField>
    <pivotField showAll="0"/>
    <pivotField showAll="0"/>
    <pivotField showAll="0"/>
    <pivotField numFmtId="2" showAll="0"/>
    <pivotField showAll="0"/>
    <pivotField dataField="1" numFmtI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tabSelected="1" topLeftCell="M1" zoomScaleNormal="100" workbookViewId="0">
      <selection activeCell="N5" sqref="N5"/>
    </sheetView>
  </sheetViews>
  <sheetFormatPr defaultColWidth="11.42578125" defaultRowHeight="15" x14ac:dyDescent="0.25"/>
  <cols>
    <col min="1" max="1" width="22.7109375" customWidth="1"/>
    <col min="3" max="3" width="15.42578125" bestFit="1" customWidth="1"/>
    <col min="9" max="9" width="36.85546875" bestFit="1" customWidth="1"/>
    <col min="10" max="10" width="21.5703125" bestFit="1" customWidth="1"/>
    <col min="11" max="11" width="18.7109375" customWidth="1"/>
    <col min="12" max="12" width="27.42578125" bestFit="1" customWidth="1"/>
    <col min="13" max="13" width="35.85546875" bestFit="1" customWidth="1"/>
    <col min="19" max="19" width="44" bestFit="1" customWidth="1"/>
    <col min="21" max="21" width="13.140625" customWidth="1"/>
  </cols>
  <sheetData>
    <row r="1" spans="1:24" ht="15.75" thickBot="1" x14ac:dyDescent="0.3">
      <c r="A1" t="s">
        <v>35</v>
      </c>
      <c r="B1" t="s">
        <v>36</v>
      </c>
      <c r="C1" t="s">
        <v>37</v>
      </c>
      <c r="D1" t="s">
        <v>42</v>
      </c>
      <c r="E1" t="s">
        <v>52</v>
      </c>
      <c r="F1" t="s">
        <v>53</v>
      </c>
      <c r="G1" t="s">
        <v>54</v>
      </c>
      <c r="H1" t="s">
        <v>7</v>
      </c>
      <c r="I1" s="20" t="s">
        <v>38</v>
      </c>
      <c r="J1" t="s">
        <v>50</v>
      </c>
      <c r="M1" t="s">
        <v>41</v>
      </c>
      <c r="N1" t="s">
        <v>43</v>
      </c>
      <c r="O1" t="s">
        <v>44</v>
      </c>
      <c r="P1" t="s">
        <v>55</v>
      </c>
      <c r="Q1" t="s">
        <v>45</v>
      </c>
      <c r="R1" t="s">
        <v>42</v>
      </c>
      <c r="S1" t="s">
        <v>62</v>
      </c>
      <c r="T1" s="30" t="s">
        <v>46</v>
      </c>
      <c r="U1" s="30" t="s">
        <v>47</v>
      </c>
      <c r="V1" s="30" t="s">
        <v>48</v>
      </c>
      <c r="X1" t="s">
        <v>49</v>
      </c>
    </row>
    <row r="2" spans="1:24" ht="15.75" thickBot="1" x14ac:dyDescent="0.3">
      <c r="A2" t="s">
        <v>57</v>
      </c>
      <c r="B2" t="s">
        <v>0</v>
      </c>
      <c r="C2">
        <v>1</v>
      </c>
      <c r="D2" s="28">
        <v>1</v>
      </c>
      <c r="E2">
        <v>80</v>
      </c>
      <c r="F2" s="25">
        <f>60/E2</f>
        <v>0.75</v>
      </c>
      <c r="G2">
        <v>60</v>
      </c>
      <c r="H2" s="24">
        <f>D2*F2*G2</f>
        <v>45</v>
      </c>
      <c r="I2" s="21" t="s">
        <v>0</v>
      </c>
      <c r="J2" s="19">
        <v>420.80705009276437</v>
      </c>
      <c r="M2" t="s">
        <v>61</v>
      </c>
      <c r="N2">
        <v>6.4535999999999998</v>
      </c>
      <c r="O2">
        <v>37.033499999999997</v>
      </c>
      <c r="P2">
        <f>N2+O2</f>
        <v>43.487099999999998</v>
      </c>
      <c r="Q2" s="22">
        <v>80</v>
      </c>
      <c r="R2" s="22">
        <v>1</v>
      </c>
      <c r="S2" s="23">
        <f>60/(Q2)</f>
        <v>0.75</v>
      </c>
      <c r="T2" s="30">
        <v>20</v>
      </c>
      <c r="U2" s="31">
        <f>ROUND(R2*S2*T2,0)</f>
        <v>15</v>
      </c>
      <c r="V2" s="32">
        <f>R2/W$2</f>
        <v>0.1</v>
      </c>
      <c r="W2">
        <f>SUM(R2:R7)</f>
        <v>10</v>
      </c>
    </row>
    <row r="3" spans="1:24" ht="15.75" thickBot="1" x14ac:dyDescent="0.3">
      <c r="A3" t="s">
        <v>57</v>
      </c>
      <c r="B3" t="s">
        <v>9</v>
      </c>
      <c r="C3">
        <v>1</v>
      </c>
      <c r="D3" s="28">
        <v>1</v>
      </c>
      <c r="E3">
        <v>80</v>
      </c>
      <c r="F3" s="25">
        <f t="shared" ref="F3:F26" si="0">60/E3</f>
        <v>0.75</v>
      </c>
      <c r="G3">
        <v>60</v>
      </c>
      <c r="H3" s="24">
        <f t="shared" ref="H3:H26" si="1">D3*F3*G3</f>
        <v>45</v>
      </c>
      <c r="I3" s="21" t="s">
        <v>10</v>
      </c>
      <c r="J3" s="19">
        <v>247.90909090909091</v>
      </c>
      <c r="M3" t="s">
        <v>8</v>
      </c>
      <c r="N3">
        <v>5.2595000000000001</v>
      </c>
      <c r="O3">
        <v>19.3674</v>
      </c>
      <c r="P3">
        <f t="shared" ref="P3:P6" si="2">N3+O3</f>
        <v>24.626899999999999</v>
      </c>
      <c r="Q3" s="22">
        <v>49</v>
      </c>
      <c r="R3" s="22">
        <v>1</v>
      </c>
      <c r="S3" s="23">
        <f t="shared" ref="S3:S7" si="3">60/(Q3)</f>
        <v>1.2244897959183674</v>
      </c>
      <c r="T3" s="30">
        <v>20</v>
      </c>
      <c r="U3" s="31">
        <f t="shared" ref="U3:U7" si="4">ROUND(R3*S3*T3,0)</f>
        <v>24</v>
      </c>
      <c r="V3" s="32">
        <f t="shared" ref="V3:V7" si="5">R3/W$2</f>
        <v>0.1</v>
      </c>
    </row>
    <row r="4" spans="1:24" ht="15.75" thickBot="1" x14ac:dyDescent="0.3">
      <c r="A4" t="s">
        <v>57</v>
      </c>
      <c r="B4" t="s">
        <v>10</v>
      </c>
      <c r="C4">
        <v>1</v>
      </c>
      <c r="D4" s="28">
        <v>1</v>
      </c>
      <c r="E4">
        <v>80</v>
      </c>
      <c r="F4" s="25">
        <f t="shared" si="0"/>
        <v>0.75</v>
      </c>
      <c r="G4">
        <v>60</v>
      </c>
      <c r="H4" s="24">
        <f t="shared" si="1"/>
        <v>45</v>
      </c>
      <c r="I4" s="21" t="s">
        <v>6</v>
      </c>
      <c r="J4" s="19">
        <v>420.80705009276437</v>
      </c>
      <c r="M4" t="s">
        <v>59</v>
      </c>
      <c r="N4">
        <v>6.173</v>
      </c>
      <c r="O4">
        <v>30.361999999999998</v>
      </c>
      <c r="P4">
        <f t="shared" si="2"/>
        <v>36.534999999999997</v>
      </c>
      <c r="Q4" s="22">
        <v>110</v>
      </c>
      <c r="R4" s="22">
        <v>4</v>
      </c>
      <c r="S4" s="23">
        <f t="shared" si="3"/>
        <v>0.54545454545454541</v>
      </c>
      <c r="T4" s="30">
        <v>20</v>
      </c>
      <c r="U4" s="31">
        <f t="shared" si="4"/>
        <v>44</v>
      </c>
      <c r="V4" s="32">
        <f t="shared" si="5"/>
        <v>0.4</v>
      </c>
    </row>
    <row r="5" spans="1:24" ht="15.75" thickBot="1" x14ac:dyDescent="0.3">
      <c r="A5" t="s">
        <v>57</v>
      </c>
      <c r="B5" t="s">
        <v>3</v>
      </c>
      <c r="C5">
        <v>1</v>
      </c>
      <c r="D5" s="28">
        <v>1</v>
      </c>
      <c r="E5">
        <v>80</v>
      </c>
      <c r="F5" s="25">
        <f t="shared" si="0"/>
        <v>0.75</v>
      </c>
      <c r="G5">
        <v>60</v>
      </c>
      <c r="H5" s="24">
        <f t="shared" si="1"/>
        <v>45</v>
      </c>
      <c r="I5" s="21" t="s">
        <v>9</v>
      </c>
      <c r="J5" s="19">
        <v>299.33766233766232</v>
      </c>
      <c r="M5" t="s">
        <v>60</v>
      </c>
      <c r="N5">
        <v>6.3802000000000003</v>
      </c>
      <c r="O5">
        <v>55.003399999999999</v>
      </c>
      <c r="P5">
        <f t="shared" si="2"/>
        <v>61.383600000000001</v>
      </c>
      <c r="Q5" s="22">
        <v>50</v>
      </c>
      <c r="R5" s="22">
        <v>1</v>
      </c>
      <c r="S5" s="23">
        <f t="shared" si="3"/>
        <v>1.2</v>
      </c>
      <c r="T5" s="30">
        <v>20</v>
      </c>
      <c r="U5" s="31">
        <f t="shared" si="4"/>
        <v>24</v>
      </c>
      <c r="V5" s="32">
        <f t="shared" si="5"/>
        <v>0.1</v>
      </c>
    </row>
    <row r="6" spans="1:24" ht="15.75" thickBot="1" x14ac:dyDescent="0.3">
      <c r="A6" t="s">
        <v>57</v>
      </c>
      <c r="B6" t="s">
        <v>4</v>
      </c>
      <c r="C6">
        <v>1</v>
      </c>
      <c r="D6" s="28">
        <v>1</v>
      </c>
      <c r="E6">
        <v>80</v>
      </c>
      <c r="F6" s="25">
        <f t="shared" si="0"/>
        <v>0.75</v>
      </c>
      <c r="G6">
        <v>60</v>
      </c>
      <c r="H6" s="24">
        <f t="shared" si="1"/>
        <v>45</v>
      </c>
      <c r="I6" s="21" t="s">
        <v>3</v>
      </c>
      <c r="J6" s="19">
        <v>175.90909090909091</v>
      </c>
      <c r="M6" t="s">
        <v>4</v>
      </c>
      <c r="N6">
        <v>5.1223000000000001</v>
      </c>
      <c r="O6">
        <v>35.0032</v>
      </c>
      <c r="P6">
        <f t="shared" si="2"/>
        <v>40.125500000000002</v>
      </c>
      <c r="Q6" s="22">
        <v>150</v>
      </c>
      <c r="R6" s="22">
        <v>2</v>
      </c>
      <c r="S6" s="23">
        <f t="shared" si="3"/>
        <v>0.4</v>
      </c>
      <c r="T6" s="30">
        <v>20</v>
      </c>
      <c r="U6" s="31">
        <f t="shared" si="4"/>
        <v>16</v>
      </c>
      <c r="V6" s="32">
        <f t="shared" si="5"/>
        <v>0.2</v>
      </c>
    </row>
    <row r="7" spans="1:24" x14ac:dyDescent="0.25">
      <c r="A7" t="s">
        <v>57</v>
      </c>
      <c r="B7" t="s">
        <v>6</v>
      </c>
      <c r="C7">
        <v>1</v>
      </c>
      <c r="D7" s="28">
        <v>1</v>
      </c>
      <c r="E7">
        <v>80</v>
      </c>
      <c r="F7" s="25">
        <f t="shared" si="0"/>
        <v>0.75</v>
      </c>
      <c r="G7">
        <v>60</v>
      </c>
      <c r="H7" s="24">
        <f t="shared" si="1"/>
        <v>45</v>
      </c>
      <c r="I7" s="21" t="s">
        <v>58</v>
      </c>
      <c r="J7" s="19">
        <v>73.469387755102048</v>
      </c>
      <c r="M7" t="s">
        <v>1</v>
      </c>
      <c r="Q7" s="36">
        <v>70</v>
      </c>
      <c r="R7" s="36">
        <v>1</v>
      </c>
      <c r="S7" s="23">
        <f t="shared" si="3"/>
        <v>0.8571428571428571</v>
      </c>
      <c r="T7" s="30">
        <v>20</v>
      </c>
      <c r="U7" s="31">
        <f t="shared" si="4"/>
        <v>17</v>
      </c>
      <c r="V7" s="32">
        <f t="shared" si="5"/>
        <v>0.1</v>
      </c>
    </row>
    <row r="8" spans="1:24" x14ac:dyDescent="0.25">
      <c r="A8" t="s">
        <v>8</v>
      </c>
      <c r="B8" t="s">
        <v>0</v>
      </c>
      <c r="C8">
        <v>1</v>
      </c>
      <c r="D8" s="29">
        <v>1</v>
      </c>
      <c r="E8">
        <v>49</v>
      </c>
      <c r="F8" s="25">
        <f t="shared" si="0"/>
        <v>1.2244897959183674</v>
      </c>
      <c r="G8">
        <v>60</v>
      </c>
      <c r="H8" s="24">
        <f t="shared" si="1"/>
        <v>73.469387755102048</v>
      </c>
      <c r="I8" s="21" t="s">
        <v>4</v>
      </c>
      <c r="J8" s="19">
        <v>166.46938775510205</v>
      </c>
      <c r="U8" s="24">
        <f>SUM(U2:U7)</f>
        <v>140</v>
      </c>
      <c r="V8" s="37">
        <f>SUM(V2:V7)</f>
        <v>1.0000000000000002</v>
      </c>
    </row>
    <row r="9" spans="1:24" x14ac:dyDescent="0.25">
      <c r="A9" t="s">
        <v>8</v>
      </c>
      <c r="B9" t="s">
        <v>4</v>
      </c>
      <c r="C9">
        <v>1</v>
      </c>
      <c r="D9" s="29">
        <v>1</v>
      </c>
      <c r="E9">
        <v>49</v>
      </c>
      <c r="F9" s="25">
        <f t="shared" si="0"/>
        <v>1.2244897959183674</v>
      </c>
      <c r="G9">
        <v>60</v>
      </c>
      <c r="H9" s="24">
        <f t="shared" si="1"/>
        <v>73.469387755102048</v>
      </c>
      <c r="I9" s="21" t="s">
        <v>39</v>
      </c>
      <c r="J9" s="19">
        <v>1804.7087198515769</v>
      </c>
    </row>
    <row r="10" spans="1:24" x14ac:dyDescent="0.25">
      <c r="A10" t="s">
        <v>8</v>
      </c>
      <c r="B10" t="s">
        <v>58</v>
      </c>
      <c r="C10">
        <v>1</v>
      </c>
      <c r="D10" s="29">
        <v>1</v>
      </c>
      <c r="E10">
        <v>49</v>
      </c>
      <c r="F10" s="25">
        <f t="shared" si="0"/>
        <v>1.2244897959183674</v>
      </c>
      <c r="G10">
        <v>60</v>
      </c>
      <c r="H10" s="24">
        <f t="shared" si="1"/>
        <v>73.469387755102048</v>
      </c>
    </row>
    <row r="11" spans="1:24" x14ac:dyDescent="0.25">
      <c r="A11" t="s">
        <v>8</v>
      </c>
      <c r="B11" t="s">
        <v>6</v>
      </c>
      <c r="C11">
        <v>1</v>
      </c>
      <c r="D11" s="29">
        <v>1</v>
      </c>
      <c r="E11">
        <v>49</v>
      </c>
      <c r="F11" s="25">
        <f t="shared" si="0"/>
        <v>1.2244897959183674</v>
      </c>
      <c r="G11">
        <v>60</v>
      </c>
      <c r="H11" s="24">
        <f t="shared" si="1"/>
        <v>73.469387755102048</v>
      </c>
    </row>
    <row r="12" spans="1:24" x14ac:dyDescent="0.25">
      <c r="A12" t="s">
        <v>59</v>
      </c>
      <c r="B12" t="s">
        <v>0</v>
      </c>
      <c r="C12">
        <v>1</v>
      </c>
      <c r="D12" s="29">
        <v>4</v>
      </c>
      <c r="E12">
        <v>110</v>
      </c>
      <c r="F12" s="25">
        <f t="shared" si="0"/>
        <v>0.54545454545454541</v>
      </c>
      <c r="G12">
        <v>60</v>
      </c>
      <c r="H12" s="24">
        <f t="shared" si="1"/>
        <v>130.90909090909091</v>
      </c>
    </row>
    <row r="13" spans="1:24" x14ac:dyDescent="0.25">
      <c r="A13" t="s">
        <v>59</v>
      </c>
      <c r="B13" t="s">
        <v>9</v>
      </c>
      <c r="C13">
        <v>1</v>
      </c>
      <c r="D13" s="29">
        <v>4</v>
      </c>
      <c r="E13">
        <v>110</v>
      </c>
      <c r="F13" s="25">
        <f t="shared" si="0"/>
        <v>0.54545454545454541</v>
      </c>
      <c r="G13">
        <v>60</v>
      </c>
      <c r="H13" s="24">
        <f t="shared" si="1"/>
        <v>130.90909090909091</v>
      </c>
    </row>
    <row r="14" spans="1:24" x14ac:dyDescent="0.25">
      <c r="A14" t="s">
        <v>59</v>
      </c>
      <c r="B14" t="s">
        <v>10</v>
      </c>
      <c r="C14">
        <v>1</v>
      </c>
      <c r="D14" s="29">
        <v>4</v>
      </c>
      <c r="E14">
        <v>110</v>
      </c>
      <c r="F14" s="25">
        <f t="shared" si="0"/>
        <v>0.54545454545454541</v>
      </c>
      <c r="G14">
        <v>60</v>
      </c>
      <c r="H14" s="24">
        <f t="shared" si="1"/>
        <v>130.90909090909091</v>
      </c>
    </row>
    <row r="15" spans="1:24" x14ac:dyDescent="0.25">
      <c r="A15" t="s">
        <v>59</v>
      </c>
      <c r="B15" t="s">
        <v>3</v>
      </c>
      <c r="C15">
        <v>1</v>
      </c>
      <c r="D15" s="29">
        <v>4</v>
      </c>
      <c r="E15">
        <v>110</v>
      </c>
      <c r="F15" s="25">
        <f t="shared" si="0"/>
        <v>0.54545454545454541</v>
      </c>
      <c r="G15">
        <v>60</v>
      </c>
      <c r="H15" s="24">
        <f t="shared" si="1"/>
        <v>130.90909090909091</v>
      </c>
    </row>
    <row r="16" spans="1:24" x14ac:dyDescent="0.25">
      <c r="A16" t="s">
        <v>59</v>
      </c>
      <c r="B16" t="s">
        <v>6</v>
      </c>
      <c r="C16">
        <v>1</v>
      </c>
      <c r="D16" s="29">
        <v>4</v>
      </c>
      <c r="E16">
        <v>110</v>
      </c>
      <c r="F16" s="25">
        <f t="shared" si="0"/>
        <v>0.54545454545454541</v>
      </c>
      <c r="G16">
        <v>60</v>
      </c>
      <c r="H16" s="24">
        <f t="shared" si="1"/>
        <v>130.90909090909091</v>
      </c>
    </row>
    <row r="17" spans="1:9" x14ac:dyDescent="0.25">
      <c r="A17" t="s">
        <v>60</v>
      </c>
      <c r="B17" t="s">
        <v>0</v>
      </c>
      <c r="C17">
        <v>1</v>
      </c>
      <c r="D17" s="29">
        <v>1</v>
      </c>
      <c r="E17">
        <v>50</v>
      </c>
      <c r="F17" s="25">
        <f t="shared" si="0"/>
        <v>1.2</v>
      </c>
      <c r="G17">
        <v>60</v>
      </c>
      <c r="H17" s="24">
        <f t="shared" si="1"/>
        <v>72</v>
      </c>
    </row>
    <row r="18" spans="1:9" x14ac:dyDescent="0.25">
      <c r="A18" t="s">
        <v>60</v>
      </c>
      <c r="B18" t="s">
        <v>9</v>
      </c>
      <c r="C18">
        <v>1</v>
      </c>
      <c r="D18" s="29">
        <v>1</v>
      </c>
      <c r="E18">
        <v>50</v>
      </c>
      <c r="F18" s="25">
        <f t="shared" si="0"/>
        <v>1.2</v>
      </c>
      <c r="G18">
        <v>60</v>
      </c>
      <c r="H18" s="24">
        <f t="shared" si="1"/>
        <v>72</v>
      </c>
    </row>
    <row r="19" spans="1:9" x14ac:dyDescent="0.25">
      <c r="A19" t="s">
        <v>60</v>
      </c>
      <c r="B19" t="s">
        <v>10</v>
      </c>
      <c r="C19">
        <v>1</v>
      </c>
      <c r="D19" s="29">
        <v>1</v>
      </c>
      <c r="E19">
        <v>50</v>
      </c>
      <c r="F19" s="25">
        <f t="shared" si="0"/>
        <v>1.2</v>
      </c>
      <c r="G19">
        <v>60</v>
      </c>
      <c r="H19" s="24">
        <f t="shared" si="1"/>
        <v>72</v>
      </c>
    </row>
    <row r="20" spans="1:9" x14ac:dyDescent="0.25">
      <c r="A20" t="s">
        <v>60</v>
      </c>
      <c r="B20" t="s">
        <v>6</v>
      </c>
      <c r="C20">
        <v>1</v>
      </c>
      <c r="D20" s="29">
        <v>1</v>
      </c>
      <c r="E20">
        <v>50</v>
      </c>
      <c r="F20" s="25">
        <f t="shared" si="0"/>
        <v>1.2</v>
      </c>
      <c r="G20">
        <v>60</v>
      </c>
      <c r="H20" s="24">
        <f t="shared" si="1"/>
        <v>72</v>
      </c>
    </row>
    <row r="21" spans="1:9" x14ac:dyDescent="0.25">
      <c r="A21" t="s">
        <v>4</v>
      </c>
      <c r="B21" t="s">
        <v>0</v>
      </c>
      <c r="C21">
        <v>1</v>
      </c>
      <c r="D21" s="29">
        <v>2</v>
      </c>
      <c r="E21">
        <v>150</v>
      </c>
      <c r="F21" s="25">
        <f t="shared" si="0"/>
        <v>0.4</v>
      </c>
      <c r="G21">
        <v>60</v>
      </c>
      <c r="H21" s="24">
        <f t="shared" si="1"/>
        <v>48</v>
      </c>
    </row>
    <row r="22" spans="1:9" x14ac:dyDescent="0.25">
      <c r="A22" t="s">
        <v>4</v>
      </c>
      <c r="B22" t="s">
        <v>4</v>
      </c>
      <c r="C22">
        <v>1</v>
      </c>
      <c r="D22" s="29">
        <v>2</v>
      </c>
      <c r="E22">
        <v>150</v>
      </c>
      <c r="F22" s="25">
        <f t="shared" si="0"/>
        <v>0.4</v>
      </c>
      <c r="G22">
        <v>60</v>
      </c>
      <c r="H22" s="24">
        <f t="shared" si="1"/>
        <v>48</v>
      </c>
    </row>
    <row r="23" spans="1:9" x14ac:dyDescent="0.25">
      <c r="A23" t="s">
        <v>4</v>
      </c>
      <c r="B23" t="s">
        <v>6</v>
      </c>
      <c r="C23">
        <v>1</v>
      </c>
      <c r="D23" s="29">
        <v>2</v>
      </c>
      <c r="E23">
        <v>150</v>
      </c>
      <c r="F23" s="25">
        <f t="shared" si="0"/>
        <v>0.4</v>
      </c>
      <c r="G23">
        <v>60</v>
      </c>
      <c r="H23" s="24">
        <f t="shared" si="1"/>
        <v>48</v>
      </c>
    </row>
    <row r="24" spans="1:9" x14ac:dyDescent="0.25">
      <c r="A24" t="s">
        <v>9</v>
      </c>
      <c r="B24" t="s">
        <v>0</v>
      </c>
      <c r="C24">
        <v>1</v>
      </c>
      <c r="D24" s="35">
        <v>1</v>
      </c>
      <c r="E24">
        <v>70</v>
      </c>
      <c r="F24" s="25">
        <f t="shared" si="0"/>
        <v>0.8571428571428571</v>
      </c>
      <c r="G24">
        <v>60</v>
      </c>
      <c r="H24" s="24">
        <f t="shared" si="1"/>
        <v>51.428571428571423</v>
      </c>
    </row>
    <row r="25" spans="1:9" x14ac:dyDescent="0.25">
      <c r="A25" t="s">
        <v>9</v>
      </c>
      <c r="B25" t="s">
        <v>9</v>
      </c>
      <c r="C25">
        <v>1</v>
      </c>
      <c r="D25" s="35">
        <v>1</v>
      </c>
      <c r="E25">
        <v>70</v>
      </c>
      <c r="F25" s="25">
        <f t="shared" si="0"/>
        <v>0.8571428571428571</v>
      </c>
      <c r="G25">
        <v>60</v>
      </c>
      <c r="H25" s="24">
        <f t="shared" si="1"/>
        <v>51.428571428571423</v>
      </c>
    </row>
    <row r="26" spans="1:9" x14ac:dyDescent="0.25">
      <c r="A26" t="s">
        <v>9</v>
      </c>
      <c r="B26" t="s">
        <v>6</v>
      </c>
      <c r="C26">
        <v>1</v>
      </c>
      <c r="D26" s="35">
        <v>1</v>
      </c>
      <c r="E26">
        <v>70</v>
      </c>
      <c r="F26" s="25">
        <f t="shared" si="0"/>
        <v>0.8571428571428571</v>
      </c>
      <c r="G26">
        <v>60</v>
      </c>
      <c r="H26" s="24">
        <f t="shared" si="1"/>
        <v>51.428571428571423</v>
      </c>
    </row>
    <row r="28" spans="1:9" ht="18.75" x14ac:dyDescent="0.3">
      <c r="A28" s="34" t="s">
        <v>40</v>
      </c>
      <c r="C28" t="s">
        <v>51</v>
      </c>
      <c r="G28" t="s">
        <v>56</v>
      </c>
    </row>
    <row r="29" spans="1:9" ht="19.5" thickBot="1" x14ac:dyDescent="0.3">
      <c r="A29" s="1" t="s">
        <v>0</v>
      </c>
      <c r="B29" s="2">
        <v>422</v>
      </c>
      <c r="C29" s="24">
        <f>GETPIVOTDATA("Итого",$I$1,"transaction rq",A29)</f>
        <v>420.80705009276437</v>
      </c>
      <c r="D29" s="26">
        <f>1-B29/C29</f>
        <v>-2.834909507748673E-3</v>
      </c>
      <c r="G29" s="33">
        <f>C29/6</f>
        <v>70.134508348794057</v>
      </c>
      <c r="H29" s="33">
        <v>63</v>
      </c>
      <c r="I29" s="26">
        <f>1-G29/H29</f>
        <v>-0.1132461642665723</v>
      </c>
    </row>
    <row r="30" spans="1:9" ht="38.25" thickBot="1" x14ac:dyDescent="0.3">
      <c r="A30" s="1" t="s">
        <v>9</v>
      </c>
      <c r="B30" s="2">
        <v>282</v>
      </c>
      <c r="C30" s="24">
        <f>GETPIVOTDATA("Итого",$I$1,"transaction rq",A30)</f>
        <v>299.33766233766232</v>
      </c>
      <c r="D30" s="26">
        <f t="shared" ref="D30:D36" si="6">1-B30/C30</f>
        <v>5.7920083300793901E-2</v>
      </c>
      <c r="G30" s="33">
        <f t="shared" ref="G30:G35" si="7">C30/6</f>
        <v>49.88961038961039</v>
      </c>
      <c r="H30" s="33">
        <v>42</v>
      </c>
      <c r="I30" s="26">
        <f t="shared" ref="I30:I35" si="8">1-G30/H30</f>
        <v>-0.18784786641929507</v>
      </c>
    </row>
    <row r="31" spans="1:9" ht="38.25" thickBot="1" x14ac:dyDescent="0.3">
      <c r="A31" s="1" t="s">
        <v>10</v>
      </c>
      <c r="B31" s="2">
        <v>251</v>
      </c>
      <c r="C31" s="24">
        <f>GETPIVOTDATA("Итого",$I$1,"transaction rq",A31)</f>
        <v>247.90909090909091</v>
      </c>
      <c r="D31" s="26">
        <f t="shared" si="6"/>
        <v>-1.2467913458012569E-2</v>
      </c>
      <c r="G31" s="33">
        <f t="shared" si="7"/>
        <v>41.31818181818182</v>
      </c>
      <c r="H31" s="33">
        <v>42</v>
      </c>
      <c r="I31" s="26">
        <f t="shared" si="8"/>
        <v>1.6233766233766156E-2</v>
      </c>
    </row>
    <row r="32" spans="1:9" ht="19.5" thickBot="1" x14ac:dyDescent="0.3">
      <c r="A32" s="1" t="s">
        <v>3</v>
      </c>
      <c r="B32" s="2">
        <v>175</v>
      </c>
      <c r="C32" s="24">
        <f>GETPIVOTDATA("Итого",$I$1,"transaction rq",A32)</f>
        <v>175.90909090909091</v>
      </c>
      <c r="D32" s="26">
        <f t="shared" si="6"/>
        <v>5.1679586563306845E-3</v>
      </c>
      <c r="G32" s="33">
        <f t="shared" si="7"/>
        <v>29.318181818181817</v>
      </c>
      <c r="H32" s="33">
        <v>27</v>
      </c>
      <c r="I32" s="26">
        <f t="shared" si="8"/>
        <v>-8.5858585858585856E-2</v>
      </c>
    </row>
    <row r="33" spans="1:9" ht="38.25" thickBot="1" x14ac:dyDescent="0.3">
      <c r="A33" s="1" t="s">
        <v>4</v>
      </c>
      <c r="B33" s="2">
        <v>159</v>
      </c>
      <c r="C33" s="24">
        <f>GETPIVOTDATA("Итого",$I$1,"transaction rq",A33)</f>
        <v>166.46938775510205</v>
      </c>
      <c r="D33" s="26">
        <f t="shared" si="6"/>
        <v>4.4869437293122538E-2</v>
      </c>
      <c r="G33" s="33">
        <f t="shared" si="7"/>
        <v>27.744897959183675</v>
      </c>
      <c r="H33" s="33">
        <v>29</v>
      </c>
      <c r="I33" s="26">
        <f t="shared" si="8"/>
        <v>4.327938071780435E-2</v>
      </c>
    </row>
    <row r="34" spans="1:9" ht="38.25" thickBot="1" x14ac:dyDescent="0.3">
      <c r="A34" s="1" t="s">
        <v>11</v>
      </c>
      <c r="B34" s="2">
        <v>73</v>
      </c>
      <c r="C34" s="24">
        <v>73</v>
      </c>
      <c r="D34" s="26">
        <f t="shared" si="6"/>
        <v>0</v>
      </c>
      <c r="G34" s="33">
        <f>C34/6</f>
        <v>12.166666666666666</v>
      </c>
      <c r="H34" s="33">
        <v>13</v>
      </c>
      <c r="I34" s="26" t="b">
        <f>H29=1-G34/H34</f>
        <v>0</v>
      </c>
    </row>
    <row r="35" spans="1:9" ht="38.25" thickBot="1" x14ac:dyDescent="0.3">
      <c r="A35" s="1" t="s">
        <v>6</v>
      </c>
      <c r="B35" s="2">
        <v>422</v>
      </c>
      <c r="C35" s="24">
        <f>GETPIVOTDATA("Итого",$I$1,"transaction rq",A35)</f>
        <v>420.80705009276437</v>
      </c>
      <c r="D35" s="26">
        <f t="shared" si="6"/>
        <v>-2.834909507748673E-3</v>
      </c>
      <c r="G35" s="33">
        <f t="shared" si="7"/>
        <v>70.134508348794057</v>
      </c>
      <c r="H35" s="33">
        <v>56</v>
      </c>
      <c r="I35" s="26">
        <f t="shared" si="8"/>
        <v>-0.25240193479989381</v>
      </c>
    </row>
    <row r="36" spans="1:9" ht="19.5" thickBot="1" x14ac:dyDescent="0.3">
      <c r="A36" s="3" t="s">
        <v>7</v>
      </c>
      <c r="B36" s="2">
        <v>1688</v>
      </c>
      <c r="C36" s="27">
        <f>SUM(C29:C35)</f>
        <v>1804.2393320964748</v>
      </c>
      <c r="D36" s="26">
        <f t="shared" si="6"/>
        <v>6.4425672375409304E-2</v>
      </c>
      <c r="E3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O44"/>
  <sheetViews>
    <sheetView topLeftCell="A2" workbookViewId="0">
      <selection activeCell="E28" sqref="E28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38" t="s">
        <v>31</v>
      </c>
      <c r="F9" s="38"/>
      <c r="G9" s="38"/>
      <c r="H9" s="38"/>
      <c r="I9" s="38"/>
    </row>
    <row r="11" spans="5:9" ht="28.5" x14ac:dyDescent="0.25">
      <c r="E11" s="5" t="s">
        <v>12</v>
      </c>
      <c r="F11" s="5" t="s">
        <v>13</v>
      </c>
      <c r="G11" s="5" t="s">
        <v>14</v>
      </c>
      <c r="H11" s="5" t="s">
        <v>15</v>
      </c>
      <c r="I11" s="5" t="s">
        <v>16</v>
      </c>
    </row>
    <row r="12" spans="5:9" ht="15.75" x14ac:dyDescent="0.25">
      <c r="E12" s="6" t="s">
        <v>0</v>
      </c>
      <c r="F12" s="7" t="s">
        <v>22</v>
      </c>
      <c r="G12" s="8">
        <v>368</v>
      </c>
      <c r="H12" s="7">
        <f>121*3</f>
        <v>363</v>
      </c>
      <c r="I12" s="9">
        <f>1-G12/H12</f>
        <v>-1.377410468319562E-2</v>
      </c>
    </row>
    <row r="13" spans="5:9" ht="31.5" x14ac:dyDescent="0.25">
      <c r="E13" s="6" t="s">
        <v>1</v>
      </c>
      <c r="F13" s="7" t="s">
        <v>21</v>
      </c>
      <c r="G13" s="8">
        <v>251</v>
      </c>
      <c r="H13" s="7">
        <f>82*3</f>
        <v>246</v>
      </c>
      <c r="I13" s="9">
        <f t="shared" ref="I13:I18" si="0">1-G13/H13</f>
        <v>-2.0325203252032464E-2</v>
      </c>
    </row>
    <row r="14" spans="5:9" ht="31.5" x14ac:dyDescent="0.25">
      <c r="E14" s="6" t="s">
        <v>2</v>
      </c>
      <c r="F14" s="7" t="s">
        <v>24</v>
      </c>
      <c r="G14" s="8">
        <v>251</v>
      </c>
      <c r="H14" s="7">
        <f>82*3</f>
        <v>246</v>
      </c>
      <c r="I14" s="9">
        <f t="shared" si="0"/>
        <v>-2.0325203252032464E-2</v>
      </c>
    </row>
    <row r="15" spans="5:9" ht="15.75" x14ac:dyDescent="0.25">
      <c r="E15" s="6" t="s">
        <v>3</v>
      </c>
      <c r="F15" s="7" t="s">
        <v>17</v>
      </c>
      <c r="G15" s="8">
        <v>175</v>
      </c>
      <c r="H15" s="7">
        <f>56*3</f>
        <v>168</v>
      </c>
      <c r="I15" s="10">
        <f t="shared" si="0"/>
        <v>-4.1666666666666741E-2</v>
      </c>
    </row>
    <row r="16" spans="5:9" ht="31.5" x14ac:dyDescent="0.25">
      <c r="E16" s="6" t="s">
        <v>18</v>
      </c>
      <c r="F16" s="7" t="s">
        <v>20</v>
      </c>
      <c r="G16" s="8">
        <v>159</v>
      </c>
      <c r="H16" s="8">
        <f>56*3</f>
        <v>168</v>
      </c>
      <c r="I16" s="9">
        <f t="shared" si="0"/>
        <v>5.3571428571428603E-2</v>
      </c>
    </row>
    <row r="17" spans="5:9" ht="47.25" x14ac:dyDescent="0.25">
      <c r="E17" s="6" t="s">
        <v>5</v>
      </c>
      <c r="F17" s="7" t="s">
        <v>19</v>
      </c>
      <c r="G17" s="8">
        <v>73</v>
      </c>
      <c r="H17" s="7">
        <f>25*3</f>
        <v>75</v>
      </c>
      <c r="I17" s="9">
        <f t="shared" si="0"/>
        <v>2.6666666666666616E-2</v>
      </c>
    </row>
    <row r="18" spans="5:9" ht="15.75" x14ac:dyDescent="0.25">
      <c r="E18" s="6" t="s">
        <v>6</v>
      </c>
      <c r="F18" s="7" t="s">
        <v>23</v>
      </c>
      <c r="G18" s="8">
        <v>326</v>
      </c>
      <c r="H18" s="7">
        <f>104*3</f>
        <v>312</v>
      </c>
      <c r="I18" s="9">
        <f t="shared" si="0"/>
        <v>-4.4871794871794934E-2</v>
      </c>
    </row>
    <row r="23" spans="5:9" x14ac:dyDescent="0.25">
      <c r="E23" s="38" t="s">
        <v>29</v>
      </c>
      <c r="F23" s="38"/>
      <c r="G23" s="38"/>
      <c r="H23" s="38"/>
      <c r="I23" s="38"/>
    </row>
    <row r="25" spans="5:9" x14ac:dyDescent="0.25">
      <c r="E25" s="12" t="s">
        <v>12</v>
      </c>
      <c r="F25" s="12" t="s">
        <v>13</v>
      </c>
      <c r="G25" s="12" t="s">
        <v>14</v>
      </c>
      <c r="H25" s="12" t="s">
        <v>15</v>
      </c>
      <c r="I25" s="12" t="s">
        <v>16</v>
      </c>
    </row>
    <row r="26" spans="5:9" ht="15.75" x14ac:dyDescent="0.25">
      <c r="E26" s="17" t="s">
        <v>0</v>
      </c>
      <c r="F26" s="16" t="s">
        <v>22</v>
      </c>
      <c r="G26" s="14">
        <f>5*368</f>
        <v>1840</v>
      </c>
      <c r="H26" s="13">
        <f>721*3</f>
        <v>2163</v>
      </c>
      <c r="I26" s="15">
        <f>1-G26/H26</f>
        <v>0.14932963476652794</v>
      </c>
    </row>
    <row r="27" spans="5:9" ht="15.75" x14ac:dyDescent="0.25">
      <c r="E27" s="17" t="s">
        <v>1</v>
      </c>
      <c r="F27" s="16" t="s">
        <v>21</v>
      </c>
      <c r="G27" s="14">
        <f>5*251</f>
        <v>1255</v>
      </c>
      <c r="H27" s="13">
        <f>3*464</f>
        <v>1392</v>
      </c>
      <c r="I27" s="15">
        <f t="shared" ref="I27:I32" si="1">1-G27/H27</f>
        <v>9.8419540229885083E-2</v>
      </c>
    </row>
    <row r="28" spans="5:9" ht="15.75" x14ac:dyDescent="0.25">
      <c r="E28" s="17" t="s">
        <v>2</v>
      </c>
      <c r="F28" s="16" t="s">
        <v>24</v>
      </c>
      <c r="G28" s="14">
        <f>5*251</f>
        <v>1255</v>
      </c>
      <c r="H28" s="13">
        <f>3*462</f>
        <v>1386</v>
      </c>
      <c r="I28" s="15">
        <f t="shared" si="1"/>
        <v>9.4516594516594554E-2</v>
      </c>
    </row>
    <row r="29" spans="5:9" ht="15.75" x14ac:dyDescent="0.25">
      <c r="E29" s="17" t="s">
        <v>3</v>
      </c>
      <c r="F29" s="16" t="s">
        <v>17</v>
      </c>
      <c r="G29" s="14">
        <f>5*175</f>
        <v>875</v>
      </c>
      <c r="H29" s="13">
        <f>3*314</f>
        <v>942</v>
      </c>
      <c r="I29" s="11">
        <f t="shared" si="1"/>
        <v>7.1125265392781301E-2</v>
      </c>
    </row>
    <row r="30" spans="5:9" ht="15.75" x14ac:dyDescent="0.25">
      <c r="E30" s="17" t="s">
        <v>18</v>
      </c>
      <c r="F30" s="16" t="s">
        <v>20</v>
      </c>
      <c r="G30" s="14">
        <f>5*159</f>
        <v>795</v>
      </c>
      <c r="H30" s="13">
        <f>3*330</f>
        <v>990</v>
      </c>
      <c r="I30" s="15">
        <f t="shared" si="1"/>
        <v>0.19696969696969702</v>
      </c>
    </row>
    <row r="31" spans="5:9" ht="15.75" x14ac:dyDescent="0.25">
      <c r="E31" s="17" t="s">
        <v>5</v>
      </c>
      <c r="F31" s="16" t="s">
        <v>19</v>
      </c>
      <c r="G31" s="14">
        <f>5*73</f>
        <v>365</v>
      </c>
      <c r="H31" s="13">
        <f>3*141</f>
        <v>423</v>
      </c>
      <c r="I31" s="15">
        <f t="shared" si="1"/>
        <v>0.13711583924349879</v>
      </c>
    </row>
    <row r="32" spans="5:9" ht="15.75" x14ac:dyDescent="0.25">
      <c r="E32" s="17" t="s">
        <v>6</v>
      </c>
      <c r="F32" s="16" t="s">
        <v>23</v>
      </c>
      <c r="G32" s="14">
        <f>5*326</f>
        <v>1630</v>
      </c>
      <c r="H32" s="13">
        <f>3*599</f>
        <v>1797</v>
      </c>
      <c r="I32" s="15">
        <f t="shared" si="1"/>
        <v>9.2932665553700611E-2</v>
      </c>
    </row>
    <row r="35" spans="5:15" x14ac:dyDescent="0.25">
      <c r="E35" s="38" t="s">
        <v>30</v>
      </c>
      <c r="F35" s="38"/>
      <c r="G35" s="38"/>
      <c r="H35" s="38"/>
      <c r="I35" s="38"/>
    </row>
    <row r="37" spans="5:15" x14ac:dyDescent="0.25">
      <c r="E37" s="12" t="s">
        <v>12</v>
      </c>
      <c r="F37" s="12" t="s">
        <v>13</v>
      </c>
      <c r="G37" s="12" t="s">
        <v>14</v>
      </c>
      <c r="H37" s="12" t="s">
        <v>15</v>
      </c>
      <c r="I37" s="12" t="s">
        <v>16</v>
      </c>
      <c r="L37" s="18" t="s">
        <v>25</v>
      </c>
      <c r="M37" s="18" t="s">
        <v>26</v>
      </c>
      <c r="N37" s="18" t="s">
        <v>27</v>
      </c>
      <c r="O37" s="18" t="s">
        <v>28</v>
      </c>
    </row>
    <row r="38" spans="5:15" ht="15.75" x14ac:dyDescent="0.25">
      <c r="E38" s="17" t="s">
        <v>0</v>
      </c>
      <c r="F38" s="16" t="s">
        <v>22</v>
      </c>
      <c r="G38" s="14">
        <f>5*368</f>
        <v>1840</v>
      </c>
      <c r="H38" s="13">
        <v>2109</v>
      </c>
      <c r="I38" s="15">
        <f>1-G38/H38</f>
        <v>0.12754860123281175</v>
      </c>
      <c r="L38" s="18" t="s">
        <v>19</v>
      </c>
      <c r="M38" s="18">
        <v>377</v>
      </c>
      <c r="N38" s="18">
        <v>27</v>
      </c>
      <c r="O38" s="18">
        <v>0</v>
      </c>
    </row>
    <row r="39" spans="5:15" ht="15.75" x14ac:dyDescent="0.25">
      <c r="E39" s="17" t="s">
        <v>1</v>
      </c>
      <c r="F39" s="16" t="s">
        <v>21</v>
      </c>
      <c r="G39" s="14">
        <f>5*251</f>
        <v>1255</v>
      </c>
      <c r="H39" s="18">
        <v>1315</v>
      </c>
      <c r="I39" s="15">
        <f t="shared" ref="I39:I44" si="2">1-G39/H39</f>
        <v>4.5627376425855459E-2</v>
      </c>
      <c r="L39" s="18" t="s">
        <v>20</v>
      </c>
      <c r="M39" s="18">
        <v>998</v>
      </c>
      <c r="N39" s="18">
        <v>1</v>
      </c>
      <c r="O39" s="18">
        <v>0</v>
      </c>
    </row>
    <row r="40" spans="5:15" ht="15.75" x14ac:dyDescent="0.25">
      <c r="E40" s="17" t="s">
        <v>2</v>
      </c>
      <c r="F40" s="16" t="s">
        <v>24</v>
      </c>
      <c r="G40" s="14">
        <f>5*251</f>
        <v>1255</v>
      </c>
      <c r="H40" s="13">
        <v>1315</v>
      </c>
      <c r="I40" s="15">
        <f t="shared" si="2"/>
        <v>4.5627376425855459E-2</v>
      </c>
      <c r="L40" s="18" t="s">
        <v>21</v>
      </c>
      <c r="M40" s="18" t="s">
        <v>32</v>
      </c>
      <c r="N40" s="18">
        <v>0</v>
      </c>
      <c r="O40" s="18">
        <v>0</v>
      </c>
    </row>
    <row r="41" spans="5:15" ht="15.75" x14ac:dyDescent="0.25">
      <c r="E41" s="17" t="s">
        <v>3</v>
      </c>
      <c r="F41" s="16" t="s">
        <v>17</v>
      </c>
      <c r="G41" s="14">
        <f>5*175</f>
        <v>875</v>
      </c>
      <c r="H41" s="18">
        <v>924</v>
      </c>
      <c r="I41" s="11">
        <f t="shared" si="2"/>
        <v>5.3030303030302983E-2</v>
      </c>
      <c r="L41" s="18" t="s">
        <v>22</v>
      </c>
      <c r="M41" s="18" t="s">
        <v>33</v>
      </c>
      <c r="N41" s="18">
        <v>139</v>
      </c>
      <c r="O41" s="18">
        <v>0</v>
      </c>
    </row>
    <row r="42" spans="5:15" ht="15.75" x14ac:dyDescent="0.25">
      <c r="E42" s="17" t="s">
        <v>18</v>
      </c>
      <c r="F42" s="16" t="s">
        <v>20</v>
      </c>
      <c r="G42" s="14">
        <f>5*159</f>
        <v>795</v>
      </c>
      <c r="H42" s="18">
        <v>998</v>
      </c>
      <c r="I42" s="15">
        <f t="shared" si="2"/>
        <v>0.20340681362725455</v>
      </c>
      <c r="L42" s="18" t="s">
        <v>23</v>
      </c>
      <c r="M42" s="18" t="s">
        <v>34</v>
      </c>
      <c r="N42" s="18">
        <v>1</v>
      </c>
      <c r="O42" s="18">
        <v>0</v>
      </c>
    </row>
    <row r="43" spans="5:15" ht="15.75" x14ac:dyDescent="0.25">
      <c r="E43" s="17" t="s">
        <v>5</v>
      </c>
      <c r="F43" s="16" t="s">
        <v>19</v>
      </c>
      <c r="G43" s="14">
        <f>5*73</f>
        <v>365</v>
      </c>
      <c r="H43" s="18">
        <v>404</v>
      </c>
      <c r="I43" s="15">
        <f t="shared" si="2"/>
        <v>9.6534653465346509E-2</v>
      </c>
      <c r="L43" s="18" t="s">
        <v>17</v>
      </c>
      <c r="M43" s="18">
        <v>924</v>
      </c>
      <c r="N43" s="18">
        <v>0</v>
      </c>
      <c r="O43" s="18">
        <v>0</v>
      </c>
    </row>
    <row r="44" spans="5:15" ht="15.75" x14ac:dyDescent="0.25">
      <c r="E44" s="17" t="s">
        <v>6</v>
      </c>
      <c r="F44" s="16" t="s">
        <v>23</v>
      </c>
      <c r="G44" s="14">
        <f>5*326</f>
        <v>1630</v>
      </c>
      <c r="H44" s="13">
        <v>1675</v>
      </c>
      <c r="I44" s="15">
        <f t="shared" si="2"/>
        <v>2.68656716417911E-2</v>
      </c>
      <c r="L44" s="18" t="s">
        <v>24</v>
      </c>
      <c r="M44" s="18" t="s">
        <v>32</v>
      </c>
      <c r="N44" s="18">
        <v>0</v>
      </c>
      <c r="O44" s="18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Автоматизированный расчет</vt:lpstr>
      <vt:lpstr>Соответствие профилю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Администратор</cp:lastModifiedBy>
  <dcterms:created xsi:type="dcterms:W3CDTF">2015-06-05T18:19:34Z</dcterms:created>
  <dcterms:modified xsi:type="dcterms:W3CDTF">2020-09-18T14:53:46Z</dcterms:modified>
</cp:coreProperties>
</file>