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Data Sets" sheetId="2" r:id="rId5"/>
    <sheet state="visible" name="01_Descriptive" sheetId="3" r:id="rId6"/>
    <sheet state="visible" name="02_Normal_Distribution" sheetId="4" r:id="rId7"/>
    <sheet state="visible" name="03_Plotting" sheetId="5" r:id="rId8"/>
    <sheet state="visible" name="04_Simulated_Data" sheetId="6" r:id="rId9"/>
    <sheet state="visible" name="05_Confidence_Interval" sheetId="7" r:id="rId10"/>
    <sheet state="visible" name="05_CI_PROP" sheetId="8" r:id="rId11"/>
    <sheet state="visible" name="Sheet26" sheetId="9" r:id="rId12"/>
    <sheet state="visible" name="06_Correlation" sheetId="10" r:id="rId13"/>
    <sheet state="visible" name="07_Simple_LR" sheetId="11" r:id="rId14"/>
    <sheet state="visible" name="08_Multiple_LR" sheetId="12" r:id="rId15"/>
    <sheet state="visible" name="08_Multiple_LR mtcars" sheetId="13" r:id="rId16"/>
    <sheet state="visible" name="09_Independent_T" sheetId="14" r:id="rId17"/>
    <sheet state="visible" name="10_Paired_T" sheetId="15" r:id="rId18"/>
    <sheet state="visible" name="11_OneWayANOVA" sheetId="16" r:id="rId19"/>
    <sheet state="visible" name="12_Chi-Square" sheetId="17" r:id="rId20"/>
    <sheet state="visible" name="13_Moving_Average" sheetId="18" r:id="rId21"/>
    <sheet state="visible" name="14_Exponential_Smoothing" sheetId="19" r:id="rId22"/>
    <sheet state="visible" name="15_TimeSeries_Regression" sheetId="20" r:id="rId23"/>
    <sheet state="visible" name="2columns pred sales" sheetId="21" r:id="rId24"/>
    <sheet state="visible" name="16_Logistic_Regression" sheetId="22" r:id="rId25"/>
    <sheet state="visible" name="Backup Dataset" sheetId="23" r:id="rId26"/>
  </sheets>
  <definedNames>
    <definedName name="IMDB">'Data Sets'!$A$1:$G$101</definedName>
  </definedNames>
  <calcPr/>
</workbook>
</file>

<file path=xl/sharedStrings.xml><?xml version="1.0" encoding="utf-8"?>
<sst xmlns="http://schemas.openxmlformats.org/spreadsheetml/2006/main" count="1017" uniqueCount="450">
  <si>
    <t>Live 06 - Business Analytics and Statistics</t>
  </si>
  <si>
    <t>EP</t>
  </si>
  <si>
    <t>Lesson</t>
  </si>
  <si>
    <t>Link</t>
  </si>
  <si>
    <t>Descriptive Statistics</t>
  </si>
  <si>
    <t>Normal Distribution</t>
  </si>
  <si>
    <t>Plotting The Normal Distribution</t>
  </si>
  <si>
    <t>How to Simulate Normal Data in Sheets</t>
  </si>
  <si>
    <t>Confidence Interval - TENET</t>
  </si>
  <si>
    <t>Correlation</t>
  </si>
  <si>
    <t>Simple Linear Regression</t>
  </si>
  <si>
    <t>Multiple Linear Regression</t>
  </si>
  <si>
    <t>Independent T-Test</t>
  </si>
  <si>
    <t>Paired T-Test</t>
  </si>
  <si>
    <t>One-Way ANOVA</t>
  </si>
  <si>
    <t>Chi-Square Test of Independence</t>
  </si>
  <si>
    <t>Time Series Moving Average</t>
  </si>
  <si>
    <t>Time Series Exponential Smoothing</t>
  </si>
  <si>
    <t>Time Series Linear Regression with Dummy</t>
  </si>
  <si>
    <t>Logistic Regression</t>
  </si>
  <si>
    <t>Multiple Linear Regression Using Analysis Toolpak</t>
  </si>
  <si>
    <t>Demo in Excel (Bonus Chapter)</t>
  </si>
  <si>
    <t>Multiple Linear Regression Using Solver</t>
  </si>
  <si>
    <t>NO</t>
  </si>
  <si>
    <t>MOVIE_NAME</t>
  </si>
  <si>
    <t>YEAR</t>
  </si>
  <si>
    <t>RATING</t>
  </si>
  <si>
    <t>LENGTH</t>
  </si>
  <si>
    <t>GENRE</t>
  </si>
  <si>
    <t>SCORE</t>
  </si>
  <si>
    <t>The Shawshank Redemption</t>
  </si>
  <si>
    <t>R</t>
  </si>
  <si>
    <t>Drama</t>
  </si>
  <si>
    <t>The Godfather</t>
  </si>
  <si>
    <t>Crime, Drama</t>
  </si>
  <si>
    <t>The Dark Knight</t>
  </si>
  <si>
    <t>PG-13</t>
  </si>
  <si>
    <t>Action, Crime, Drama</t>
  </si>
  <si>
    <t>The Godfather: Part II</t>
  </si>
  <si>
    <t>The Lord of the Rings: The Return of the King</t>
  </si>
  <si>
    <t>Action, Adventure, Drama</t>
  </si>
  <si>
    <t>Pulp Fiction</t>
  </si>
  <si>
    <t>Schindler's List</t>
  </si>
  <si>
    <t>Biography, Drama, History</t>
  </si>
  <si>
    <t>12 Angry Men</t>
  </si>
  <si>
    <t>Approved</t>
  </si>
  <si>
    <t>Inception</t>
  </si>
  <si>
    <t>Action, Adventure, Sci-Fi</t>
  </si>
  <si>
    <t>Fight Club</t>
  </si>
  <si>
    <t>The Lord of the Rings: The Fellowship of the Ring</t>
  </si>
  <si>
    <t>Forrest Gump</t>
  </si>
  <si>
    <t>Drama, Romance</t>
  </si>
  <si>
    <t>The Good, the Bad and the Ugly</t>
  </si>
  <si>
    <t>Western</t>
  </si>
  <si>
    <t>Hamilton</t>
  </si>
  <si>
    <t>The Lord of the Rings: The Two Towers</t>
  </si>
  <si>
    <t>The Matrix</t>
  </si>
  <si>
    <t>Action, Sci-Fi</t>
  </si>
  <si>
    <t>Goodfellas</t>
  </si>
  <si>
    <t>Biography, Crime, Drama</t>
  </si>
  <si>
    <t>Star Wars: Episode V - The Empire Strikes Back</t>
  </si>
  <si>
    <t>PG</t>
  </si>
  <si>
    <t>Action, Adventure, Fantasy</t>
  </si>
  <si>
    <t>One Flew Over the Cuckoo's Nest</t>
  </si>
  <si>
    <t>Parasite</t>
  </si>
  <si>
    <t>Comedy, Drama, Thriller</t>
  </si>
  <si>
    <t>Interstellar</t>
  </si>
  <si>
    <t>Adventure, Drama, Sci-Fi</t>
  </si>
  <si>
    <t>City of God</t>
  </si>
  <si>
    <t>Spirited Away</t>
  </si>
  <si>
    <t>Animation, Adventure, Family</t>
  </si>
  <si>
    <t>Saving Private Ryan</t>
  </si>
  <si>
    <t>Drama, War</t>
  </si>
  <si>
    <t>The Green Mile</t>
  </si>
  <si>
    <t>Crime, Drama, Fantasy</t>
  </si>
  <si>
    <t>Life Is Beautiful</t>
  </si>
  <si>
    <t>Comedy, Drama, Romance</t>
  </si>
  <si>
    <t>Se7en</t>
  </si>
  <si>
    <t>Crime, Drama, Mystery</t>
  </si>
  <si>
    <t>The Silence of the Lambs</t>
  </si>
  <si>
    <t>Crime, Drama, Thriller</t>
  </si>
  <si>
    <t>Star Wars: Episode IV - A New Hope</t>
  </si>
  <si>
    <t>Harakiri</t>
  </si>
  <si>
    <t>Not Rated</t>
  </si>
  <si>
    <t>Action, Drama, Mystery</t>
  </si>
  <si>
    <t>Seven Samurai</t>
  </si>
  <si>
    <t>It's a Wonderful Life</t>
  </si>
  <si>
    <t>Drama, Family, Fantasy</t>
  </si>
  <si>
    <t>Joker</t>
  </si>
  <si>
    <t>Whiplash</t>
  </si>
  <si>
    <t>Drama, Music</t>
  </si>
  <si>
    <t>The Intouchables</t>
  </si>
  <si>
    <t>Biography, Comedy, Drama</t>
  </si>
  <si>
    <t>The Prestige</t>
  </si>
  <si>
    <t>Drama, Mystery, Sci-Fi</t>
  </si>
  <si>
    <t>The Departed</t>
  </si>
  <si>
    <t>The Pianist</t>
  </si>
  <si>
    <t>Biography, Drama, Music</t>
  </si>
  <si>
    <t>Gladiator</t>
  </si>
  <si>
    <t>American History X</t>
  </si>
  <si>
    <t>The Usual Suspects</t>
  </si>
  <si>
    <t>Crime, Mystery, Thriller</t>
  </si>
  <si>
    <t>Léon: The Professional</t>
  </si>
  <si>
    <t>The Lion King</t>
  </si>
  <si>
    <t>G</t>
  </si>
  <si>
    <t>Animation, Adventure, Drama</t>
  </si>
  <si>
    <t>Terminator 2: Judgment Day</t>
  </si>
  <si>
    <t>Cinema Paradiso</t>
  </si>
  <si>
    <t>Grave of the Fireflies</t>
  </si>
  <si>
    <t>Animation, Drama, War</t>
  </si>
  <si>
    <t>Back to the Future</t>
  </si>
  <si>
    <t>Adventure, Comedy, Sci-Fi</t>
  </si>
  <si>
    <t>Anand</t>
  </si>
  <si>
    <t>Drama, Musical</t>
  </si>
  <si>
    <t>Once Upon a Time in the West</t>
  </si>
  <si>
    <t>Psycho</t>
  </si>
  <si>
    <t>Horror, Mystery, Thriller</t>
  </si>
  <si>
    <t>Casablanca</t>
  </si>
  <si>
    <t>Drama, Romance, War</t>
  </si>
  <si>
    <t>Modern Times</t>
  </si>
  <si>
    <t>Comedy, Drama, Family</t>
  </si>
  <si>
    <t>City Lights</t>
  </si>
  <si>
    <t>Capharnaüm</t>
  </si>
  <si>
    <t>Ayla: The Daughter of War</t>
  </si>
  <si>
    <t>Your Name.</t>
  </si>
  <si>
    <t>Animation, Drama, Fantasy</t>
  </si>
  <si>
    <t>Dangal</t>
  </si>
  <si>
    <t>Action, Biography, Drama</t>
  </si>
  <si>
    <t>Spider-Man: Into the Spider-Verse</t>
  </si>
  <si>
    <t>Animation, Action, Adventure</t>
  </si>
  <si>
    <t>Avengers: Endgame</t>
  </si>
  <si>
    <t>Avengers: Infinity War</t>
  </si>
  <si>
    <t>Coco</t>
  </si>
  <si>
    <t>Django Unchained</t>
  </si>
  <si>
    <t>Drama, Western</t>
  </si>
  <si>
    <t>The Dark Knight Rises</t>
  </si>
  <si>
    <t>Action, Adventure</t>
  </si>
  <si>
    <t>3 Idiots</t>
  </si>
  <si>
    <t>Comedy, Drama</t>
  </si>
  <si>
    <t>Taare Zameen Par</t>
  </si>
  <si>
    <t>Drama, Family</t>
  </si>
  <si>
    <t>WALL·E</t>
  </si>
  <si>
    <t>The Lives of Others</t>
  </si>
  <si>
    <t>Drama, Mystery, Thriller</t>
  </si>
  <si>
    <t>Oldboy</t>
  </si>
  <si>
    <t>Memento</t>
  </si>
  <si>
    <t>Mystery, Thriller</t>
  </si>
  <si>
    <t>Princess Mononoke</t>
  </si>
  <si>
    <t>Animation, Adventure, Fantasy</t>
  </si>
  <si>
    <t>Once Upon a Time in America</t>
  </si>
  <si>
    <t>Raiders of the Lost Ark</t>
  </si>
  <si>
    <t>The Shining</t>
  </si>
  <si>
    <t>Drama, Horror</t>
  </si>
  <si>
    <t>Apocalypse Now</t>
  </si>
  <si>
    <t>Drama, Mystery, War</t>
  </si>
  <si>
    <t>Alien</t>
  </si>
  <si>
    <t>Horror, Sci-Fi</t>
  </si>
  <si>
    <t>High and Low</t>
  </si>
  <si>
    <t>Dr. Strangelove or: How I Learned to Stop Worrying and Love the Bomb</t>
  </si>
  <si>
    <t>Comedy</t>
  </si>
  <si>
    <t>Witness for the Prosecution</t>
  </si>
  <si>
    <t>Paths of Glory</t>
  </si>
  <si>
    <t>Rear Window</t>
  </si>
  <si>
    <t>Sunset Blvd.</t>
  </si>
  <si>
    <t>Passed</t>
  </si>
  <si>
    <t>Drama, Film-Noir</t>
  </si>
  <si>
    <t>The Great Dictator</t>
  </si>
  <si>
    <t>Comedy, Drama, War</t>
  </si>
  <si>
    <t>Uri: The Surgical Strike</t>
  </si>
  <si>
    <t>Action, Drama, War</t>
  </si>
  <si>
    <t>Tumbbad</t>
  </si>
  <si>
    <t>Drama, Fantasy, Horror</t>
  </si>
  <si>
    <t>Andhadhun</t>
  </si>
  <si>
    <t>Crime, Thriller</t>
  </si>
  <si>
    <t>Drishyam</t>
  </si>
  <si>
    <t>The Hunt</t>
  </si>
  <si>
    <t>A Separation</t>
  </si>
  <si>
    <t>Drama, Thriller</t>
  </si>
  <si>
    <t>Incendies</t>
  </si>
  <si>
    <t>Yedinci Kogustaki Mucize</t>
  </si>
  <si>
    <t>Babam ve Oglum</t>
  </si>
  <si>
    <t>Toy Story 3</t>
  </si>
  <si>
    <t>Animation, Adventure, Comedy</t>
  </si>
  <si>
    <t>Inglourious Basterds</t>
  </si>
  <si>
    <t>Adventure, Drama, War</t>
  </si>
  <si>
    <t>Eternal Sunshine of the Spotless Mind</t>
  </si>
  <si>
    <t>Drama, Romance, Sci-Fi</t>
  </si>
  <si>
    <t>Amélie</t>
  </si>
  <si>
    <t>Comedy, Romance</t>
  </si>
  <si>
    <t>Snatch</t>
  </si>
  <si>
    <t>Comedy, Crime</t>
  </si>
  <si>
    <t>Requiem for a Dream</t>
  </si>
  <si>
    <t>American Beauty</t>
  </si>
  <si>
    <t>Good Will Hunting</t>
  </si>
  <si>
    <t>X-X_bar</t>
  </si>
  <si>
    <t>Count</t>
  </si>
  <si>
    <t>Measure of Central Tendency</t>
  </si>
  <si>
    <t>mean</t>
  </si>
  <si>
    <t>median</t>
  </si>
  <si>
    <t>mode</t>
  </si>
  <si>
    <t>Measure of Spread/ Variability</t>
  </si>
  <si>
    <t>SD Sample</t>
  </si>
  <si>
    <t>Variance</t>
  </si>
  <si>
    <t>Range</t>
  </si>
  <si>
    <t>IQR</t>
  </si>
  <si>
    <t>Inter Quartile Range</t>
  </si>
  <si>
    <t>=third quartile-fiirst quartile</t>
  </si>
  <si>
    <t>Measure of Pisition</t>
  </si>
  <si>
    <t>Customers have ARPU top 10%</t>
  </si>
  <si>
    <t>Percentile 25%</t>
  </si>
  <si>
    <t xml:space="preserve"> = customer who have percentile &gt;90%</t>
  </si>
  <si>
    <t>Percentile 50%</t>
  </si>
  <si>
    <t>Median</t>
  </si>
  <si>
    <t>Percentile 75%</t>
  </si>
  <si>
    <t>Percentile 95%</t>
  </si>
  <si>
    <t>Percentile 100%</t>
  </si>
  <si>
    <t>Max</t>
  </si>
  <si>
    <t>Quartile 1st</t>
  </si>
  <si>
    <t>= Percentile 25%</t>
  </si>
  <si>
    <t>Quartile 2nd</t>
  </si>
  <si>
    <t>= Percentile 50%</t>
  </si>
  <si>
    <t>Quartile 3rd</t>
  </si>
  <si>
    <t>= Percentile 75%</t>
  </si>
  <si>
    <t>Outlier</t>
  </si>
  <si>
    <t>Q3+1.5*IQR</t>
  </si>
  <si>
    <t>Q1-1.5*IQR</t>
  </si>
  <si>
    <t>ARPU : average revenue per user</t>
  </si>
  <si>
    <t>SSE</t>
  </si>
  <si>
    <t>Sum of Square Error</t>
  </si>
  <si>
    <t>SD Sample(manual)</t>
  </si>
  <si>
    <t>Z = (X - Mean) / SD</t>
  </si>
  <si>
    <t>Z (standardization)</t>
  </si>
  <si>
    <t>Empirical Rule</t>
  </si>
  <si>
    <t xml:space="preserve">เกิดขึ้นจริงเสมอ </t>
  </si>
  <si>
    <t>Mean</t>
  </si>
  <si>
    <t>SD</t>
  </si>
  <si>
    <t>Lower Bound</t>
  </si>
  <si>
    <t>Upper Bound</t>
  </si>
  <si>
    <t>Percent</t>
  </si>
  <si>
    <t>+/-1SD</t>
  </si>
  <si>
    <t>+/-2SD</t>
  </si>
  <si>
    <t>+/-3SD</t>
  </si>
  <si>
    <t>z</t>
  </si>
  <si>
    <t>f(z)</t>
  </si>
  <si>
    <t>PHI()</t>
  </si>
  <si>
    <t>Standard Normal Distribution</t>
  </si>
  <si>
    <t>Simulate Data in Google Sheets</t>
  </si>
  <si>
    <t>THB</t>
  </si>
  <si>
    <t>Syntax</t>
  </si>
  <si>
    <t>=NORMINV( RAND(), MEAN, SD )</t>
  </si>
  <si>
    <t>Sales</t>
  </si>
  <si>
    <t>MEAN</t>
  </si>
  <si>
    <t>Confidence Interval</t>
  </si>
  <si>
    <t>Sample Size &gt;30  ยิ่งดี</t>
  </si>
  <si>
    <t>Question - Is it different from 8.0 points?</t>
  </si>
  <si>
    <t>Sample N=50</t>
  </si>
  <si>
    <t>Ho: rating kenshin = 8</t>
  </si>
  <si>
    <t>Reject Ho</t>
  </si>
  <si>
    <t>Central Limit Theorem</t>
  </si>
  <si>
    <t>Rating</t>
  </si>
  <si>
    <t>Ha: rating kenshin != 8 (two-tailed)</t>
  </si>
  <si>
    <t>Point Estimate</t>
  </si>
  <si>
    <t>N</t>
  </si>
  <si>
    <t>Interval Estimate (Confidence Interval)</t>
  </si>
  <si>
    <t>1.Calculate Standard Error (SE)</t>
  </si>
  <si>
    <t>=SDบนค่าเฉลียของ Sampling Distribution</t>
  </si>
  <si>
    <t>SE</t>
  </si>
  <si>
    <t>Sampling Distribution</t>
  </si>
  <si>
    <t>2. Calculate Magin of Error (MoE)</t>
  </si>
  <si>
    <t>MOE = SE * Z</t>
  </si>
  <si>
    <t>Confidence</t>
  </si>
  <si>
    <t>Z</t>
  </si>
  <si>
    <t>MoE</t>
  </si>
  <si>
    <t>3. Construct Confidence Interval</t>
  </si>
  <si>
    <t>Lower</t>
  </si>
  <si>
    <t>Upper</t>
  </si>
  <si>
    <t>90% CI</t>
  </si>
  <si>
    <t>95% CI</t>
  </si>
  <si>
    <t>99% CI</t>
  </si>
  <si>
    <t>Thai Teens ชอบ LISA Blackpink กี่ %</t>
  </si>
  <si>
    <t>Ho: Like LISA = 80%</t>
  </si>
  <si>
    <t>(Propotion)</t>
  </si>
  <si>
    <t>Ha: Like LISA !=80%</t>
  </si>
  <si>
    <t>Yes</t>
  </si>
  <si>
    <t>%Yes</t>
  </si>
  <si>
    <t>MOE</t>
  </si>
  <si>
    <t>Failed to reject Ho</t>
  </si>
  <si>
    <t>ใช้ในการวัดความสัมพันธ์ระหว่างตัวแปรสองตัวที่เป็นตัวเลข</t>
  </si>
  <si>
    <t>Correlation (r)</t>
  </si>
  <si>
    <t>R-Square (Explained Variance)</t>
  </si>
  <si>
    <t>[0-1]</t>
  </si>
  <si>
    <t>Measure of Relationship</t>
  </si>
  <si>
    <t>[-1, +1]</t>
  </si>
  <si>
    <t>มีแนวโน้ม</t>
  </si>
  <si>
    <t>Linear Regression</t>
  </si>
  <si>
    <t>ใช้คู่กับ Correlation เสมอ</t>
  </si>
  <si>
    <t>จุดตัดแกนตั้ง</t>
  </si>
  <si>
    <t>Intercpt</t>
  </si>
  <si>
    <t>ความชัน</t>
  </si>
  <si>
    <t>Slope</t>
  </si>
  <si>
    <t>IMDB Score = 8.1630 + 0.0026 * Length</t>
  </si>
  <si>
    <t>Length</t>
  </si>
  <si>
    <t>IMDB Score</t>
  </si>
  <si>
    <t>Let's import data from GitHub (Raw CSV)</t>
  </si>
  <si>
    <t>Website</t>
  </si>
  <si>
    <t>https://gist.github.com/seankross/a412dfbd88b3db70b74b</t>
  </si>
  <si>
    <t>Reference</t>
  </si>
  <si>
    <t>Difference between Adjusted R-squared and R-squared (listendata.com)</t>
  </si>
  <si>
    <t>AB Test / RCT</t>
  </si>
  <si>
    <t>Ho: mean_group1 = mean_group2</t>
  </si>
  <si>
    <t>Average Sales</t>
  </si>
  <si>
    <t>Ha: mean_group1 != mean_group2</t>
  </si>
  <si>
    <t>SD Sales</t>
  </si>
  <si>
    <t>.</t>
  </si>
  <si>
    <t>Scenario: We create two new recipes</t>
  </si>
  <si>
    <t>Recipe A</t>
  </si>
  <si>
    <t>Recipe B</t>
  </si>
  <si>
    <t>1. Test variance (F-Test)</t>
  </si>
  <si>
    <t>2. Test mean (T-Test)</t>
  </si>
  <si>
    <t>p-value (F-Test)</t>
  </si>
  <si>
    <t>Ho: Var A = Var B</t>
  </si>
  <si>
    <t>Ha: Var A != Var B</t>
  </si>
  <si>
    <t>p-value (T-Test)</t>
  </si>
  <si>
    <t>Ho: Mean A = Mean B</t>
  </si>
  <si>
    <t>Ha: Mean A != Mean B</t>
  </si>
  <si>
    <t>Aka - Pre vs. Post Test</t>
  </si>
  <si>
    <t>Ho: mean_before = mean_after</t>
  </si>
  <si>
    <t>Ha: mean_before != mean_after</t>
  </si>
  <si>
    <t>One Way ANOVA</t>
  </si>
  <si>
    <t>Ho: All groups means are equal (mean1 = mean2 = mean3 = ... )</t>
  </si>
  <si>
    <t xml:space="preserve">Ha: At least one group mean is different </t>
  </si>
  <si>
    <t xml:space="preserve">You work as a HR manager and want to test three engagement methods to improve productivity. </t>
  </si>
  <si>
    <t>Method 1</t>
  </si>
  <si>
    <t>Method 2</t>
  </si>
  <si>
    <t>Method 3</t>
  </si>
  <si>
    <t>How to Perform a Chi-Square Test of Independence in Excel (statology.org)</t>
  </si>
  <si>
    <t>Ho: Two variables are independent</t>
  </si>
  <si>
    <t>Ha: Two variables are NOT independent (ไม่เป็นอิสระต่อกัน แปลว่ามีความสัมพันธ์กัน)</t>
  </si>
  <si>
    <t>Actual</t>
  </si>
  <si>
    <t>Expected</t>
  </si>
  <si>
    <t>Republican</t>
  </si>
  <si>
    <t>Democrat</t>
  </si>
  <si>
    <t>Independent</t>
  </si>
  <si>
    <t>Total</t>
  </si>
  <si>
    <t>Male</t>
  </si>
  <si>
    <t>Female</t>
  </si>
  <si>
    <t>Buy</t>
  </si>
  <si>
    <t>Not Buy</t>
  </si>
  <si>
    <t>Promo A</t>
  </si>
  <si>
    <t>Promo B</t>
  </si>
  <si>
    <t>Time Series - Moving Average</t>
  </si>
  <si>
    <t>Quarter Ending</t>
  </si>
  <si>
    <t>Sales (X 1000)</t>
  </si>
  <si>
    <r>
      <rPr>
        <rFont val="Work Sans"/>
        <b/>
        <color theme="1"/>
      </rPr>
      <t>MA(3)</t>
    </r>
    <r>
      <rPr>
        <rFont val="Work Sans"/>
        <color theme="1"/>
      </rPr>
      <t xml:space="preserve"> (Moving Avg)</t>
    </r>
  </si>
  <si>
    <t>MA(5)</t>
  </si>
  <si>
    <t>Mar-18</t>
  </si>
  <si>
    <t xml:space="preserve"> </t>
  </si>
  <si>
    <t>Jun-18</t>
  </si>
  <si>
    <t>Sep-18</t>
  </si>
  <si>
    <t>Dec-18</t>
  </si>
  <si>
    <t>Mar-19</t>
  </si>
  <si>
    <t>Jun-19</t>
  </si>
  <si>
    <t>Sep-19</t>
  </si>
  <si>
    <t>Dec-19</t>
  </si>
  <si>
    <t>Mar-20</t>
  </si>
  <si>
    <t>Jun-20</t>
  </si>
  <si>
    <t>Sep-20</t>
  </si>
  <si>
    <t>Dec-20</t>
  </si>
  <si>
    <t>Mar-21</t>
  </si>
  <si>
    <t>Jun-21</t>
  </si>
  <si>
    <t>Sep-21</t>
  </si>
  <si>
    <t>Dec-21</t>
  </si>
  <si>
    <t>Mar-22</t>
  </si>
  <si>
    <t>Jun-22</t>
  </si>
  <si>
    <t>Sep-22</t>
  </si>
  <si>
    <t>Dec-22</t>
  </si>
  <si>
    <t>Time Series - Exponential Smoothing</t>
  </si>
  <si>
    <t>7.1 Simple exponential smoothing | Forecasting: Principles and Practice (2nd ed) (otexts.com)</t>
  </si>
  <si>
    <r>
      <rPr>
        <rFont val="Work Sans"/>
        <color theme="1"/>
      </rPr>
      <t>alpha is what we call "</t>
    </r>
    <r>
      <rPr>
        <rFont val="Work Sans"/>
        <b/>
        <color theme="1"/>
      </rPr>
      <t>smoothing factor</t>
    </r>
    <r>
      <rPr>
        <rFont val="Work Sans"/>
        <color theme="1"/>
      </rPr>
      <t>" or "</t>
    </r>
    <r>
      <rPr>
        <rFont val="Work Sans"/>
        <b/>
        <color theme="1"/>
      </rPr>
      <t>damping factor</t>
    </r>
    <r>
      <rPr>
        <rFont val="Work Sans"/>
        <color theme="1"/>
      </rPr>
      <t>"</t>
    </r>
  </si>
  <si>
    <t>Pred_Sales</t>
  </si>
  <si>
    <t>alpha</t>
  </si>
  <si>
    <t>Time Series - Linear Regression with Dummy</t>
  </si>
  <si>
    <t>Time (t)</t>
  </si>
  <si>
    <t>Vol1</t>
  </si>
  <si>
    <t>Sales = f(t)</t>
  </si>
  <si>
    <t>Sales = intercept + slope*t</t>
  </si>
  <si>
    <t>intercept</t>
  </si>
  <si>
    <t>Sales = 69+1.7714*t</t>
  </si>
  <si>
    <t>Analyst tool pak in gg sheets</t>
  </si>
  <si>
    <t>Promotion</t>
  </si>
  <si>
    <t>Time</t>
  </si>
  <si>
    <t>Intercept</t>
  </si>
  <si>
    <t>Sales = 65.10+1.44*Time+29.66*Promotion</t>
  </si>
  <si>
    <t>happiness</t>
  </si>
  <si>
    <t>divorce</t>
  </si>
  <si>
    <t>caseno</t>
  </si>
  <si>
    <t>age</t>
  </si>
  <si>
    <t>weight</t>
  </si>
  <si>
    <t>gender</t>
  </si>
  <si>
    <t>VO2max</t>
  </si>
  <si>
    <t>heart_disease</t>
  </si>
  <si>
    <t>male</t>
  </si>
  <si>
    <t>no</t>
  </si>
  <si>
    <t>female</t>
  </si>
  <si>
    <t>yes</t>
  </si>
  <si>
    <t>Backup Dataset</t>
  </si>
  <si>
    <t>model</t>
  </si>
  <si>
    <t>mpg</t>
  </si>
  <si>
    <t>cyl</t>
  </si>
  <si>
    <t>disp</t>
  </si>
  <si>
    <t>hp</t>
  </si>
  <si>
    <t>drat</t>
  </si>
  <si>
    <t>wt</t>
  </si>
  <si>
    <t>qsec</t>
  </si>
  <si>
    <t>vs</t>
  </si>
  <si>
    <t>am</t>
  </si>
  <si>
    <t>gear</t>
  </si>
  <si>
    <t>carb</t>
  </si>
  <si>
    <t>Mazda RX4</t>
  </si>
  <si>
    <t>Mazda RX4 Wag</t>
  </si>
  <si>
    <t>Datsun 710</t>
  </si>
  <si>
    <t>Hornet 4 Drive</t>
  </si>
  <si>
    <t>Hornet Sportabout</t>
  </si>
  <si>
    <t>Valiant</t>
  </si>
  <si>
    <t>Duster 360</t>
  </si>
  <si>
    <t>Merc 240D</t>
  </si>
  <si>
    <t>Merc 230</t>
  </si>
  <si>
    <t>Merc 280</t>
  </si>
  <si>
    <t>Merc 280C</t>
  </si>
  <si>
    <t>Merc 450SE</t>
  </si>
  <si>
    <t>Merc 450SL</t>
  </si>
  <si>
    <t>Merc 450SLC</t>
  </si>
  <si>
    <t>Cadillac Fleetwood</t>
  </si>
  <si>
    <t>Lincoln Continental</t>
  </si>
  <si>
    <t>Chrysler Imperial</t>
  </si>
  <si>
    <t>Fiat 128</t>
  </si>
  <si>
    <t>Honda Civic</t>
  </si>
  <si>
    <t>Toyota Corolla</t>
  </si>
  <si>
    <t>Toyota Corona</t>
  </si>
  <si>
    <t>Dodge Challenger</t>
  </si>
  <si>
    <t>AMC Javelin</t>
  </si>
  <si>
    <t>Camaro Z28</t>
  </si>
  <si>
    <t>Pontiac Firebird</t>
  </si>
  <si>
    <t>Fiat X1-9</t>
  </si>
  <si>
    <t>Porsche 914-2</t>
  </si>
  <si>
    <t>Lotus Europa</t>
  </si>
  <si>
    <t>Ford Pantera L</t>
  </si>
  <si>
    <t>Ferrari Dino</t>
  </si>
  <si>
    <t>Maserati Bora</t>
  </si>
  <si>
    <t>Volvo 142E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</si>
</sst>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000"/>
    <numFmt numFmtId="165" formatCode="0.0%"/>
    <numFmt numFmtId="166" formatCode="0.00000"/>
    <numFmt numFmtId="167" formatCode="0.0"/>
    <numFmt numFmtId="168" formatCode="0.000000000"/>
  </numFmts>
  <fonts count="32">
    <font>
      <sz val="10.0"/>
      <color rgb="FF000000"/>
      <name val="Arial"/>
      <scheme val="minor"/>
    </font>
    <font>
      <color theme="1"/>
      <name val="Work Sans"/>
    </font>
    <font>
      <b/>
      <color theme="1"/>
      <name val="Work Sans"/>
    </font>
    <font>
      <u/>
      <color rgb="FF1155CC"/>
      <name val="Work Sans"/>
    </font>
    <font>
      <color rgb="FFD9D9D9"/>
      <name val="Work Sans"/>
    </font>
    <font>
      <u/>
      <color rgb="FFD9D9D9"/>
      <name val="Work Sans"/>
    </font>
    <font>
      <color rgb="FFEFEFEF"/>
      <name val="Work Sans"/>
    </font>
    <font>
      <u/>
      <color rgb="FF0000FF"/>
      <name val="Work Sans"/>
    </font>
    <font>
      <b/>
      <color theme="1"/>
      <name val="&quot;Work Sans&quot;"/>
    </font>
    <font>
      <color theme="1"/>
      <name val="&quot;Work Sans&quot;"/>
    </font>
    <font>
      <b/>
      <color rgb="FFFFFFFF"/>
      <name val="Work Sans"/>
    </font>
    <font>
      <color rgb="FFFFFFFF"/>
      <name val="Work Sans"/>
    </font>
    <font>
      <b/>
      <color rgb="FFDD7E6B"/>
      <name val="Work Sans"/>
    </font>
    <font>
      <color theme="1"/>
      <name val="Arial"/>
      <scheme val="minor"/>
    </font>
    <font>
      <b/>
      <color rgb="FFFFFFFF"/>
      <name val="&quot;Work Sans&quot;"/>
    </font>
    <font>
      <color rgb="FFFFFFFF"/>
      <name val="&quot;Work Sans&quot;"/>
    </font>
    <font>
      <b/>
      <color theme="1"/>
      <name val="Arial"/>
      <scheme val="minor"/>
    </font>
    <font>
      <b/>
      <color rgb="FFEA9999"/>
      <name val="Arial"/>
      <scheme val="minor"/>
    </font>
    <font>
      <b/>
      <color rgb="FFFF0000"/>
      <name val="Work Sans"/>
    </font>
    <font>
      <b/>
      <color rgb="FFE06666"/>
      <name val="Arial"/>
      <scheme val="minor"/>
    </font>
    <font>
      <b/>
      <sz val="18.0"/>
      <color theme="1"/>
      <name val="Work Sans"/>
    </font>
    <font>
      <sz val="12.0"/>
      <color theme="1"/>
      <name val="Arial"/>
      <scheme val="minor"/>
    </font>
    <font>
      <sz val="11.0"/>
      <color theme="1"/>
      <name val="Arial"/>
      <scheme val="minor"/>
    </font>
    <font>
      <b/>
      <sz val="11.0"/>
      <color theme="1"/>
      <name val="Arial"/>
      <scheme val="minor"/>
    </font>
    <font>
      <b/>
      <sz val="14.0"/>
      <color rgb="FF38761D"/>
      <name val="Arial"/>
      <scheme val="minor"/>
    </font>
    <font>
      <u/>
      <color rgb="FF1155CC"/>
      <name val="&quot;Work Sans&quot;"/>
    </font>
    <font>
      <u/>
      <color rgb="FF0000FF"/>
    </font>
    <font>
      <u/>
      <sz val="11.0"/>
      <color rgb="FF0563C1"/>
      <name val="Work Sans"/>
    </font>
    <font>
      <sz val="11.0"/>
      <color rgb="FF000000"/>
      <name val="Work Sans"/>
    </font>
    <font>
      <b/>
      <sz val="11.0"/>
      <color rgb="FF000000"/>
      <name val="Work Sans"/>
    </font>
    <font>
      <b/>
      <sz val="11.0"/>
      <color rgb="FF000000"/>
      <name val="&quot;Work Sans&quot;"/>
    </font>
    <font>
      <sz val="11.0"/>
      <color rgb="FF000000"/>
      <name val="&quot;Work Sans&quot;"/>
    </font>
  </fonts>
  <fills count="7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434343"/>
        <bgColor rgb="FF434343"/>
      </patternFill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rgb="FFEFEFEF"/>
        <bgColor rgb="FFEFEFEF"/>
      </patternFill>
    </fill>
  </fills>
  <borders count="1">
    <border/>
  </borders>
  <cellStyleXfs count="1">
    <xf borderId="0" fillId="0" fontId="0" numFmtId="0" applyAlignment="1" applyFont="1"/>
  </cellStyleXfs>
  <cellXfs count="10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2" fontId="1" numFmtId="0" xfId="0" applyAlignment="1" applyFill="1" applyFont="1">
      <alignment horizontal="center" readingOrder="0"/>
    </xf>
    <xf borderId="0" fillId="2" fontId="1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1" numFmtId="1" xfId="0" applyFont="1" applyNumberFormat="1"/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8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3" fontId="10" numFmtId="0" xfId="0" applyAlignment="1" applyFill="1" applyFont="1">
      <alignment vertical="bottom"/>
    </xf>
    <xf borderId="0" fillId="3" fontId="1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 vertical="bottom"/>
    </xf>
    <xf borderId="0" fillId="0" fontId="12" numFmtId="0" xfId="0" applyAlignment="1" applyFont="1">
      <alignment readingOrder="0" vertical="bottom"/>
    </xf>
    <xf borderId="0" fillId="0" fontId="1" numFmtId="2" xfId="0" applyAlignment="1" applyFont="1" applyNumberFormat="1">
      <alignment vertical="bottom"/>
    </xf>
    <xf quotePrefix="1" borderId="0" fillId="0" fontId="1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3" numFmtId="0" xfId="0" applyFont="1"/>
    <xf borderId="0" fillId="3" fontId="14" numFmtId="0" xfId="0" applyAlignment="1" applyFont="1">
      <alignment vertical="bottom"/>
    </xf>
    <xf borderId="0" fillId="3" fontId="15" numFmtId="0" xfId="0" applyAlignment="1" applyFont="1">
      <alignment vertical="bottom"/>
    </xf>
    <xf borderId="0" fillId="0" fontId="16" numFmtId="0" xfId="0" applyFont="1"/>
    <xf borderId="0" fillId="0" fontId="17" numFmtId="0" xfId="0" applyAlignment="1" applyFont="1">
      <alignment readingOrder="0"/>
    </xf>
    <xf borderId="0" fillId="0" fontId="13" numFmtId="164" xfId="0" applyFont="1" applyNumberFormat="1"/>
    <xf borderId="0" fillId="0" fontId="13" numFmtId="0" xfId="0" applyAlignment="1" applyFont="1">
      <alignment horizontal="center"/>
    </xf>
    <xf borderId="0" fillId="0" fontId="13" numFmtId="0" xfId="0" applyAlignment="1" applyFont="1">
      <alignment horizontal="center" readingOrder="0"/>
    </xf>
    <xf quotePrefix="1" borderId="0" fillId="0" fontId="13" numFmtId="0" xfId="0" applyAlignment="1" applyFont="1">
      <alignment readingOrder="0"/>
    </xf>
    <xf borderId="0" fillId="0" fontId="13" numFmtId="2" xfId="0" applyAlignment="1" applyFont="1" applyNumberFormat="1">
      <alignment horizontal="center"/>
    </xf>
    <xf borderId="0" fillId="0" fontId="13" numFmtId="165" xfId="0" applyAlignment="1" applyFont="1" applyNumberFormat="1">
      <alignment horizontal="center"/>
    </xf>
    <xf borderId="0" fillId="0" fontId="2" numFmtId="2" xfId="0" applyAlignment="1" applyFont="1" applyNumberFormat="1">
      <alignment horizontal="center" vertical="bottom"/>
    </xf>
    <xf borderId="0" fillId="0" fontId="2" numFmtId="0" xfId="0" applyAlignment="1" applyFont="1">
      <alignment horizontal="center" vertical="bottom"/>
    </xf>
    <xf borderId="0" fillId="0" fontId="1" numFmtId="2" xfId="0" applyAlignment="1" applyFont="1" applyNumberFormat="1">
      <alignment horizontal="center" vertical="bottom"/>
    </xf>
    <xf borderId="0" fillId="0" fontId="1" numFmtId="166" xfId="0" applyAlignment="1" applyFont="1" applyNumberFormat="1">
      <alignment horizontal="center" vertical="bottom"/>
    </xf>
    <xf borderId="0" fillId="0" fontId="2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67" xfId="0" applyAlignment="1" applyFont="1" applyNumberFormat="1">
      <alignment vertical="bottom"/>
    </xf>
    <xf borderId="0" fillId="0" fontId="16" numFmtId="0" xfId="0" applyAlignment="1" applyFont="1">
      <alignment readingOrder="0"/>
    </xf>
    <xf borderId="0" fillId="0" fontId="2" numFmtId="1" xfId="0" applyFont="1" applyNumberFormat="1"/>
    <xf borderId="0" fillId="0" fontId="2" numFmtId="0" xfId="0" applyFont="1"/>
    <xf borderId="0" fillId="0" fontId="2" numFmtId="0" xfId="0" applyAlignment="1" applyFont="1">
      <alignment readingOrder="0" shrinkToFit="0" vertical="bottom" wrapText="0"/>
    </xf>
    <xf borderId="0" fillId="0" fontId="8" numFmtId="0" xfId="0" applyAlignment="1" applyFont="1">
      <alignment horizontal="center" readingOrder="0" vertical="bottom"/>
    </xf>
    <xf borderId="0" fillId="0" fontId="18" numFmtId="0" xfId="0" applyAlignment="1" applyFont="1">
      <alignment readingOrder="0"/>
    </xf>
    <xf borderId="0" fillId="0" fontId="8" numFmtId="0" xfId="0" applyAlignment="1" applyFont="1">
      <alignment horizontal="center" vertical="bottom"/>
    </xf>
    <xf borderId="0" fillId="0" fontId="19" numFmtId="0" xfId="0" applyAlignment="1" applyFont="1">
      <alignment readingOrder="0"/>
    </xf>
    <xf borderId="0" fillId="0" fontId="9" numFmtId="167" xfId="0" applyAlignment="1" applyFont="1" applyNumberFormat="1">
      <alignment horizontal="center" vertical="bottom"/>
    </xf>
    <xf borderId="0" fillId="0" fontId="2" numFmtId="166" xfId="0" applyAlignment="1" applyFont="1" applyNumberFormat="1">
      <alignment readingOrder="0"/>
    </xf>
    <xf borderId="0" fillId="0" fontId="1" numFmtId="2" xfId="0" applyFont="1" applyNumberFormat="1"/>
    <xf borderId="0" fillId="0" fontId="2" numFmtId="168" xfId="0" applyAlignment="1" applyFont="1" applyNumberFormat="1">
      <alignment readingOrder="0"/>
    </xf>
    <xf borderId="0" fillId="4" fontId="2" numFmtId="164" xfId="0" applyFill="1" applyFont="1" applyNumberFormat="1"/>
    <xf borderId="0" fillId="0" fontId="1" numFmtId="0" xfId="0" applyAlignment="1" applyFont="1">
      <alignment horizontal="right" readingOrder="0"/>
    </xf>
    <xf borderId="0" fillId="0" fontId="1" numFmtId="9" xfId="0" applyAlignment="1" applyFont="1" applyNumberFormat="1">
      <alignment readingOrder="0"/>
    </xf>
    <xf borderId="0" fillId="4" fontId="1" numFmtId="166" xfId="0" applyFont="1" applyNumberFormat="1"/>
    <xf borderId="0" fillId="0" fontId="13" numFmtId="9" xfId="0" applyAlignment="1" applyFont="1" applyNumberFormat="1">
      <alignment readingOrder="0"/>
    </xf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13" numFmtId="164" xfId="0" applyAlignment="1" applyFont="1" applyNumberFormat="1">
      <alignment horizontal="center"/>
    </xf>
    <xf borderId="0" fillId="0" fontId="22" numFmtId="0" xfId="0" applyAlignment="1" applyFont="1">
      <alignment readingOrder="0"/>
    </xf>
    <xf borderId="0" fillId="5" fontId="23" numFmtId="2" xfId="0" applyAlignment="1" applyFill="1" applyFont="1" applyNumberFormat="1">
      <alignment horizontal="center"/>
    </xf>
    <xf borderId="0" fillId="0" fontId="24" numFmtId="0" xfId="0" applyAlignment="1" applyFont="1">
      <alignment readingOrder="0"/>
    </xf>
    <xf borderId="0" fillId="0" fontId="25" numFmtId="0" xfId="0" applyAlignment="1" applyFont="1">
      <alignment shrinkToFit="0" vertical="bottom" wrapText="0"/>
    </xf>
    <xf borderId="0" fillId="0" fontId="26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0" fontId="1" numFmtId="1" xfId="0" applyAlignment="1" applyFont="1" applyNumberFormat="1">
      <alignment horizontal="center"/>
    </xf>
    <xf borderId="0" fillId="0" fontId="1" numFmtId="1" xfId="0" applyAlignment="1" applyFont="1" applyNumberFormat="1">
      <alignment horizontal="center" readingOrder="0"/>
    </xf>
    <xf borderId="0" fillId="0" fontId="1" numFmtId="1" xfId="0" applyAlignment="1" applyFont="1" applyNumberFormat="1">
      <alignment horizontal="left"/>
    </xf>
    <xf borderId="0" fillId="0" fontId="1" numFmtId="167" xfId="0" applyAlignment="1" applyFont="1" applyNumberFormat="1">
      <alignment horizontal="left"/>
    </xf>
    <xf borderId="0" fillId="0" fontId="1" numFmtId="164" xfId="0" applyFont="1" applyNumberFormat="1"/>
    <xf borderId="0" fillId="2" fontId="2" numFmtId="164" xfId="0" applyFont="1" applyNumberFormat="1"/>
    <xf borderId="0" fillId="0" fontId="2" numFmtId="0" xfId="0" applyFont="1"/>
    <xf borderId="0" fillId="0" fontId="1" numFmtId="0" xfId="0" applyFont="1"/>
    <xf borderId="0" fillId="0" fontId="2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4" numFmtId="0" xfId="0" applyAlignment="1" applyFont="1">
      <alignment horizontal="left" readingOrder="0"/>
    </xf>
    <xf borderId="0" fillId="0" fontId="27" numFmtId="0" xfId="0" applyAlignment="1" applyFont="1">
      <alignment readingOrder="0" shrinkToFit="0" vertical="bottom" wrapText="0"/>
    </xf>
    <xf borderId="0" fillId="0" fontId="28" numFmtId="0" xfId="0" applyAlignment="1" applyFont="1">
      <alignment shrinkToFit="0" vertical="bottom" wrapText="0"/>
    </xf>
    <xf borderId="0" fillId="0" fontId="29" numFmtId="0" xfId="0" applyAlignment="1" applyFont="1">
      <alignment horizontal="center" readingOrder="0" shrinkToFit="0" vertical="bottom" wrapText="0"/>
    </xf>
    <xf borderId="0" fillId="0" fontId="28" numFmtId="0" xfId="0" applyAlignment="1" applyFont="1">
      <alignment horizontal="center" shrinkToFit="0" vertical="bottom" wrapText="0"/>
    </xf>
    <xf borderId="0" fillId="0" fontId="28" numFmtId="0" xfId="0" applyAlignment="1" applyFont="1">
      <alignment horizontal="center" readingOrder="0" shrinkToFit="0" vertical="bottom" wrapText="0"/>
    </xf>
    <xf borderId="0" fillId="0" fontId="28" numFmtId="0" xfId="0" applyAlignment="1" applyFont="1">
      <alignment readingOrder="0" shrinkToFit="0" vertical="bottom" wrapText="0"/>
    </xf>
    <xf borderId="0" fillId="2" fontId="28" numFmtId="0" xfId="0" applyAlignment="1" applyFont="1">
      <alignment horizontal="center" readingOrder="0" shrinkToFit="0" vertical="bottom" wrapText="0"/>
    </xf>
    <xf borderId="0" fillId="6" fontId="1" numFmtId="0" xfId="0" applyFill="1" applyFont="1"/>
    <xf borderId="0" fillId="0" fontId="1" numFmtId="49" xfId="0" applyAlignment="1" applyFont="1" applyNumberFormat="1">
      <alignment vertical="bottom"/>
    </xf>
    <xf borderId="0" fillId="0" fontId="1" numFmtId="0" xfId="0" applyAlignment="1" applyFont="1">
      <alignment horizontal="right" vertical="bottom"/>
    </xf>
    <xf borderId="0" fillId="6" fontId="1" numFmtId="0" xfId="0" applyAlignment="1" applyFont="1">
      <alignment readingOrder="0"/>
    </xf>
    <xf borderId="0" fillId="0" fontId="2" numFmtId="0" xfId="0" applyAlignment="1" applyFont="1">
      <alignment horizontal="center" readingOrder="0" vertical="bottom"/>
    </xf>
    <xf borderId="0" fillId="0" fontId="1" numFmtId="0" xfId="0" applyAlignment="1" applyFont="1">
      <alignment horizontal="center" readingOrder="0" vertical="bottom"/>
    </xf>
    <xf borderId="0" fillId="0" fontId="1" numFmtId="0" xfId="0" applyAlignment="1" applyFont="1">
      <alignment horizontal="center" vertical="bottom"/>
    </xf>
    <xf borderId="0" fillId="0" fontId="1" numFmtId="2" xfId="0" applyAlignment="1" applyFont="1" applyNumberFormat="1">
      <alignment horizontal="center" readingOrder="0"/>
    </xf>
    <xf borderId="0" fillId="0" fontId="2" numFmtId="49" xfId="0" applyAlignment="1" applyFont="1" applyNumberFormat="1">
      <alignment vertical="bottom"/>
    </xf>
    <xf borderId="0" fillId="0" fontId="16" numFmtId="0" xfId="0" applyAlignment="1" applyFont="1">
      <alignment horizontal="center" readingOrder="0"/>
    </xf>
    <xf borderId="0" fillId="0" fontId="13" numFmtId="2" xfId="0" applyFont="1" applyNumberFormat="1"/>
    <xf borderId="0" fillId="0" fontId="8" numFmtId="0" xfId="0" applyAlignment="1" applyFont="1">
      <alignment horizontal="center" vertical="bottom"/>
    </xf>
    <xf borderId="0" fillId="0" fontId="9" numFmtId="0" xfId="0" applyAlignment="1" applyFont="1">
      <alignment horizontal="center" vertical="bottom"/>
    </xf>
    <xf borderId="0" fillId="0" fontId="30" numFmtId="0" xfId="0" applyAlignment="1" applyFont="1">
      <alignment vertical="bottom"/>
    </xf>
    <xf borderId="0" fillId="0" fontId="30" numFmtId="0" xfId="0" applyAlignment="1" applyFont="1">
      <alignment shrinkToFit="0" vertical="bottom" wrapText="0"/>
    </xf>
    <xf borderId="0" fillId="0" fontId="31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Histogram of SCORE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'06_Correlation'!$C$8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FF0000">
                    <a:alpha val="40000"/>
                  </a:srgbClr>
                </a:solidFill>
              </a:ln>
            </c:spPr>
            <c:trendlineType val="linear"/>
            <c:dispRSqr val="1"/>
            <c:dispEq val="1"/>
          </c:trendline>
          <c:xVal>
            <c:numRef>
              <c:f>'06_Correlation'!$B$9:$B$108</c:f>
            </c:numRef>
          </c:xVal>
          <c:yVal>
            <c:numRef>
              <c:f>'06_Correlation'!$C$9:$C$108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672153"/>
        <c:axId val="1821630346"/>
      </c:scatterChart>
      <c:valAx>
        <c:axId val="689672153"/>
        <c:scaling>
          <c:orientation val="minMax"/>
          <c:min val="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1630346"/>
      </c:valAx>
      <c:valAx>
        <c:axId val="1821630346"/>
        <c:scaling>
          <c:orientation val="minMax"/>
          <c:min val="8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96721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57, MA(3) (Moving Avg) and  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'13_Moving_Average'!$B$3:$B$4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'13_Moving_Average'!$A$5:$A$23</c:f>
            </c:strRef>
          </c:cat>
          <c:val>
            <c:numRef>
              <c:f>'13_Moving_Average'!$B$5:$B$23</c:f>
              <c:numCache/>
            </c:numRef>
          </c:val>
          <c:smooth val="0"/>
        </c:ser>
        <c:ser>
          <c:idx val="1"/>
          <c:order val="1"/>
          <c:tx>
            <c:strRef>
              <c:f>'13_Moving_Average'!$C$3:$C$4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'13_Moving_Average'!$A$5:$A$23</c:f>
            </c:strRef>
          </c:cat>
          <c:val>
            <c:numRef>
              <c:f>'13_Moving_Average'!$C$5:$C$23</c:f>
              <c:numCache/>
            </c:numRef>
          </c:val>
          <c:smooth val="0"/>
        </c:ser>
        <c:ser>
          <c:idx val="2"/>
          <c:order val="2"/>
          <c:tx>
            <c:strRef>
              <c:f>'13_Moving_Average'!$D$3:$D$4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'13_Moving_Average'!$A$5:$A$23</c:f>
            </c:strRef>
          </c:cat>
          <c:val>
            <c:numRef>
              <c:f>'13_Moving_Average'!$D$5:$D$23</c:f>
              <c:numCache/>
            </c:numRef>
          </c:val>
          <c:smooth val="0"/>
        </c:ser>
        <c:axId val="1371890267"/>
        <c:axId val="1526497492"/>
      </c:lineChart>
      <c:catAx>
        <c:axId val="13718902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Mar-18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6497492"/>
      </c:catAx>
      <c:valAx>
        <c:axId val="15264974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18902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1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323850</xdr:colOff>
      <xdr:row>20</xdr:row>
      <xdr:rowOff>142875</xdr:rowOff>
    </xdr:from>
    <xdr:ext cx="4800600" cy="36004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847725</xdr:colOff>
      <xdr:row>4</xdr:row>
      <xdr:rowOff>28575</xdr:rowOff>
    </xdr:from>
    <xdr:ext cx="4086225" cy="30765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228600</xdr:colOff>
      <xdr:row>2</xdr:row>
      <xdr:rowOff>66675</xdr:rowOff>
    </xdr:from>
    <xdr:ext cx="1104900" cy="11049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285750</xdr:colOff>
      <xdr:row>1</xdr:row>
      <xdr:rowOff>200025</xdr:rowOff>
    </xdr:from>
    <xdr:ext cx="5048250" cy="37814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104775</xdr:rowOff>
    </xdr:from>
    <xdr:ext cx="2828925" cy="4010025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95250</xdr:colOff>
      <xdr:row>8</xdr:row>
      <xdr:rowOff>161925</xdr:rowOff>
    </xdr:from>
    <xdr:ext cx="552450" cy="4095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238125</xdr:colOff>
      <xdr:row>2</xdr:row>
      <xdr:rowOff>38100</xdr:rowOff>
    </xdr:from>
    <xdr:ext cx="4524375" cy="28098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714375</xdr:colOff>
      <xdr:row>3</xdr:row>
      <xdr:rowOff>66675</xdr:rowOff>
    </xdr:from>
    <xdr:ext cx="4267200" cy="32289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19050</xdr:rowOff>
    </xdr:from>
    <xdr:ext cx="2857500" cy="280987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3</xdr:row>
      <xdr:rowOff>180975</xdr:rowOff>
    </xdr:from>
    <xdr:ext cx="1914525" cy="1914525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409575</xdr:colOff>
      <xdr:row>6</xdr:row>
      <xdr:rowOff>85725</xdr:rowOff>
    </xdr:from>
    <xdr:ext cx="1990725" cy="199072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657225</xdr:colOff>
      <xdr:row>2</xdr:row>
      <xdr:rowOff>28575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952500</xdr:colOff>
      <xdr:row>1</xdr:row>
      <xdr:rowOff>200025</xdr:rowOff>
    </xdr:from>
    <xdr:ext cx="5505450" cy="342900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952500</xdr:colOff>
      <xdr:row>4</xdr:row>
      <xdr:rowOff>76200</xdr:rowOff>
    </xdr:from>
    <xdr:ext cx="4238625" cy="1133475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533400</xdr:colOff>
      <xdr:row>2</xdr:row>
      <xdr:rowOff>95250</xdr:rowOff>
    </xdr:from>
    <xdr:ext cx="4219575" cy="2228850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listendata.com/2014/08/adjusted-r-squared.html" TargetMode="External"/><Relationship Id="rId3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tatology.org/chi-square-test-of-independence-excel/" TargetMode="Externa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otexts.com/fpp2/ses.html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5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1</v>
      </c>
      <c r="B3" s="4" t="s">
        <v>2</v>
      </c>
      <c r="C3" s="4" t="s">
        <v>3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5">
        <v>1.0</v>
      </c>
      <c r="B4" s="6" t="s">
        <v>4</v>
      </c>
      <c r="C4" s="7" t="s">
        <v>3</v>
      </c>
      <c r="D4" s="1" t="b">
        <v>1</v>
      </c>
      <c r="E4" s="2"/>
      <c r="F4" s="1"/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5">
        <v>2.0</v>
      </c>
      <c r="B5" s="6" t="s">
        <v>5</v>
      </c>
      <c r="C5" s="7" t="s">
        <v>3</v>
      </c>
      <c r="D5" s="1" t="b">
        <v>1</v>
      </c>
      <c r="E5" s="2"/>
      <c r="F5" s="8"/>
      <c r="G5" s="8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>
        <v>3.0</v>
      </c>
      <c r="B6" s="10" t="s">
        <v>6</v>
      </c>
      <c r="C6" s="11" t="s">
        <v>3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5">
        <v>4.0</v>
      </c>
      <c r="B7" s="6" t="s">
        <v>7</v>
      </c>
      <c r="C7" s="7" t="s">
        <v>3</v>
      </c>
      <c r="D7" s="1" t="b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5">
        <v>5.0</v>
      </c>
      <c r="B8" s="6" t="s">
        <v>8</v>
      </c>
      <c r="C8" s="7" t="s">
        <v>3</v>
      </c>
      <c r="D8" s="1" t="b">
        <v>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5">
        <v>6.0</v>
      </c>
      <c r="B9" s="6" t="s">
        <v>9</v>
      </c>
      <c r="C9" s="7" t="s">
        <v>3</v>
      </c>
      <c r="D9" s="1" t="b">
        <v>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5">
        <v>7.0</v>
      </c>
      <c r="B10" s="6" t="s">
        <v>10</v>
      </c>
      <c r="C10" s="7" t="s">
        <v>3</v>
      </c>
      <c r="D10" s="1" t="b">
        <v>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5">
        <v>8.0</v>
      </c>
      <c r="B11" s="6" t="s">
        <v>11</v>
      </c>
      <c r="C11" s="7" t="s">
        <v>3</v>
      </c>
      <c r="D11" s="1" t="b">
        <v>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5">
        <v>9.0</v>
      </c>
      <c r="B12" s="6" t="s">
        <v>12</v>
      </c>
      <c r="C12" s="7" t="s">
        <v>3</v>
      </c>
      <c r="D12" s="1" t="b">
        <v>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>
        <v>10.0</v>
      </c>
      <c r="B13" s="10" t="s">
        <v>13</v>
      </c>
      <c r="C13" s="11" t="s">
        <v>3</v>
      </c>
      <c r="D13" s="1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5">
        <v>11.0</v>
      </c>
      <c r="B14" s="6" t="s">
        <v>14</v>
      </c>
      <c r="C14" s="7" t="s">
        <v>3</v>
      </c>
      <c r="D14" s="1" t="b">
        <v>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2">
        <v>12.0</v>
      </c>
      <c r="B15" s="13" t="s">
        <v>15</v>
      </c>
      <c r="C15" s="7" t="s">
        <v>3</v>
      </c>
      <c r="D15" s="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5">
        <v>13.0</v>
      </c>
      <c r="B16" s="6" t="s">
        <v>16</v>
      </c>
      <c r="C16" s="7" t="s">
        <v>3</v>
      </c>
      <c r="D16" s="2" t="b">
        <v>0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5">
        <v>14.0</v>
      </c>
      <c r="B17" s="6" t="s">
        <v>17</v>
      </c>
      <c r="C17" s="14" t="s">
        <v>3</v>
      </c>
      <c r="D17" s="2" t="b">
        <v>0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5">
        <v>15.0</v>
      </c>
      <c r="B18" s="6" t="s">
        <v>18</v>
      </c>
      <c r="C18" s="7" t="s">
        <v>3</v>
      </c>
      <c r="D18" s="2" t="b">
        <v>0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>
        <v>16.0</v>
      </c>
      <c r="B19" s="10" t="s">
        <v>19</v>
      </c>
      <c r="C19" s="11" t="s">
        <v>3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>
        <v>17.0</v>
      </c>
      <c r="B20" s="10" t="s">
        <v>20</v>
      </c>
      <c r="C20" s="10" t="s">
        <v>3</v>
      </c>
      <c r="D20" s="10" t="s">
        <v>21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9">
        <v>18.0</v>
      </c>
      <c r="B21" s="10" t="s">
        <v>22</v>
      </c>
      <c r="C21" s="10" t="s">
        <v>3</v>
      </c>
      <c r="D21" s="10" t="s">
        <v>21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display="Link" location="01_Descriptive!A1" ref="C4"/>
    <hyperlink display="Link" location="02_Normal_Distribution!A1" ref="C5"/>
    <hyperlink display="Link" location="03_Plotting!A1" ref="C6"/>
    <hyperlink display="Link" location="04_Simulated_Data!A1" ref="C7"/>
    <hyperlink display="Link" location="05_Confidence_Interval!A1" ref="C8"/>
    <hyperlink display="Link" location="06_Correlation!A1" ref="C9"/>
    <hyperlink display="Link" location="07_Simple_LR!A1" ref="C10"/>
    <hyperlink display="Link" location="08_Multiple_LR!A1" ref="C11"/>
    <hyperlink display="Link" location="09_Independent_T!A1" ref="C12"/>
    <hyperlink display="Link" location="10_Paired_T!A1" ref="C13"/>
    <hyperlink display="Link" location="11_OneWayANOVA!A1" ref="C14"/>
    <hyperlink display="Link" location="12_Chi-Square!A1" ref="C15"/>
    <hyperlink display="Link" location="13_Moving_Average!A1" ref="C16"/>
    <hyperlink display="Link" location="14_Exponential_Smoothing!A1" ref="C17"/>
    <hyperlink display="Link" location="15_TimeSeries_Regression!A1" ref="C18"/>
    <hyperlink display="Link" location="16_Logistic_Regression!A1" ref="C1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" t="s">
        <v>23</v>
      </c>
      <c r="B1" s="15" t="s">
        <v>24</v>
      </c>
      <c r="C1" s="15" t="s">
        <v>25</v>
      </c>
      <c r="D1" s="15" t="s">
        <v>26</v>
      </c>
      <c r="E1" s="15" t="s">
        <v>27</v>
      </c>
      <c r="F1" s="15" t="s">
        <v>28</v>
      </c>
      <c r="G1" s="15" t="s">
        <v>29</v>
      </c>
    </row>
    <row r="2">
      <c r="A2" s="16">
        <v>1.0</v>
      </c>
      <c r="B2" s="16" t="s">
        <v>30</v>
      </c>
      <c r="C2" s="16">
        <v>1994.0</v>
      </c>
      <c r="D2" s="16" t="s">
        <v>31</v>
      </c>
      <c r="E2" s="16">
        <v>142.0</v>
      </c>
      <c r="F2" s="16" t="s">
        <v>32</v>
      </c>
      <c r="G2" s="16">
        <v>9.3</v>
      </c>
    </row>
    <row r="3">
      <c r="A3" s="16">
        <v>2.0</v>
      </c>
      <c r="B3" s="16" t="s">
        <v>33</v>
      </c>
      <c r="C3" s="16">
        <v>1972.0</v>
      </c>
      <c r="D3" s="16" t="s">
        <v>31</v>
      </c>
      <c r="E3" s="16">
        <v>175.0</v>
      </c>
      <c r="F3" s="16" t="s">
        <v>34</v>
      </c>
      <c r="G3" s="16">
        <v>9.2</v>
      </c>
    </row>
    <row r="4">
      <c r="A4" s="16">
        <v>3.0</v>
      </c>
      <c r="B4" s="16" t="s">
        <v>35</v>
      </c>
      <c r="C4" s="16">
        <v>2008.0</v>
      </c>
      <c r="D4" s="16" t="s">
        <v>36</v>
      </c>
      <c r="E4" s="16">
        <v>152.0</v>
      </c>
      <c r="F4" s="16" t="s">
        <v>37</v>
      </c>
      <c r="G4" s="16">
        <v>9.0</v>
      </c>
    </row>
    <row r="5">
      <c r="A5" s="16">
        <v>4.0</v>
      </c>
      <c r="B5" s="16" t="s">
        <v>38</v>
      </c>
      <c r="C5" s="16">
        <v>1974.0</v>
      </c>
      <c r="D5" s="16" t="s">
        <v>31</v>
      </c>
      <c r="E5" s="16">
        <v>202.0</v>
      </c>
      <c r="F5" s="16" t="s">
        <v>34</v>
      </c>
      <c r="G5" s="16">
        <v>9.0</v>
      </c>
    </row>
    <row r="6">
      <c r="A6" s="16">
        <v>5.0</v>
      </c>
      <c r="B6" s="16" t="s">
        <v>39</v>
      </c>
      <c r="C6" s="16">
        <v>2003.0</v>
      </c>
      <c r="D6" s="16" t="s">
        <v>36</v>
      </c>
      <c r="E6" s="16">
        <v>201.0</v>
      </c>
      <c r="F6" s="16" t="s">
        <v>40</v>
      </c>
      <c r="G6" s="16">
        <v>8.9</v>
      </c>
    </row>
    <row r="7">
      <c r="A7" s="16">
        <v>6.0</v>
      </c>
      <c r="B7" s="16" t="s">
        <v>41</v>
      </c>
      <c r="C7" s="16">
        <v>1994.0</v>
      </c>
      <c r="D7" s="16" t="s">
        <v>31</v>
      </c>
      <c r="E7" s="16">
        <v>154.0</v>
      </c>
      <c r="F7" s="16" t="s">
        <v>34</v>
      </c>
      <c r="G7" s="16">
        <v>8.9</v>
      </c>
    </row>
    <row r="8">
      <c r="A8" s="16">
        <v>7.0</v>
      </c>
      <c r="B8" s="16" t="s">
        <v>42</v>
      </c>
      <c r="C8" s="16">
        <v>1993.0</v>
      </c>
      <c r="D8" s="16" t="s">
        <v>31</v>
      </c>
      <c r="E8" s="16">
        <v>195.0</v>
      </c>
      <c r="F8" s="16" t="s">
        <v>43</v>
      </c>
      <c r="G8" s="16">
        <v>8.9</v>
      </c>
    </row>
    <row r="9">
      <c r="A9" s="16">
        <v>8.0</v>
      </c>
      <c r="B9" s="16" t="s">
        <v>44</v>
      </c>
      <c r="C9" s="16">
        <v>1957.0</v>
      </c>
      <c r="D9" s="16" t="s">
        <v>45</v>
      </c>
      <c r="E9" s="16">
        <v>96.0</v>
      </c>
      <c r="F9" s="16" t="s">
        <v>34</v>
      </c>
      <c r="G9" s="16">
        <v>8.9</v>
      </c>
    </row>
    <row r="10">
      <c r="A10" s="16">
        <v>9.0</v>
      </c>
      <c r="B10" s="16" t="s">
        <v>46</v>
      </c>
      <c r="C10" s="16">
        <v>2010.0</v>
      </c>
      <c r="D10" s="16" t="s">
        <v>36</v>
      </c>
      <c r="E10" s="16">
        <v>148.0</v>
      </c>
      <c r="F10" s="16" t="s">
        <v>47</v>
      </c>
      <c r="G10" s="16">
        <v>8.8</v>
      </c>
    </row>
    <row r="11">
      <c r="A11" s="16">
        <v>10.0</v>
      </c>
      <c r="B11" s="16" t="s">
        <v>48</v>
      </c>
      <c r="C11" s="16">
        <v>1999.0</v>
      </c>
      <c r="D11" s="16" t="s">
        <v>31</v>
      </c>
      <c r="E11" s="16">
        <v>139.0</v>
      </c>
      <c r="F11" s="16" t="s">
        <v>32</v>
      </c>
      <c r="G11" s="16">
        <v>8.8</v>
      </c>
    </row>
    <row r="12">
      <c r="A12" s="16">
        <v>11.0</v>
      </c>
      <c r="B12" s="16" t="s">
        <v>49</v>
      </c>
      <c r="C12" s="16">
        <v>2001.0</v>
      </c>
      <c r="D12" s="16" t="s">
        <v>36</v>
      </c>
      <c r="E12" s="16">
        <v>178.0</v>
      </c>
      <c r="F12" s="16" t="s">
        <v>40</v>
      </c>
      <c r="G12" s="16">
        <v>8.8</v>
      </c>
    </row>
    <row r="13">
      <c r="A13" s="16">
        <v>12.0</v>
      </c>
      <c r="B13" s="16" t="s">
        <v>50</v>
      </c>
      <c r="C13" s="16">
        <v>1994.0</v>
      </c>
      <c r="D13" s="16" t="s">
        <v>36</v>
      </c>
      <c r="E13" s="16">
        <v>142.0</v>
      </c>
      <c r="F13" s="16" t="s">
        <v>51</v>
      </c>
      <c r="G13" s="16">
        <v>8.8</v>
      </c>
    </row>
    <row r="14">
      <c r="A14" s="16">
        <v>13.0</v>
      </c>
      <c r="B14" s="16" t="s">
        <v>52</v>
      </c>
      <c r="C14" s="16">
        <v>1966.0</v>
      </c>
      <c r="D14" s="16" t="s">
        <v>31</v>
      </c>
      <c r="E14" s="16">
        <v>178.0</v>
      </c>
      <c r="F14" s="16" t="s">
        <v>53</v>
      </c>
      <c r="G14" s="16">
        <v>8.8</v>
      </c>
    </row>
    <row r="15">
      <c r="A15" s="16">
        <v>14.0</v>
      </c>
      <c r="B15" s="16" t="s">
        <v>54</v>
      </c>
      <c r="C15" s="16">
        <v>2020.0</v>
      </c>
      <c r="D15" s="16" t="s">
        <v>36</v>
      </c>
      <c r="E15" s="16">
        <v>160.0</v>
      </c>
      <c r="F15" s="16" t="s">
        <v>43</v>
      </c>
      <c r="G15" s="16">
        <v>8.7</v>
      </c>
    </row>
    <row r="16">
      <c r="A16" s="16">
        <v>15.0</v>
      </c>
      <c r="B16" s="16" t="s">
        <v>55</v>
      </c>
      <c r="C16" s="16">
        <v>2002.0</v>
      </c>
      <c r="D16" s="16" t="s">
        <v>36</v>
      </c>
      <c r="E16" s="16">
        <v>179.0</v>
      </c>
      <c r="F16" s="16" t="s">
        <v>40</v>
      </c>
      <c r="G16" s="16">
        <v>8.7</v>
      </c>
    </row>
    <row r="17">
      <c r="A17" s="16">
        <v>16.0</v>
      </c>
      <c r="B17" s="16" t="s">
        <v>56</v>
      </c>
      <c r="C17" s="16">
        <v>1999.0</v>
      </c>
      <c r="D17" s="16" t="s">
        <v>31</v>
      </c>
      <c r="E17" s="16">
        <v>136.0</v>
      </c>
      <c r="F17" s="16" t="s">
        <v>57</v>
      </c>
      <c r="G17" s="16">
        <v>8.7</v>
      </c>
    </row>
    <row r="18">
      <c r="A18" s="16">
        <v>17.0</v>
      </c>
      <c r="B18" s="16" t="s">
        <v>58</v>
      </c>
      <c r="C18" s="16">
        <v>1990.0</v>
      </c>
      <c r="D18" s="16" t="s">
        <v>31</v>
      </c>
      <c r="E18" s="16">
        <v>146.0</v>
      </c>
      <c r="F18" s="16" t="s">
        <v>59</v>
      </c>
      <c r="G18" s="16">
        <v>8.7</v>
      </c>
    </row>
    <row r="19">
      <c r="A19" s="16">
        <v>18.0</v>
      </c>
      <c r="B19" s="16" t="s">
        <v>60</v>
      </c>
      <c r="C19" s="16">
        <v>1980.0</v>
      </c>
      <c r="D19" s="16" t="s">
        <v>61</v>
      </c>
      <c r="E19" s="16">
        <v>124.0</v>
      </c>
      <c r="F19" s="16" t="s">
        <v>62</v>
      </c>
      <c r="G19" s="16">
        <v>8.7</v>
      </c>
    </row>
    <row r="20">
      <c r="A20" s="16">
        <v>19.0</v>
      </c>
      <c r="B20" s="16" t="s">
        <v>63</v>
      </c>
      <c r="C20" s="16">
        <v>1975.0</v>
      </c>
      <c r="D20" s="16" t="s">
        <v>31</v>
      </c>
      <c r="E20" s="16">
        <v>133.0</v>
      </c>
      <c r="F20" s="16" t="s">
        <v>32</v>
      </c>
      <c r="G20" s="16">
        <v>8.7</v>
      </c>
    </row>
    <row r="21">
      <c r="A21" s="16">
        <v>20.0</v>
      </c>
      <c r="B21" s="16" t="s">
        <v>64</v>
      </c>
      <c r="C21" s="16">
        <v>2019.0</v>
      </c>
      <c r="D21" s="16" t="s">
        <v>31</v>
      </c>
      <c r="E21" s="16">
        <v>132.0</v>
      </c>
      <c r="F21" s="16" t="s">
        <v>65</v>
      </c>
      <c r="G21" s="16">
        <v>8.6</v>
      </c>
    </row>
    <row r="22">
      <c r="A22" s="16">
        <v>21.0</v>
      </c>
      <c r="B22" s="16" t="s">
        <v>66</v>
      </c>
      <c r="C22" s="16">
        <v>2014.0</v>
      </c>
      <c r="D22" s="16" t="s">
        <v>36</v>
      </c>
      <c r="E22" s="16">
        <v>169.0</v>
      </c>
      <c r="F22" s="16" t="s">
        <v>67</v>
      </c>
      <c r="G22" s="16">
        <v>8.6</v>
      </c>
    </row>
    <row r="23">
      <c r="A23" s="16">
        <v>22.0</v>
      </c>
      <c r="B23" s="16" t="s">
        <v>68</v>
      </c>
      <c r="C23" s="16">
        <v>2002.0</v>
      </c>
      <c r="D23" s="16" t="s">
        <v>31</v>
      </c>
      <c r="E23" s="16">
        <v>130.0</v>
      </c>
      <c r="F23" s="16" t="s">
        <v>34</v>
      </c>
      <c r="G23" s="16">
        <v>8.6</v>
      </c>
    </row>
    <row r="24">
      <c r="A24" s="16">
        <v>23.0</v>
      </c>
      <c r="B24" s="16" t="s">
        <v>69</v>
      </c>
      <c r="C24" s="16">
        <v>2001.0</v>
      </c>
      <c r="D24" s="16" t="s">
        <v>61</v>
      </c>
      <c r="E24" s="16">
        <v>125.0</v>
      </c>
      <c r="F24" s="16" t="s">
        <v>70</v>
      </c>
      <c r="G24" s="16">
        <v>8.6</v>
      </c>
    </row>
    <row r="25">
      <c r="A25" s="16">
        <v>24.0</v>
      </c>
      <c r="B25" s="16" t="s">
        <v>71</v>
      </c>
      <c r="C25" s="16">
        <v>1998.0</v>
      </c>
      <c r="D25" s="16" t="s">
        <v>31</v>
      </c>
      <c r="E25" s="16">
        <v>169.0</v>
      </c>
      <c r="F25" s="16" t="s">
        <v>72</v>
      </c>
      <c r="G25" s="16">
        <v>8.6</v>
      </c>
    </row>
    <row r="26">
      <c r="A26" s="16">
        <v>25.0</v>
      </c>
      <c r="B26" s="16" t="s">
        <v>73</v>
      </c>
      <c r="C26" s="16">
        <v>1999.0</v>
      </c>
      <c r="D26" s="16" t="s">
        <v>31</v>
      </c>
      <c r="E26" s="16">
        <v>189.0</v>
      </c>
      <c r="F26" s="16" t="s">
        <v>74</v>
      </c>
      <c r="G26" s="16">
        <v>8.6</v>
      </c>
    </row>
    <row r="27">
      <c r="A27" s="16">
        <v>26.0</v>
      </c>
      <c r="B27" s="16" t="s">
        <v>75</v>
      </c>
      <c r="C27" s="16">
        <v>1997.0</v>
      </c>
      <c r="D27" s="16" t="s">
        <v>36</v>
      </c>
      <c r="E27" s="16">
        <v>116.0</v>
      </c>
      <c r="F27" s="16" t="s">
        <v>76</v>
      </c>
      <c r="G27" s="16">
        <v>8.6</v>
      </c>
    </row>
    <row r="28">
      <c r="A28" s="16">
        <v>27.0</v>
      </c>
      <c r="B28" s="16" t="s">
        <v>77</v>
      </c>
      <c r="C28" s="16">
        <v>1995.0</v>
      </c>
      <c r="D28" s="16" t="s">
        <v>31</v>
      </c>
      <c r="E28" s="16">
        <v>127.0</v>
      </c>
      <c r="F28" s="16" t="s">
        <v>78</v>
      </c>
      <c r="G28" s="16">
        <v>8.6</v>
      </c>
    </row>
    <row r="29">
      <c r="A29" s="16">
        <v>28.0</v>
      </c>
      <c r="B29" s="16" t="s">
        <v>79</v>
      </c>
      <c r="C29" s="16">
        <v>1991.0</v>
      </c>
      <c r="D29" s="16" t="s">
        <v>31</v>
      </c>
      <c r="E29" s="16">
        <v>118.0</v>
      </c>
      <c r="F29" s="16" t="s">
        <v>80</v>
      </c>
      <c r="G29" s="16">
        <v>8.6</v>
      </c>
    </row>
    <row r="30">
      <c r="A30" s="16">
        <v>29.0</v>
      </c>
      <c r="B30" s="16" t="s">
        <v>81</v>
      </c>
      <c r="C30" s="16">
        <v>1977.0</v>
      </c>
      <c r="D30" s="16" t="s">
        <v>61</v>
      </c>
      <c r="E30" s="16">
        <v>121.0</v>
      </c>
      <c r="F30" s="16" t="s">
        <v>62</v>
      </c>
      <c r="G30" s="16">
        <v>8.6</v>
      </c>
    </row>
    <row r="31">
      <c r="A31" s="16">
        <v>30.0</v>
      </c>
      <c r="B31" s="16" t="s">
        <v>82</v>
      </c>
      <c r="C31" s="16">
        <v>1962.0</v>
      </c>
      <c r="D31" s="16" t="s">
        <v>83</v>
      </c>
      <c r="E31" s="16">
        <v>133.0</v>
      </c>
      <c r="F31" s="16" t="s">
        <v>84</v>
      </c>
      <c r="G31" s="16">
        <v>8.6</v>
      </c>
    </row>
    <row r="32">
      <c r="A32" s="16">
        <v>31.0</v>
      </c>
      <c r="B32" s="16" t="s">
        <v>85</v>
      </c>
      <c r="C32" s="16">
        <v>1954.0</v>
      </c>
      <c r="D32" s="16" t="s">
        <v>83</v>
      </c>
      <c r="E32" s="16">
        <v>207.0</v>
      </c>
      <c r="F32" s="16" t="s">
        <v>40</v>
      </c>
      <c r="G32" s="16">
        <v>8.6</v>
      </c>
    </row>
    <row r="33">
      <c r="A33" s="16">
        <v>32.0</v>
      </c>
      <c r="B33" s="16" t="s">
        <v>86</v>
      </c>
      <c r="C33" s="16">
        <v>1946.0</v>
      </c>
      <c r="D33" s="16" t="s">
        <v>61</v>
      </c>
      <c r="E33" s="16">
        <v>130.0</v>
      </c>
      <c r="F33" s="16" t="s">
        <v>87</v>
      </c>
      <c r="G33" s="16">
        <v>8.6</v>
      </c>
    </row>
    <row r="34">
      <c r="A34" s="16">
        <v>33.0</v>
      </c>
      <c r="B34" s="16" t="s">
        <v>88</v>
      </c>
      <c r="C34" s="16">
        <v>2019.0</v>
      </c>
      <c r="D34" s="16" t="s">
        <v>31</v>
      </c>
      <c r="E34" s="16">
        <v>122.0</v>
      </c>
      <c r="F34" s="16" t="s">
        <v>80</v>
      </c>
      <c r="G34" s="16">
        <v>8.5</v>
      </c>
    </row>
    <row r="35">
      <c r="A35" s="16">
        <v>34.0</v>
      </c>
      <c r="B35" s="16" t="s">
        <v>89</v>
      </c>
      <c r="C35" s="16">
        <v>2014.0</v>
      </c>
      <c r="D35" s="16" t="s">
        <v>31</v>
      </c>
      <c r="E35" s="16">
        <v>106.0</v>
      </c>
      <c r="F35" s="16" t="s">
        <v>90</v>
      </c>
      <c r="G35" s="16">
        <v>8.5</v>
      </c>
    </row>
    <row r="36">
      <c r="A36" s="16">
        <v>35.0</v>
      </c>
      <c r="B36" s="16" t="s">
        <v>91</v>
      </c>
      <c r="C36" s="16">
        <v>2011.0</v>
      </c>
      <c r="D36" s="16" t="s">
        <v>31</v>
      </c>
      <c r="E36" s="16">
        <v>112.0</v>
      </c>
      <c r="F36" s="16" t="s">
        <v>92</v>
      </c>
      <c r="G36" s="16">
        <v>8.5</v>
      </c>
    </row>
    <row r="37">
      <c r="A37" s="16">
        <v>36.0</v>
      </c>
      <c r="B37" s="16" t="s">
        <v>93</v>
      </c>
      <c r="C37" s="16">
        <v>2006.0</v>
      </c>
      <c r="D37" s="16" t="s">
        <v>36</v>
      </c>
      <c r="E37" s="16">
        <v>130.0</v>
      </c>
      <c r="F37" s="16" t="s">
        <v>94</v>
      </c>
      <c r="G37" s="16">
        <v>8.5</v>
      </c>
    </row>
    <row r="38">
      <c r="A38" s="16">
        <v>37.0</v>
      </c>
      <c r="B38" s="16" t="s">
        <v>95</v>
      </c>
      <c r="C38" s="16">
        <v>2006.0</v>
      </c>
      <c r="D38" s="16" t="s">
        <v>31</v>
      </c>
      <c r="E38" s="16">
        <v>151.0</v>
      </c>
      <c r="F38" s="16" t="s">
        <v>80</v>
      </c>
      <c r="G38" s="16">
        <v>8.5</v>
      </c>
    </row>
    <row r="39">
      <c r="A39" s="16">
        <v>38.0</v>
      </c>
      <c r="B39" s="16" t="s">
        <v>96</v>
      </c>
      <c r="C39" s="16">
        <v>2002.0</v>
      </c>
      <c r="D39" s="16" t="s">
        <v>31</v>
      </c>
      <c r="E39" s="16">
        <v>150.0</v>
      </c>
      <c r="F39" s="16" t="s">
        <v>97</v>
      </c>
      <c r="G39" s="16">
        <v>8.5</v>
      </c>
    </row>
    <row r="40">
      <c r="A40" s="16">
        <v>39.0</v>
      </c>
      <c r="B40" s="16" t="s">
        <v>98</v>
      </c>
      <c r="C40" s="16">
        <v>2000.0</v>
      </c>
      <c r="D40" s="16" t="s">
        <v>31</v>
      </c>
      <c r="E40" s="16">
        <v>155.0</v>
      </c>
      <c r="F40" s="16" t="s">
        <v>40</v>
      </c>
      <c r="G40" s="16">
        <v>8.5</v>
      </c>
    </row>
    <row r="41">
      <c r="A41" s="16">
        <v>40.0</v>
      </c>
      <c r="B41" s="16" t="s">
        <v>99</v>
      </c>
      <c r="C41" s="16">
        <v>1998.0</v>
      </c>
      <c r="D41" s="16" t="s">
        <v>31</v>
      </c>
      <c r="E41" s="16">
        <v>119.0</v>
      </c>
      <c r="F41" s="16" t="s">
        <v>32</v>
      </c>
      <c r="G41" s="16">
        <v>8.5</v>
      </c>
    </row>
    <row r="42">
      <c r="A42" s="16">
        <v>41.0</v>
      </c>
      <c r="B42" s="16" t="s">
        <v>100</v>
      </c>
      <c r="C42" s="16">
        <v>1995.0</v>
      </c>
      <c r="D42" s="16" t="s">
        <v>31</v>
      </c>
      <c r="E42" s="16">
        <v>106.0</v>
      </c>
      <c r="F42" s="16" t="s">
        <v>101</v>
      </c>
      <c r="G42" s="16">
        <v>8.5</v>
      </c>
    </row>
    <row r="43">
      <c r="A43" s="16">
        <v>42.0</v>
      </c>
      <c r="B43" s="16" t="s">
        <v>102</v>
      </c>
      <c r="C43" s="16">
        <v>1994.0</v>
      </c>
      <c r="D43" s="16" t="s">
        <v>31</v>
      </c>
      <c r="E43" s="16">
        <v>110.0</v>
      </c>
      <c r="F43" s="16" t="s">
        <v>37</v>
      </c>
      <c r="G43" s="16">
        <v>8.5</v>
      </c>
    </row>
    <row r="44">
      <c r="A44" s="16">
        <v>43.0</v>
      </c>
      <c r="B44" s="16" t="s">
        <v>103</v>
      </c>
      <c r="C44" s="16">
        <v>1994.0</v>
      </c>
      <c r="D44" s="16" t="s">
        <v>104</v>
      </c>
      <c r="E44" s="16">
        <v>88.0</v>
      </c>
      <c r="F44" s="16" t="s">
        <v>105</v>
      </c>
      <c r="G44" s="16">
        <v>8.5</v>
      </c>
    </row>
    <row r="45">
      <c r="A45" s="16">
        <v>44.0</v>
      </c>
      <c r="B45" s="16" t="s">
        <v>106</v>
      </c>
      <c r="C45" s="16">
        <v>1991.0</v>
      </c>
      <c r="D45" s="16" t="s">
        <v>31</v>
      </c>
      <c r="E45" s="16">
        <v>137.0</v>
      </c>
      <c r="F45" s="16" t="s">
        <v>57</v>
      </c>
      <c r="G45" s="16">
        <v>8.5</v>
      </c>
    </row>
    <row r="46">
      <c r="A46" s="16">
        <v>45.0</v>
      </c>
      <c r="B46" s="16" t="s">
        <v>107</v>
      </c>
      <c r="C46" s="16">
        <v>1988.0</v>
      </c>
      <c r="D46" s="16" t="s">
        <v>31</v>
      </c>
      <c r="E46" s="16">
        <v>155.0</v>
      </c>
      <c r="F46" s="16" t="s">
        <v>32</v>
      </c>
      <c r="G46" s="16">
        <v>8.5</v>
      </c>
    </row>
    <row r="47">
      <c r="A47" s="16">
        <v>46.0</v>
      </c>
      <c r="B47" s="16" t="s">
        <v>108</v>
      </c>
      <c r="C47" s="16">
        <v>1988.0</v>
      </c>
      <c r="D47" s="16" t="s">
        <v>83</v>
      </c>
      <c r="E47" s="16">
        <v>89.0</v>
      </c>
      <c r="F47" s="16" t="s">
        <v>109</v>
      </c>
      <c r="G47" s="16">
        <v>8.5</v>
      </c>
    </row>
    <row r="48">
      <c r="A48" s="16">
        <v>47.0</v>
      </c>
      <c r="B48" s="16" t="s">
        <v>110</v>
      </c>
      <c r="C48" s="16">
        <v>1985.0</v>
      </c>
      <c r="D48" s="16" t="s">
        <v>61</v>
      </c>
      <c r="E48" s="16">
        <v>116.0</v>
      </c>
      <c r="F48" s="16" t="s">
        <v>111</v>
      </c>
      <c r="G48" s="16">
        <v>8.5</v>
      </c>
    </row>
    <row r="49">
      <c r="A49" s="16">
        <v>48.0</v>
      </c>
      <c r="B49" s="16" t="s">
        <v>112</v>
      </c>
      <c r="C49" s="16">
        <v>1971.0</v>
      </c>
      <c r="D49" s="16" t="s">
        <v>83</v>
      </c>
      <c r="E49" s="16">
        <v>122.0</v>
      </c>
      <c r="F49" s="16" t="s">
        <v>113</v>
      </c>
      <c r="G49" s="16">
        <v>8.5</v>
      </c>
    </row>
    <row r="50">
      <c r="A50" s="16">
        <v>49.0</v>
      </c>
      <c r="B50" s="16" t="s">
        <v>114</v>
      </c>
      <c r="C50" s="16">
        <v>1968.0</v>
      </c>
      <c r="D50" s="16" t="s">
        <v>36</v>
      </c>
      <c r="E50" s="16">
        <v>165.0</v>
      </c>
      <c r="F50" s="16" t="s">
        <v>53</v>
      </c>
      <c r="G50" s="16">
        <v>8.5</v>
      </c>
    </row>
    <row r="51">
      <c r="A51" s="16">
        <v>50.0</v>
      </c>
      <c r="B51" s="16" t="s">
        <v>115</v>
      </c>
      <c r="C51" s="16">
        <v>1960.0</v>
      </c>
      <c r="D51" s="16" t="s">
        <v>31</v>
      </c>
      <c r="E51" s="16">
        <v>109.0</v>
      </c>
      <c r="F51" s="16" t="s">
        <v>116</v>
      </c>
      <c r="G51" s="16">
        <v>8.5</v>
      </c>
    </row>
    <row r="52">
      <c r="A52" s="16">
        <v>51.0</v>
      </c>
      <c r="B52" s="16" t="s">
        <v>117</v>
      </c>
      <c r="C52" s="16">
        <v>1942.0</v>
      </c>
      <c r="D52" s="16" t="s">
        <v>61</v>
      </c>
      <c r="E52" s="16">
        <v>102.0</v>
      </c>
      <c r="F52" s="16" t="s">
        <v>118</v>
      </c>
      <c r="G52" s="16">
        <v>8.5</v>
      </c>
    </row>
    <row r="53">
      <c r="A53" s="16">
        <v>52.0</v>
      </c>
      <c r="B53" s="16" t="s">
        <v>119</v>
      </c>
      <c r="C53" s="16">
        <v>1936.0</v>
      </c>
      <c r="D53" s="16" t="s">
        <v>104</v>
      </c>
      <c r="E53" s="16">
        <v>87.0</v>
      </c>
      <c r="F53" s="16" t="s">
        <v>120</v>
      </c>
      <c r="G53" s="16">
        <v>8.5</v>
      </c>
    </row>
    <row r="54">
      <c r="A54" s="16">
        <v>53.0</v>
      </c>
      <c r="B54" s="16" t="s">
        <v>121</v>
      </c>
      <c r="C54" s="16">
        <v>1931.0</v>
      </c>
      <c r="D54" s="16" t="s">
        <v>104</v>
      </c>
      <c r="E54" s="16">
        <v>87.0</v>
      </c>
      <c r="F54" s="16" t="s">
        <v>76</v>
      </c>
      <c r="G54" s="16">
        <v>8.5</v>
      </c>
    </row>
    <row r="55">
      <c r="A55" s="16">
        <v>54.0</v>
      </c>
      <c r="B55" s="16" t="s">
        <v>122</v>
      </c>
      <c r="C55" s="16">
        <v>2018.0</v>
      </c>
      <c r="D55" s="16" t="s">
        <v>31</v>
      </c>
      <c r="E55" s="16">
        <v>126.0</v>
      </c>
      <c r="F55" s="16" t="s">
        <v>32</v>
      </c>
      <c r="G55" s="16">
        <v>8.4</v>
      </c>
    </row>
    <row r="56">
      <c r="A56" s="16">
        <v>55.0</v>
      </c>
      <c r="B56" s="16" t="s">
        <v>123</v>
      </c>
      <c r="C56" s="16">
        <v>2017.0</v>
      </c>
      <c r="D56" s="16"/>
      <c r="E56" s="16">
        <v>125.0</v>
      </c>
      <c r="F56" s="16" t="s">
        <v>43</v>
      </c>
      <c r="G56" s="16">
        <v>8.4</v>
      </c>
    </row>
    <row r="57">
      <c r="A57" s="16">
        <v>56.0</v>
      </c>
      <c r="B57" s="16" t="s">
        <v>124</v>
      </c>
      <c r="C57" s="16">
        <v>2016.0</v>
      </c>
      <c r="D57" s="16" t="s">
        <v>61</v>
      </c>
      <c r="E57" s="16">
        <v>106.0</v>
      </c>
      <c r="F57" s="16" t="s">
        <v>125</v>
      </c>
      <c r="G57" s="16">
        <v>8.4</v>
      </c>
    </row>
    <row r="58">
      <c r="A58" s="16">
        <v>57.0</v>
      </c>
      <c r="B58" s="16" t="s">
        <v>126</v>
      </c>
      <c r="C58" s="16">
        <v>2016.0</v>
      </c>
      <c r="D58" s="16" t="s">
        <v>83</v>
      </c>
      <c r="E58" s="16">
        <v>161.0</v>
      </c>
      <c r="F58" s="16" t="s">
        <v>127</v>
      </c>
      <c r="G58" s="16">
        <v>8.4</v>
      </c>
    </row>
    <row r="59">
      <c r="A59" s="16">
        <v>58.0</v>
      </c>
      <c r="B59" s="16" t="s">
        <v>128</v>
      </c>
      <c r="C59" s="16">
        <v>2018.0</v>
      </c>
      <c r="D59" s="16" t="s">
        <v>61</v>
      </c>
      <c r="E59" s="16">
        <v>117.0</v>
      </c>
      <c r="F59" s="16" t="s">
        <v>129</v>
      </c>
      <c r="G59" s="16">
        <v>8.4</v>
      </c>
    </row>
    <row r="60">
      <c r="A60" s="16">
        <v>59.0</v>
      </c>
      <c r="B60" s="16" t="s">
        <v>130</v>
      </c>
      <c r="C60" s="16">
        <v>2019.0</v>
      </c>
      <c r="D60" s="16" t="s">
        <v>36</v>
      </c>
      <c r="E60" s="16">
        <v>181.0</v>
      </c>
      <c r="F60" s="16" t="s">
        <v>40</v>
      </c>
      <c r="G60" s="16">
        <v>8.4</v>
      </c>
    </row>
    <row r="61">
      <c r="A61" s="16">
        <v>60.0</v>
      </c>
      <c r="B61" s="16" t="s">
        <v>131</v>
      </c>
      <c r="C61" s="16">
        <v>2018.0</v>
      </c>
      <c r="D61" s="16" t="s">
        <v>36</v>
      </c>
      <c r="E61" s="16">
        <v>149.0</v>
      </c>
      <c r="F61" s="16" t="s">
        <v>47</v>
      </c>
      <c r="G61" s="16">
        <v>8.4</v>
      </c>
    </row>
    <row r="62">
      <c r="A62" s="16">
        <v>61.0</v>
      </c>
      <c r="B62" s="16" t="s">
        <v>132</v>
      </c>
      <c r="C62" s="16">
        <v>2017.0</v>
      </c>
      <c r="D62" s="16" t="s">
        <v>61</v>
      </c>
      <c r="E62" s="16">
        <v>105.0</v>
      </c>
      <c r="F62" s="16" t="s">
        <v>70</v>
      </c>
      <c r="G62" s="16">
        <v>8.4</v>
      </c>
    </row>
    <row r="63">
      <c r="A63" s="16">
        <v>62.0</v>
      </c>
      <c r="B63" s="16" t="s">
        <v>133</v>
      </c>
      <c r="C63" s="16">
        <v>2012.0</v>
      </c>
      <c r="D63" s="16" t="s">
        <v>31</v>
      </c>
      <c r="E63" s="16">
        <v>165.0</v>
      </c>
      <c r="F63" s="16" t="s">
        <v>134</v>
      </c>
      <c r="G63" s="16">
        <v>8.4</v>
      </c>
    </row>
    <row r="64">
      <c r="A64" s="16">
        <v>63.0</v>
      </c>
      <c r="B64" s="16" t="s">
        <v>135</v>
      </c>
      <c r="C64" s="16">
        <v>2012.0</v>
      </c>
      <c r="D64" s="16" t="s">
        <v>36</v>
      </c>
      <c r="E64" s="16">
        <v>164.0</v>
      </c>
      <c r="F64" s="16" t="s">
        <v>136</v>
      </c>
      <c r="G64" s="16">
        <v>8.4</v>
      </c>
    </row>
    <row r="65">
      <c r="A65" s="16">
        <v>64.0</v>
      </c>
      <c r="B65" s="16" t="s">
        <v>137</v>
      </c>
      <c r="C65" s="16">
        <v>2009.0</v>
      </c>
      <c r="D65" s="16" t="s">
        <v>36</v>
      </c>
      <c r="E65" s="16">
        <v>170.0</v>
      </c>
      <c r="F65" s="16" t="s">
        <v>138</v>
      </c>
      <c r="G65" s="16">
        <v>8.4</v>
      </c>
    </row>
    <row r="66">
      <c r="A66" s="16">
        <v>65.0</v>
      </c>
      <c r="B66" s="16" t="s">
        <v>139</v>
      </c>
      <c r="C66" s="16">
        <v>2007.0</v>
      </c>
      <c r="D66" s="16" t="s">
        <v>61</v>
      </c>
      <c r="E66" s="16">
        <v>165.0</v>
      </c>
      <c r="F66" s="16" t="s">
        <v>140</v>
      </c>
      <c r="G66" s="16">
        <v>8.4</v>
      </c>
    </row>
    <row r="67">
      <c r="A67" s="16">
        <v>66.0</v>
      </c>
      <c r="B67" s="16" t="s">
        <v>141</v>
      </c>
      <c r="C67" s="16">
        <v>2008.0</v>
      </c>
      <c r="D67" s="16" t="s">
        <v>104</v>
      </c>
      <c r="E67" s="16">
        <v>98.0</v>
      </c>
      <c r="F67" s="16" t="s">
        <v>70</v>
      </c>
      <c r="G67" s="16">
        <v>8.4</v>
      </c>
    </row>
    <row r="68">
      <c r="A68" s="16">
        <v>67.0</v>
      </c>
      <c r="B68" s="16" t="s">
        <v>142</v>
      </c>
      <c r="C68" s="16">
        <v>2006.0</v>
      </c>
      <c r="D68" s="16" t="s">
        <v>31</v>
      </c>
      <c r="E68" s="16">
        <v>137.0</v>
      </c>
      <c r="F68" s="16" t="s">
        <v>143</v>
      </c>
      <c r="G68" s="16">
        <v>8.4</v>
      </c>
    </row>
    <row r="69">
      <c r="A69" s="16">
        <v>68.0</v>
      </c>
      <c r="B69" s="16" t="s">
        <v>144</v>
      </c>
      <c r="C69" s="16">
        <v>2003.0</v>
      </c>
      <c r="D69" s="16" t="s">
        <v>31</v>
      </c>
      <c r="E69" s="16">
        <v>120.0</v>
      </c>
      <c r="F69" s="16" t="s">
        <v>84</v>
      </c>
      <c r="G69" s="16">
        <v>8.4</v>
      </c>
    </row>
    <row r="70">
      <c r="A70" s="16">
        <v>69.0</v>
      </c>
      <c r="B70" s="16" t="s">
        <v>145</v>
      </c>
      <c r="C70" s="16">
        <v>2000.0</v>
      </c>
      <c r="D70" s="16" t="s">
        <v>31</v>
      </c>
      <c r="E70" s="16">
        <v>113.0</v>
      </c>
      <c r="F70" s="16" t="s">
        <v>146</v>
      </c>
      <c r="G70" s="16">
        <v>8.4</v>
      </c>
    </row>
    <row r="71">
      <c r="A71" s="16">
        <v>70.0</v>
      </c>
      <c r="B71" s="16" t="s">
        <v>147</v>
      </c>
      <c r="C71" s="16">
        <v>1997.0</v>
      </c>
      <c r="D71" s="16" t="s">
        <v>36</v>
      </c>
      <c r="E71" s="16">
        <v>134.0</v>
      </c>
      <c r="F71" s="16" t="s">
        <v>148</v>
      </c>
      <c r="G71" s="16">
        <v>8.4</v>
      </c>
    </row>
    <row r="72">
      <c r="A72" s="16">
        <v>71.0</v>
      </c>
      <c r="B72" s="16" t="s">
        <v>149</v>
      </c>
      <c r="C72" s="16">
        <v>1984.0</v>
      </c>
      <c r="D72" s="16" t="s">
        <v>31</v>
      </c>
      <c r="E72" s="16">
        <v>229.0</v>
      </c>
      <c r="F72" s="16" t="s">
        <v>34</v>
      </c>
      <c r="G72" s="16">
        <v>8.4</v>
      </c>
    </row>
    <row r="73">
      <c r="A73" s="16">
        <v>72.0</v>
      </c>
      <c r="B73" s="16" t="s">
        <v>150</v>
      </c>
      <c r="C73" s="16">
        <v>1981.0</v>
      </c>
      <c r="D73" s="16" t="s">
        <v>61</v>
      </c>
      <c r="E73" s="16">
        <v>115.0</v>
      </c>
      <c r="F73" s="16" t="s">
        <v>136</v>
      </c>
      <c r="G73" s="16">
        <v>8.4</v>
      </c>
    </row>
    <row r="74">
      <c r="A74" s="16">
        <v>73.0</v>
      </c>
      <c r="B74" s="16" t="s">
        <v>151</v>
      </c>
      <c r="C74" s="16">
        <v>1980.0</v>
      </c>
      <c r="D74" s="16" t="s">
        <v>31</v>
      </c>
      <c r="E74" s="16">
        <v>146.0</v>
      </c>
      <c r="F74" s="16" t="s">
        <v>152</v>
      </c>
      <c r="G74" s="16">
        <v>8.4</v>
      </c>
    </row>
    <row r="75">
      <c r="A75" s="16">
        <v>74.0</v>
      </c>
      <c r="B75" s="16" t="s">
        <v>153</v>
      </c>
      <c r="C75" s="16">
        <v>1979.0</v>
      </c>
      <c r="D75" s="16" t="s">
        <v>31</v>
      </c>
      <c r="E75" s="16">
        <v>147.0</v>
      </c>
      <c r="F75" s="16" t="s">
        <v>154</v>
      </c>
      <c r="G75" s="16">
        <v>8.4</v>
      </c>
    </row>
    <row r="76">
      <c r="A76" s="16">
        <v>75.0</v>
      </c>
      <c r="B76" s="16" t="s">
        <v>155</v>
      </c>
      <c r="C76" s="16">
        <v>1979.0</v>
      </c>
      <c r="D76" s="16" t="s">
        <v>31</v>
      </c>
      <c r="E76" s="16">
        <v>117.0</v>
      </c>
      <c r="F76" s="16" t="s">
        <v>156</v>
      </c>
      <c r="G76" s="16">
        <v>8.4</v>
      </c>
    </row>
    <row r="77">
      <c r="A77" s="16">
        <v>76.0</v>
      </c>
      <c r="B77" s="16" t="s">
        <v>157</v>
      </c>
      <c r="C77" s="16">
        <v>1963.0</v>
      </c>
      <c r="D77" s="16" t="s">
        <v>83</v>
      </c>
      <c r="E77" s="16">
        <v>143.0</v>
      </c>
      <c r="F77" s="16" t="s">
        <v>78</v>
      </c>
      <c r="G77" s="16">
        <v>8.4</v>
      </c>
    </row>
    <row r="78">
      <c r="A78" s="16">
        <v>77.0</v>
      </c>
      <c r="B78" s="16" t="s">
        <v>158</v>
      </c>
      <c r="C78" s="16">
        <v>1964.0</v>
      </c>
      <c r="D78" s="16" t="s">
        <v>61</v>
      </c>
      <c r="E78" s="16">
        <v>95.0</v>
      </c>
      <c r="F78" s="16" t="s">
        <v>159</v>
      </c>
      <c r="G78" s="16">
        <v>8.4</v>
      </c>
    </row>
    <row r="79">
      <c r="A79" s="16">
        <v>78.0</v>
      </c>
      <c r="B79" s="16" t="s">
        <v>160</v>
      </c>
      <c r="C79" s="16">
        <v>1957.0</v>
      </c>
      <c r="D79" s="16" t="s">
        <v>45</v>
      </c>
      <c r="E79" s="16">
        <v>116.0</v>
      </c>
      <c r="F79" s="16" t="s">
        <v>78</v>
      </c>
      <c r="G79" s="16">
        <v>8.4</v>
      </c>
    </row>
    <row r="80">
      <c r="A80" s="16">
        <v>79.0</v>
      </c>
      <c r="B80" s="16" t="s">
        <v>161</v>
      </c>
      <c r="C80" s="16">
        <v>1957.0</v>
      </c>
      <c r="D80" s="16" t="s">
        <v>45</v>
      </c>
      <c r="E80" s="16">
        <v>88.0</v>
      </c>
      <c r="F80" s="16" t="s">
        <v>72</v>
      </c>
      <c r="G80" s="16">
        <v>8.4</v>
      </c>
    </row>
    <row r="81">
      <c r="A81" s="16">
        <v>80.0</v>
      </c>
      <c r="B81" s="16" t="s">
        <v>162</v>
      </c>
      <c r="C81" s="16">
        <v>1954.0</v>
      </c>
      <c r="D81" s="16" t="s">
        <v>61</v>
      </c>
      <c r="E81" s="16">
        <v>112.0</v>
      </c>
      <c r="F81" s="16" t="s">
        <v>146</v>
      </c>
      <c r="G81" s="16">
        <v>8.4</v>
      </c>
    </row>
    <row r="82">
      <c r="A82" s="16">
        <v>81.0</v>
      </c>
      <c r="B82" s="16" t="s">
        <v>163</v>
      </c>
      <c r="C82" s="16">
        <v>1950.0</v>
      </c>
      <c r="D82" s="16" t="s">
        <v>164</v>
      </c>
      <c r="E82" s="16">
        <v>110.0</v>
      </c>
      <c r="F82" s="16" t="s">
        <v>165</v>
      </c>
      <c r="G82" s="16">
        <v>8.4</v>
      </c>
    </row>
    <row r="83">
      <c r="A83" s="16">
        <v>82.0</v>
      </c>
      <c r="B83" s="16" t="s">
        <v>166</v>
      </c>
      <c r="C83" s="16">
        <v>1940.0</v>
      </c>
      <c r="D83" s="16" t="s">
        <v>164</v>
      </c>
      <c r="E83" s="16">
        <v>125.0</v>
      </c>
      <c r="F83" s="16" t="s">
        <v>167</v>
      </c>
      <c r="G83" s="16">
        <v>8.4</v>
      </c>
    </row>
    <row r="84">
      <c r="A84" s="16">
        <v>83.0</v>
      </c>
      <c r="B84" s="16">
        <v>1917.0</v>
      </c>
      <c r="C84" s="16">
        <v>2019.0</v>
      </c>
      <c r="D84" s="16" t="s">
        <v>31</v>
      </c>
      <c r="E84" s="16">
        <v>119.0</v>
      </c>
      <c r="F84" s="16" t="s">
        <v>72</v>
      </c>
      <c r="G84" s="16">
        <v>8.3</v>
      </c>
    </row>
    <row r="85">
      <c r="A85" s="16">
        <v>84.0</v>
      </c>
      <c r="B85" s="16" t="s">
        <v>168</v>
      </c>
      <c r="C85" s="16">
        <v>2019.0</v>
      </c>
      <c r="D85" s="16" t="s">
        <v>83</v>
      </c>
      <c r="E85" s="16">
        <v>138.0</v>
      </c>
      <c r="F85" s="16" t="s">
        <v>169</v>
      </c>
      <c r="G85" s="16">
        <v>8.3</v>
      </c>
    </row>
    <row r="86">
      <c r="A86" s="16">
        <v>85.0</v>
      </c>
      <c r="B86" s="16" t="s">
        <v>170</v>
      </c>
      <c r="C86" s="16">
        <v>2018.0</v>
      </c>
      <c r="D86" s="16" t="s">
        <v>83</v>
      </c>
      <c r="E86" s="16">
        <v>104.0</v>
      </c>
      <c r="F86" s="16" t="s">
        <v>171</v>
      </c>
      <c r="G86" s="16">
        <v>8.3</v>
      </c>
    </row>
    <row r="87">
      <c r="A87" s="16">
        <v>86.0</v>
      </c>
      <c r="B87" s="16" t="s">
        <v>172</v>
      </c>
      <c r="C87" s="16">
        <v>2018.0</v>
      </c>
      <c r="D87" s="16" t="s">
        <v>83</v>
      </c>
      <c r="E87" s="16">
        <v>139.0</v>
      </c>
      <c r="F87" s="16" t="s">
        <v>173</v>
      </c>
      <c r="G87" s="16">
        <v>8.3</v>
      </c>
    </row>
    <row r="88">
      <c r="A88" s="16">
        <v>87.0</v>
      </c>
      <c r="B88" s="16" t="s">
        <v>174</v>
      </c>
      <c r="C88" s="16">
        <v>2013.0</v>
      </c>
      <c r="D88" s="16" t="s">
        <v>83</v>
      </c>
      <c r="E88" s="16">
        <v>160.0</v>
      </c>
      <c r="F88" s="16" t="s">
        <v>80</v>
      </c>
      <c r="G88" s="16">
        <v>8.3</v>
      </c>
    </row>
    <row r="89">
      <c r="A89" s="16">
        <v>88.0</v>
      </c>
      <c r="B89" s="16" t="s">
        <v>175</v>
      </c>
      <c r="C89" s="16">
        <v>2012.0</v>
      </c>
      <c r="D89" s="16" t="s">
        <v>31</v>
      </c>
      <c r="E89" s="16">
        <v>115.0</v>
      </c>
      <c r="F89" s="16" t="s">
        <v>32</v>
      </c>
      <c r="G89" s="16">
        <v>8.3</v>
      </c>
    </row>
    <row r="90">
      <c r="A90" s="16">
        <v>89.0</v>
      </c>
      <c r="B90" s="16" t="s">
        <v>176</v>
      </c>
      <c r="C90" s="16">
        <v>2011.0</v>
      </c>
      <c r="D90" s="16" t="s">
        <v>36</v>
      </c>
      <c r="E90" s="16">
        <v>123.0</v>
      </c>
      <c r="F90" s="16" t="s">
        <v>177</v>
      </c>
      <c r="G90" s="16">
        <v>8.3</v>
      </c>
    </row>
    <row r="91">
      <c r="A91" s="16">
        <v>90.0</v>
      </c>
      <c r="B91" s="16" t="s">
        <v>178</v>
      </c>
      <c r="C91" s="16">
        <v>2010.0</v>
      </c>
      <c r="D91" s="16" t="s">
        <v>31</v>
      </c>
      <c r="E91" s="16">
        <v>131.0</v>
      </c>
      <c r="F91" s="16" t="s">
        <v>154</v>
      </c>
      <c r="G91" s="16">
        <v>8.3</v>
      </c>
    </row>
    <row r="92">
      <c r="A92" s="16">
        <v>91.0</v>
      </c>
      <c r="B92" s="16" t="s">
        <v>179</v>
      </c>
      <c r="C92" s="16">
        <v>2019.0</v>
      </c>
      <c r="D92" s="16"/>
      <c r="E92" s="16">
        <v>132.0</v>
      </c>
      <c r="F92" s="16" t="s">
        <v>32</v>
      </c>
      <c r="G92" s="16">
        <v>8.3</v>
      </c>
    </row>
    <row r="93">
      <c r="A93" s="16">
        <v>92.0</v>
      </c>
      <c r="B93" s="16" t="s">
        <v>180</v>
      </c>
      <c r="C93" s="16">
        <v>2005.0</v>
      </c>
      <c r="D93" s="16"/>
      <c r="E93" s="16">
        <v>112.0</v>
      </c>
      <c r="F93" s="16" t="s">
        <v>140</v>
      </c>
      <c r="G93" s="16">
        <v>8.3</v>
      </c>
    </row>
    <row r="94">
      <c r="A94" s="16">
        <v>93.0</v>
      </c>
      <c r="B94" s="16" t="s">
        <v>181</v>
      </c>
      <c r="C94" s="16">
        <v>2010.0</v>
      </c>
      <c r="D94" s="16" t="s">
        <v>104</v>
      </c>
      <c r="E94" s="16">
        <v>103.0</v>
      </c>
      <c r="F94" s="16" t="s">
        <v>182</v>
      </c>
      <c r="G94" s="16">
        <v>8.3</v>
      </c>
    </row>
    <row r="95">
      <c r="A95" s="16">
        <v>94.0</v>
      </c>
      <c r="B95" s="16" t="s">
        <v>183</v>
      </c>
      <c r="C95" s="16">
        <v>2009.0</v>
      </c>
      <c r="D95" s="16" t="s">
        <v>31</v>
      </c>
      <c r="E95" s="16">
        <v>153.0</v>
      </c>
      <c r="F95" s="16" t="s">
        <v>184</v>
      </c>
      <c r="G95" s="16">
        <v>8.3</v>
      </c>
    </row>
    <row r="96">
      <c r="A96" s="16">
        <v>95.0</v>
      </c>
      <c r="B96" s="16" t="s">
        <v>185</v>
      </c>
      <c r="C96" s="16">
        <v>2004.0</v>
      </c>
      <c r="D96" s="16" t="s">
        <v>31</v>
      </c>
      <c r="E96" s="16">
        <v>108.0</v>
      </c>
      <c r="F96" s="16" t="s">
        <v>186</v>
      </c>
      <c r="G96" s="16">
        <v>8.3</v>
      </c>
    </row>
    <row r="97">
      <c r="A97" s="16">
        <v>96.0</v>
      </c>
      <c r="B97" s="16" t="s">
        <v>187</v>
      </c>
      <c r="C97" s="16">
        <v>2001.0</v>
      </c>
      <c r="D97" s="16" t="s">
        <v>31</v>
      </c>
      <c r="E97" s="16">
        <v>122.0</v>
      </c>
      <c r="F97" s="16" t="s">
        <v>188</v>
      </c>
      <c r="G97" s="16">
        <v>8.3</v>
      </c>
    </row>
    <row r="98">
      <c r="A98" s="16">
        <v>97.0</v>
      </c>
      <c r="B98" s="16" t="s">
        <v>189</v>
      </c>
      <c r="C98" s="16">
        <v>2000.0</v>
      </c>
      <c r="D98" s="16" t="s">
        <v>31</v>
      </c>
      <c r="E98" s="16">
        <v>102.0</v>
      </c>
      <c r="F98" s="16" t="s">
        <v>190</v>
      </c>
      <c r="G98" s="16">
        <v>8.3</v>
      </c>
    </row>
    <row r="99">
      <c r="A99" s="16">
        <v>98.0</v>
      </c>
      <c r="B99" s="16" t="s">
        <v>191</v>
      </c>
      <c r="C99" s="16">
        <v>2000.0</v>
      </c>
      <c r="D99" s="16" t="s">
        <v>31</v>
      </c>
      <c r="E99" s="16">
        <v>102.0</v>
      </c>
      <c r="F99" s="16" t="s">
        <v>32</v>
      </c>
      <c r="G99" s="16">
        <v>8.3</v>
      </c>
    </row>
    <row r="100">
      <c r="A100" s="16">
        <v>99.0</v>
      </c>
      <c r="B100" s="16" t="s">
        <v>192</v>
      </c>
      <c r="C100" s="16">
        <v>1999.0</v>
      </c>
      <c r="D100" s="16" t="s">
        <v>31</v>
      </c>
      <c r="E100" s="16">
        <v>122.0</v>
      </c>
      <c r="F100" s="16" t="s">
        <v>32</v>
      </c>
      <c r="G100" s="16">
        <v>8.3</v>
      </c>
    </row>
    <row r="101">
      <c r="A101" s="16">
        <v>100.0</v>
      </c>
      <c r="B101" s="16" t="s">
        <v>193</v>
      </c>
      <c r="C101" s="16">
        <v>1997.0</v>
      </c>
      <c r="D101" s="16" t="s">
        <v>31</v>
      </c>
      <c r="E101" s="16">
        <v>126.0</v>
      </c>
      <c r="F101" s="16" t="s">
        <v>51</v>
      </c>
      <c r="G101" s="16">
        <v>8.3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" t="s">
        <v>23</v>
      </c>
      <c r="B1" s="17" t="s">
        <v>24</v>
      </c>
      <c r="C1" s="17" t="s">
        <v>25</v>
      </c>
      <c r="D1" s="17" t="s">
        <v>26</v>
      </c>
      <c r="E1" s="17" t="s">
        <v>27</v>
      </c>
      <c r="F1" s="17" t="s">
        <v>28</v>
      </c>
      <c r="G1" s="17" t="s">
        <v>29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8">
        <v>1.0</v>
      </c>
      <c r="B2" s="18" t="s">
        <v>30</v>
      </c>
      <c r="C2" s="18">
        <v>1994.0</v>
      </c>
      <c r="D2" s="18" t="s">
        <v>31</v>
      </c>
      <c r="E2" s="18">
        <v>142.0</v>
      </c>
      <c r="F2" s="18" t="s">
        <v>32</v>
      </c>
      <c r="G2" s="18">
        <v>9.3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8">
        <v>2.0</v>
      </c>
      <c r="B3" s="18" t="s">
        <v>33</v>
      </c>
      <c r="C3" s="18">
        <v>1972.0</v>
      </c>
      <c r="D3" s="18" t="s">
        <v>31</v>
      </c>
      <c r="E3" s="18">
        <v>175.0</v>
      </c>
      <c r="F3" s="18" t="s">
        <v>34</v>
      </c>
      <c r="G3" s="18">
        <v>9.2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8">
        <v>3.0</v>
      </c>
      <c r="B4" s="18" t="s">
        <v>35</v>
      </c>
      <c r="C4" s="18">
        <v>2008.0</v>
      </c>
      <c r="D4" s="18" t="s">
        <v>36</v>
      </c>
      <c r="E4" s="18">
        <v>152.0</v>
      </c>
      <c r="F4" s="18" t="s">
        <v>37</v>
      </c>
      <c r="G4" s="18">
        <v>9.0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8">
        <v>4.0</v>
      </c>
      <c r="B5" s="18" t="s">
        <v>38</v>
      </c>
      <c r="C5" s="18">
        <v>1974.0</v>
      </c>
      <c r="D5" s="18" t="s">
        <v>31</v>
      </c>
      <c r="E5" s="18">
        <v>202.0</v>
      </c>
      <c r="F5" s="18" t="s">
        <v>34</v>
      </c>
      <c r="G5" s="18">
        <v>9.0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8">
        <v>5.0</v>
      </c>
      <c r="B6" s="18" t="s">
        <v>39</v>
      </c>
      <c r="C6" s="18">
        <v>2003.0</v>
      </c>
      <c r="D6" s="18" t="s">
        <v>36</v>
      </c>
      <c r="E6" s="18">
        <v>201.0</v>
      </c>
      <c r="F6" s="18" t="s">
        <v>40</v>
      </c>
      <c r="G6" s="18">
        <v>8.9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9"/>
      <c r="B7" s="19"/>
      <c r="C7" s="19"/>
      <c r="D7" s="19"/>
      <c r="E7" s="19"/>
      <c r="F7" s="19"/>
      <c r="G7" s="1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0" t="str">
        <f>IFERROR(__xludf.DUMMYFUNCTION("QUERY(IMDB, ""select B, E, G"")"),"MOVIE_NAME")</f>
        <v>MOVIE_NAME</v>
      </c>
      <c r="B8" s="20" t="str">
        <f>IFERROR(__xludf.DUMMYFUNCTION("""COMPUTED_VALUE"""),"LENGTH")</f>
        <v>LENGTH</v>
      </c>
      <c r="C8" s="20" t="str">
        <f>IFERROR(__xludf.DUMMYFUNCTION("""COMPUTED_VALUE"""),"SCORE")</f>
        <v>SCORE</v>
      </c>
      <c r="D8" s="21" t="s">
        <v>194</v>
      </c>
      <c r="E8" s="19"/>
      <c r="F8" s="21" t="s">
        <v>195</v>
      </c>
      <c r="G8" s="19">
        <f>COUNT(B9:B108)</f>
        <v>100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9" t="str">
        <f>IFERROR(__xludf.DUMMYFUNCTION("""COMPUTED_VALUE"""),"The Shawshank Redemption")</f>
        <v>The Shawshank Redemption</v>
      </c>
      <c r="B9" s="19">
        <f>IFERROR(__xludf.DUMMYFUNCTION("""COMPUTED_VALUE"""),142.0)</f>
        <v>142</v>
      </c>
      <c r="C9" s="19">
        <f>IFERROR(__xludf.DUMMYFUNCTION("""COMPUTED_VALUE"""),9.3)</f>
        <v>9.3</v>
      </c>
      <c r="D9" s="19">
        <f t="array" ref="D9:D108">(B9:B108-$G$11)^2</f>
        <v>55.6516</v>
      </c>
      <c r="E9" s="2"/>
      <c r="F9" s="22" t="s">
        <v>4</v>
      </c>
      <c r="G9" s="19"/>
      <c r="H9" s="1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9" t="str">
        <f>IFERROR(__xludf.DUMMYFUNCTION("""COMPUTED_VALUE"""),"The Godfather")</f>
        <v>The Godfather</v>
      </c>
      <c r="B10" s="19">
        <f>IFERROR(__xludf.DUMMYFUNCTION("""COMPUTED_VALUE"""),175.0)</f>
        <v>175</v>
      </c>
      <c r="C10" s="19">
        <f>IFERROR(__xludf.DUMMYFUNCTION("""COMPUTED_VALUE"""),9.2)</f>
        <v>9.2</v>
      </c>
      <c r="D10" s="19">
        <v>1637.0116000000007</v>
      </c>
      <c r="E10" s="2"/>
      <c r="F10" s="23" t="s">
        <v>196</v>
      </c>
      <c r="G10" s="19"/>
      <c r="H10" s="1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9" t="str">
        <f>IFERROR(__xludf.DUMMYFUNCTION("""COMPUTED_VALUE"""),"The Dark Knight")</f>
        <v>The Dark Knight</v>
      </c>
      <c r="B11" s="19">
        <f>IFERROR(__xludf.DUMMYFUNCTION("""COMPUTED_VALUE"""),152.0)</f>
        <v>152</v>
      </c>
      <c r="C11" s="19">
        <f>IFERROR(__xludf.DUMMYFUNCTION("""COMPUTED_VALUE"""),9.0)</f>
        <v>9</v>
      </c>
      <c r="D11" s="19">
        <v>304.8516000000003</v>
      </c>
      <c r="E11" s="2"/>
      <c r="F11" s="21" t="s">
        <v>197</v>
      </c>
      <c r="G11" s="19">
        <f>AVERAGE(B9:B108)</f>
        <v>134.54</v>
      </c>
      <c r="H11" s="19">
        <f>SUM(B9:B108)/COUNT(B9:B108)</f>
        <v>134.54</v>
      </c>
      <c r="I11" s="2" t="str">
        <f>FORMULATEXT(H11)</f>
        <v>=SUM(B9:B108)/COUNT(B9:B108)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9" t="str">
        <f>IFERROR(__xludf.DUMMYFUNCTION("""COMPUTED_VALUE"""),"The Godfather: Part II")</f>
        <v>The Godfather: Part II</v>
      </c>
      <c r="B12" s="19">
        <f>IFERROR(__xludf.DUMMYFUNCTION("""COMPUTED_VALUE"""),202.0)</f>
        <v>202</v>
      </c>
      <c r="C12" s="19">
        <f>IFERROR(__xludf.DUMMYFUNCTION("""COMPUTED_VALUE"""),9.0)</f>
        <v>9</v>
      </c>
      <c r="D12" s="19">
        <v>4550.851600000001</v>
      </c>
      <c r="E12" s="2"/>
      <c r="F12" s="21" t="s">
        <v>198</v>
      </c>
      <c r="G12" s="19">
        <f>MEDIAN(B9:B108)</f>
        <v>130</v>
      </c>
      <c r="H12" s="1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9" t="str">
        <f>IFERROR(__xludf.DUMMYFUNCTION("""COMPUTED_VALUE"""),"The Lord of the Rings: The Return of the King")</f>
        <v>The Lord of the Rings: The Return of the King</v>
      </c>
      <c r="B13" s="19">
        <f>IFERROR(__xludf.DUMMYFUNCTION("""COMPUTED_VALUE"""),201.0)</f>
        <v>201</v>
      </c>
      <c r="C13" s="19">
        <f>IFERROR(__xludf.DUMMYFUNCTION("""COMPUTED_VALUE"""),8.9)</f>
        <v>8.9</v>
      </c>
      <c r="D13" s="19">
        <v>4416.931600000001</v>
      </c>
      <c r="E13" s="2"/>
      <c r="F13" s="21" t="s">
        <v>199</v>
      </c>
      <c r="G13" s="21">
        <f>MODE(B9:B108)</f>
        <v>122</v>
      </c>
      <c r="H13" s="19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9" t="str">
        <f>IFERROR(__xludf.DUMMYFUNCTION("""COMPUTED_VALUE"""),"Pulp Fiction")</f>
        <v>Pulp Fiction</v>
      </c>
      <c r="B14" s="19">
        <f>IFERROR(__xludf.DUMMYFUNCTION("""COMPUTED_VALUE"""),154.0)</f>
        <v>154</v>
      </c>
      <c r="C14" s="19">
        <f>IFERROR(__xludf.DUMMYFUNCTION("""COMPUTED_VALUE"""),8.9)</f>
        <v>8.9</v>
      </c>
      <c r="D14" s="19">
        <v>378.69160000000034</v>
      </c>
      <c r="E14" s="2"/>
      <c r="F14" s="19"/>
      <c r="G14" s="19"/>
      <c r="H14" s="19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9" t="str">
        <f>IFERROR(__xludf.DUMMYFUNCTION("""COMPUTED_VALUE"""),"Schindler's List")</f>
        <v>Schindler's List</v>
      </c>
      <c r="B15" s="19">
        <f>IFERROR(__xludf.DUMMYFUNCTION("""COMPUTED_VALUE"""),195.0)</f>
        <v>195</v>
      </c>
      <c r="C15" s="19">
        <f>IFERROR(__xludf.DUMMYFUNCTION("""COMPUTED_VALUE"""),8.9)</f>
        <v>8.9</v>
      </c>
      <c r="D15" s="19">
        <v>3655.411600000001</v>
      </c>
      <c r="E15" s="2"/>
      <c r="F15" s="23" t="s">
        <v>200</v>
      </c>
      <c r="G15" s="19"/>
      <c r="H15" s="19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9" t="str">
        <f>IFERROR(__xludf.DUMMYFUNCTION("""COMPUTED_VALUE"""),"12 Angry Men")</f>
        <v>12 Angry Men</v>
      </c>
      <c r="B16" s="19">
        <f>IFERROR(__xludf.DUMMYFUNCTION("""COMPUTED_VALUE"""),96.0)</f>
        <v>96</v>
      </c>
      <c r="C16" s="19">
        <f>IFERROR(__xludf.DUMMYFUNCTION("""COMPUTED_VALUE"""),8.9)</f>
        <v>8.9</v>
      </c>
      <c r="D16" s="19">
        <v>1485.3315999999993</v>
      </c>
      <c r="E16" s="2"/>
      <c r="F16" s="21" t="s">
        <v>201</v>
      </c>
      <c r="G16" s="24">
        <f>_xlfn.STDEV.S(B9:B108)</f>
        <v>29.35378763</v>
      </c>
      <c r="H16" s="1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tr">
        <f>IFERROR(__xludf.DUMMYFUNCTION("""COMPUTED_VALUE"""),"Inception")</f>
        <v>Inception</v>
      </c>
      <c r="B17" s="19">
        <f>IFERROR(__xludf.DUMMYFUNCTION("""COMPUTED_VALUE"""),148.0)</f>
        <v>148</v>
      </c>
      <c r="C17" s="19">
        <f>IFERROR(__xludf.DUMMYFUNCTION("""COMPUTED_VALUE"""),8.8)</f>
        <v>8.8</v>
      </c>
      <c r="D17" s="19">
        <v>181.1716000000002</v>
      </c>
      <c r="E17" s="2"/>
      <c r="F17" s="21" t="s">
        <v>202</v>
      </c>
      <c r="G17" s="24">
        <f>G16^2</f>
        <v>861.6448485</v>
      </c>
      <c r="H17" s="19">
        <f>SQRT(G17)</f>
        <v>29.35378763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9" t="str">
        <f>IFERROR(__xludf.DUMMYFUNCTION("""COMPUTED_VALUE"""),"Fight Club")</f>
        <v>Fight Club</v>
      </c>
      <c r="B18" s="19">
        <f>IFERROR(__xludf.DUMMYFUNCTION("""COMPUTED_VALUE"""),139.0)</f>
        <v>139</v>
      </c>
      <c r="C18" s="19">
        <f>IFERROR(__xludf.DUMMYFUNCTION("""COMPUTED_VALUE"""),8.8)</f>
        <v>8.8</v>
      </c>
      <c r="D18" s="19">
        <v>19.89160000000007</v>
      </c>
      <c r="E18" s="2"/>
      <c r="F18" s="21" t="s">
        <v>203</v>
      </c>
      <c r="G18" s="19">
        <f>MAX(B9:Z108)-MIN(B9:B108)</f>
        <v>85215.84</v>
      </c>
      <c r="H18" s="19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9" t="str">
        <f>IFERROR(__xludf.DUMMYFUNCTION("""COMPUTED_VALUE"""),"The Lord of the Rings: The Fellowship of the Ring")</f>
        <v>The Lord of the Rings: The Fellowship of the Ring</v>
      </c>
      <c r="B19" s="19">
        <f>IFERROR(__xludf.DUMMYFUNCTION("""COMPUTED_VALUE"""),178.0)</f>
        <v>178</v>
      </c>
      <c r="C19" s="19">
        <f>IFERROR(__xludf.DUMMYFUNCTION("""COMPUTED_VALUE"""),8.8)</f>
        <v>8.8</v>
      </c>
      <c r="D19" s="19">
        <v>1888.7716000000007</v>
      </c>
      <c r="E19" s="2"/>
      <c r="F19" s="1" t="s">
        <v>204</v>
      </c>
      <c r="G19" s="2">
        <f>G24-G22</f>
        <v>37.75</v>
      </c>
      <c r="H19" s="21" t="s">
        <v>205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9" t="str">
        <f>IFERROR(__xludf.DUMMYFUNCTION("""COMPUTED_VALUE"""),"Forrest Gump")</f>
        <v>Forrest Gump</v>
      </c>
      <c r="B20" s="19">
        <f>IFERROR(__xludf.DUMMYFUNCTION("""COMPUTED_VALUE"""),142.0)</f>
        <v>142</v>
      </c>
      <c r="C20" s="19">
        <f>IFERROR(__xludf.DUMMYFUNCTION("""COMPUTED_VALUE"""),8.8)</f>
        <v>8.8</v>
      </c>
      <c r="D20" s="19">
        <v>55.651600000000116</v>
      </c>
      <c r="E20" s="19"/>
      <c r="F20" s="25" t="s">
        <v>206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9" t="str">
        <f>IFERROR(__xludf.DUMMYFUNCTION("""COMPUTED_VALUE"""),"The Good, the Bad and the Ugly")</f>
        <v>The Good, the Bad and the Ugly</v>
      </c>
      <c r="B21" s="19">
        <f>IFERROR(__xludf.DUMMYFUNCTION("""COMPUTED_VALUE"""),178.0)</f>
        <v>178</v>
      </c>
      <c r="C21" s="19">
        <f>IFERROR(__xludf.DUMMYFUNCTION("""COMPUTED_VALUE"""),8.8)</f>
        <v>8.8</v>
      </c>
      <c r="D21" s="19">
        <v>1888.7716000000007</v>
      </c>
      <c r="E21" s="19"/>
      <c r="F21" s="23" t="s">
        <v>207</v>
      </c>
      <c r="G21" s="2"/>
      <c r="H21" s="2"/>
      <c r="I21" s="2"/>
      <c r="J21" s="1" t="s">
        <v>208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9" t="str">
        <f>IFERROR(__xludf.DUMMYFUNCTION("""COMPUTED_VALUE"""),"Hamilton")</f>
        <v>Hamilton</v>
      </c>
      <c r="B22" s="19">
        <f>IFERROR(__xludf.DUMMYFUNCTION("""COMPUTED_VALUE"""),160.0)</f>
        <v>160</v>
      </c>
      <c r="C22" s="19">
        <f>IFERROR(__xludf.DUMMYFUNCTION("""COMPUTED_VALUE"""),8.7)</f>
        <v>8.7</v>
      </c>
      <c r="D22" s="19">
        <v>648.2116000000004</v>
      </c>
      <c r="E22" s="19"/>
      <c r="F22" s="1" t="s">
        <v>209</v>
      </c>
      <c r="G22" s="2">
        <f>PERCENTILE(B9:B108, 0.25)</f>
        <v>114.5</v>
      </c>
      <c r="H22" s="2"/>
      <c r="I22" s="2"/>
      <c r="J22" s="25" t="s">
        <v>210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9" t="str">
        <f>IFERROR(__xludf.DUMMYFUNCTION("""COMPUTED_VALUE"""),"The Lord of the Rings: The Two Towers")</f>
        <v>The Lord of the Rings: The Two Towers</v>
      </c>
      <c r="B23" s="19">
        <f>IFERROR(__xludf.DUMMYFUNCTION("""COMPUTED_VALUE"""),179.0)</f>
        <v>179</v>
      </c>
      <c r="C23" s="19">
        <f>IFERROR(__xludf.DUMMYFUNCTION("""COMPUTED_VALUE"""),8.7)</f>
        <v>8.7</v>
      </c>
      <c r="D23" s="19">
        <v>1976.6916000000008</v>
      </c>
      <c r="E23" s="19"/>
      <c r="F23" s="1" t="s">
        <v>211</v>
      </c>
      <c r="G23" s="2">
        <f>PERCENTILE(B9:B108, 0.5)</f>
        <v>130</v>
      </c>
      <c r="H23" s="26" t="s">
        <v>212</v>
      </c>
      <c r="I23" s="2">
        <f>MEDIAN(B9:B108)</f>
        <v>130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9" t="str">
        <f>IFERROR(__xludf.DUMMYFUNCTION("""COMPUTED_VALUE"""),"The Matrix")</f>
        <v>The Matrix</v>
      </c>
      <c r="B24" s="19">
        <f>IFERROR(__xludf.DUMMYFUNCTION("""COMPUTED_VALUE"""),136.0)</f>
        <v>136</v>
      </c>
      <c r="C24" s="19">
        <f>IFERROR(__xludf.DUMMYFUNCTION("""COMPUTED_VALUE"""),8.7)</f>
        <v>8.7</v>
      </c>
      <c r="D24" s="19">
        <v>2.1316000000000233</v>
      </c>
      <c r="E24" s="19"/>
      <c r="F24" s="1" t="s">
        <v>213</v>
      </c>
      <c r="G24" s="2">
        <f>PERCENTILE(B9:B108, 0.75)</f>
        <v>152.25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9" t="str">
        <f>IFERROR(__xludf.DUMMYFUNCTION("""COMPUTED_VALUE"""),"Goodfellas")</f>
        <v>Goodfellas</v>
      </c>
      <c r="B25" s="19">
        <f>IFERROR(__xludf.DUMMYFUNCTION("""COMPUTED_VALUE"""),146.0)</f>
        <v>146</v>
      </c>
      <c r="C25" s="19">
        <f>IFERROR(__xludf.DUMMYFUNCTION("""COMPUTED_VALUE"""),8.7)</f>
        <v>8.7</v>
      </c>
      <c r="D25" s="19">
        <v>131.33160000000018</v>
      </c>
      <c r="E25" s="19"/>
      <c r="F25" s="1" t="s">
        <v>214</v>
      </c>
      <c r="G25" s="2">
        <f>PERCENTILE(B9:B108, 0.95)</f>
        <v>189.3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9" t="str">
        <f>IFERROR(__xludf.DUMMYFUNCTION("""COMPUTED_VALUE"""),"Star Wars: Episode V - The Empire Strikes Back")</f>
        <v>Star Wars: Episode V - The Empire Strikes Back</v>
      </c>
      <c r="B26" s="19">
        <f>IFERROR(__xludf.DUMMYFUNCTION("""COMPUTED_VALUE"""),124.0)</f>
        <v>124</v>
      </c>
      <c r="C26" s="19">
        <f>IFERROR(__xludf.DUMMYFUNCTION("""COMPUTED_VALUE"""),8.7)</f>
        <v>8.7</v>
      </c>
      <c r="D26" s="19">
        <v>111.09159999999983</v>
      </c>
      <c r="E26" s="19"/>
      <c r="F26" s="1" t="s">
        <v>215</v>
      </c>
      <c r="G26" s="2">
        <f>PERCENTILE(B9:B108, 1)</f>
        <v>229</v>
      </c>
      <c r="H26" s="26" t="s">
        <v>216</v>
      </c>
      <c r="I26" s="2">
        <f>MAX(B9:B108)</f>
        <v>229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9" t="str">
        <f>IFERROR(__xludf.DUMMYFUNCTION("""COMPUTED_VALUE"""),"One Flew Over the Cuckoo's Nest")</f>
        <v>One Flew Over the Cuckoo's Nest</v>
      </c>
      <c r="B27" s="19">
        <f>IFERROR(__xludf.DUMMYFUNCTION("""COMPUTED_VALUE"""),133.0)</f>
        <v>133</v>
      </c>
      <c r="C27" s="19">
        <f>IFERROR(__xludf.DUMMYFUNCTION("""COMPUTED_VALUE"""),8.7)</f>
        <v>8.7</v>
      </c>
      <c r="D27" s="19">
        <v>2.3715999999999755</v>
      </c>
      <c r="E27" s="19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9" t="str">
        <f>IFERROR(__xludf.DUMMYFUNCTION("""COMPUTED_VALUE"""),"Parasite")</f>
        <v>Parasite</v>
      </c>
      <c r="B28" s="19">
        <f>IFERROR(__xludf.DUMMYFUNCTION("""COMPUTED_VALUE"""),132.0)</f>
        <v>132</v>
      </c>
      <c r="C28" s="19">
        <f>IFERROR(__xludf.DUMMYFUNCTION("""COMPUTED_VALUE"""),8.6)</f>
        <v>8.6</v>
      </c>
      <c r="D28" s="19">
        <v>6.451599999999959</v>
      </c>
      <c r="E28" s="19"/>
      <c r="F28" s="1" t="s">
        <v>217</v>
      </c>
      <c r="G28" s="2">
        <f>QUARTILE(B8:B108, 1)</f>
        <v>114.5</v>
      </c>
      <c r="H28" s="25" t="s">
        <v>218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9" t="str">
        <f>IFERROR(__xludf.DUMMYFUNCTION("""COMPUTED_VALUE"""),"Interstellar")</f>
        <v>Interstellar</v>
      </c>
      <c r="B29" s="19">
        <f>IFERROR(__xludf.DUMMYFUNCTION("""COMPUTED_VALUE"""),169.0)</f>
        <v>169</v>
      </c>
      <c r="C29" s="19">
        <f>IFERROR(__xludf.DUMMYFUNCTION("""COMPUTED_VALUE"""),8.6)</f>
        <v>8.6</v>
      </c>
      <c r="D29" s="19">
        <v>1187.4916000000005</v>
      </c>
      <c r="E29" s="19"/>
      <c r="F29" s="21" t="s">
        <v>219</v>
      </c>
      <c r="G29" s="19">
        <f>QUARTILE(B8:B109, 2)</f>
        <v>130</v>
      </c>
      <c r="H29" s="25" t="s">
        <v>220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9" t="str">
        <f>IFERROR(__xludf.DUMMYFUNCTION("""COMPUTED_VALUE"""),"City of God")</f>
        <v>City of God</v>
      </c>
      <c r="B30" s="19">
        <f>IFERROR(__xludf.DUMMYFUNCTION("""COMPUTED_VALUE"""),130.0)</f>
        <v>130</v>
      </c>
      <c r="C30" s="19">
        <f>IFERROR(__xludf.DUMMYFUNCTION("""COMPUTED_VALUE"""),8.6)</f>
        <v>8.6</v>
      </c>
      <c r="D30" s="19">
        <v>20.611599999999928</v>
      </c>
      <c r="E30" s="19"/>
      <c r="F30" s="21" t="s">
        <v>221</v>
      </c>
      <c r="G30" s="19">
        <f>QUARTILE(B8:B109, 3)</f>
        <v>152.25</v>
      </c>
      <c r="H30" s="25" t="s">
        <v>222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9" t="str">
        <f>IFERROR(__xludf.DUMMYFUNCTION("""COMPUTED_VALUE"""),"Spirited Away")</f>
        <v>Spirited Away</v>
      </c>
      <c r="B31" s="19">
        <f>IFERROR(__xludf.DUMMYFUNCTION("""COMPUTED_VALUE"""),125.0)</f>
        <v>125</v>
      </c>
      <c r="C31" s="19">
        <f>IFERROR(__xludf.DUMMYFUNCTION("""COMPUTED_VALUE"""),8.6)</f>
        <v>8.6</v>
      </c>
      <c r="D31" s="19">
        <v>91.01159999999985</v>
      </c>
      <c r="E31" s="19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9" t="str">
        <f>IFERROR(__xludf.DUMMYFUNCTION("""COMPUTED_VALUE"""),"Saving Private Ryan")</f>
        <v>Saving Private Ryan</v>
      </c>
      <c r="B32" s="19">
        <f>IFERROR(__xludf.DUMMYFUNCTION("""COMPUTED_VALUE"""),169.0)</f>
        <v>169</v>
      </c>
      <c r="C32" s="19">
        <f>IFERROR(__xludf.DUMMYFUNCTION("""COMPUTED_VALUE"""),8.6)</f>
        <v>8.6</v>
      </c>
      <c r="D32" s="19">
        <v>1187.4916000000005</v>
      </c>
      <c r="E32" s="19"/>
      <c r="F32" s="23" t="s">
        <v>223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9" t="str">
        <f>IFERROR(__xludf.DUMMYFUNCTION("""COMPUTED_VALUE"""),"The Green Mile")</f>
        <v>The Green Mile</v>
      </c>
      <c r="B33" s="19">
        <f>IFERROR(__xludf.DUMMYFUNCTION("""COMPUTED_VALUE"""),189.0)</f>
        <v>189</v>
      </c>
      <c r="C33" s="19">
        <f>IFERROR(__xludf.DUMMYFUNCTION("""COMPUTED_VALUE"""),8.6)</f>
        <v>8.6</v>
      </c>
      <c r="D33" s="19">
        <v>2965.891600000001</v>
      </c>
      <c r="E33" s="19"/>
      <c r="F33" s="26" t="s">
        <v>224</v>
      </c>
      <c r="G33" s="27">
        <f>G30+1.5*G19</f>
        <v>208.875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9" t="str">
        <f>IFERROR(__xludf.DUMMYFUNCTION("""COMPUTED_VALUE"""),"Life Is Beautiful")</f>
        <v>Life Is Beautiful</v>
      </c>
      <c r="B34" s="19">
        <f>IFERROR(__xludf.DUMMYFUNCTION("""COMPUTED_VALUE"""),116.0)</f>
        <v>116</v>
      </c>
      <c r="C34" s="19">
        <f>IFERROR(__xludf.DUMMYFUNCTION("""COMPUTED_VALUE"""),8.6)</f>
        <v>8.6</v>
      </c>
      <c r="D34" s="19">
        <v>343.73159999999973</v>
      </c>
      <c r="E34" s="19"/>
      <c r="F34" s="26" t="s">
        <v>225</v>
      </c>
      <c r="G34" s="26">
        <f>G28-1.5*G19</f>
        <v>57.875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9" t="str">
        <f>IFERROR(__xludf.DUMMYFUNCTION("""COMPUTED_VALUE"""),"Se7en")</f>
        <v>Se7en</v>
      </c>
      <c r="B35" s="19">
        <f>IFERROR(__xludf.DUMMYFUNCTION("""COMPUTED_VALUE"""),127.0)</f>
        <v>127</v>
      </c>
      <c r="C35" s="19">
        <f>IFERROR(__xludf.DUMMYFUNCTION("""COMPUTED_VALUE"""),8.6)</f>
        <v>8.6</v>
      </c>
      <c r="D35" s="19">
        <v>56.85159999999988</v>
      </c>
      <c r="E35" s="19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9" t="str">
        <f>IFERROR(__xludf.DUMMYFUNCTION("""COMPUTED_VALUE"""),"The Silence of the Lambs")</f>
        <v>The Silence of the Lambs</v>
      </c>
      <c r="B36" s="19">
        <f>IFERROR(__xludf.DUMMYFUNCTION("""COMPUTED_VALUE"""),118.0)</f>
        <v>118</v>
      </c>
      <c r="C36" s="19">
        <f>IFERROR(__xludf.DUMMYFUNCTION("""COMPUTED_VALUE"""),8.6)</f>
        <v>8.6</v>
      </c>
      <c r="D36" s="19">
        <v>273.57159999999976</v>
      </c>
      <c r="E36" s="19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9" t="str">
        <f>IFERROR(__xludf.DUMMYFUNCTION("""COMPUTED_VALUE"""),"Star Wars: Episode IV - A New Hope")</f>
        <v>Star Wars: Episode IV - A New Hope</v>
      </c>
      <c r="B37" s="19">
        <f>IFERROR(__xludf.DUMMYFUNCTION("""COMPUTED_VALUE"""),121.0)</f>
        <v>121</v>
      </c>
      <c r="C37" s="19">
        <f>IFERROR(__xludf.DUMMYFUNCTION("""COMPUTED_VALUE"""),8.6)</f>
        <v>8.6</v>
      </c>
      <c r="D37" s="19">
        <v>183.33159999999978</v>
      </c>
      <c r="E37" s="19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9" t="str">
        <f>IFERROR(__xludf.DUMMYFUNCTION("""COMPUTED_VALUE"""),"Harakiri")</f>
        <v>Harakiri</v>
      </c>
      <c r="B38" s="19">
        <f>IFERROR(__xludf.DUMMYFUNCTION("""COMPUTED_VALUE"""),133.0)</f>
        <v>133</v>
      </c>
      <c r="C38" s="19">
        <f>IFERROR(__xludf.DUMMYFUNCTION("""COMPUTED_VALUE"""),8.6)</f>
        <v>8.6</v>
      </c>
      <c r="D38" s="19">
        <v>2.3715999999999755</v>
      </c>
      <c r="E38" s="19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9" t="str">
        <f>IFERROR(__xludf.DUMMYFUNCTION("""COMPUTED_VALUE"""),"Seven Samurai")</f>
        <v>Seven Samurai</v>
      </c>
      <c r="B39" s="19">
        <f>IFERROR(__xludf.DUMMYFUNCTION("""COMPUTED_VALUE"""),207.0)</f>
        <v>207</v>
      </c>
      <c r="C39" s="19">
        <f>IFERROR(__xludf.DUMMYFUNCTION("""COMPUTED_VALUE"""),8.6)</f>
        <v>8.6</v>
      </c>
      <c r="D39" s="19">
        <v>5250.451600000001</v>
      </c>
      <c r="E39" s="19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9" t="str">
        <f>IFERROR(__xludf.DUMMYFUNCTION("""COMPUTED_VALUE"""),"It's a Wonderful Life")</f>
        <v>It's a Wonderful Life</v>
      </c>
      <c r="B40" s="19">
        <f>IFERROR(__xludf.DUMMYFUNCTION("""COMPUTED_VALUE"""),130.0)</f>
        <v>130</v>
      </c>
      <c r="C40" s="19">
        <f>IFERROR(__xludf.DUMMYFUNCTION("""COMPUTED_VALUE"""),8.6)</f>
        <v>8.6</v>
      </c>
      <c r="D40" s="19">
        <v>20.611599999999928</v>
      </c>
      <c r="E40" s="19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9" t="str">
        <f>IFERROR(__xludf.DUMMYFUNCTION("""COMPUTED_VALUE"""),"Joker")</f>
        <v>Joker</v>
      </c>
      <c r="B41" s="19">
        <f>IFERROR(__xludf.DUMMYFUNCTION("""COMPUTED_VALUE"""),122.0)</f>
        <v>122</v>
      </c>
      <c r="C41" s="19">
        <f>IFERROR(__xludf.DUMMYFUNCTION("""COMPUTED_VALUE"""),8.5)</f>
        <v>8.5</v>
      </c>
      <c r="D41" s="19">
        <v>157.2515999999998</v>
      </c>
      <c r="E41" s="19"/>
      <c r="F41" s="19"/>
      <c r="G41" s="19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9" t="str">
        <f>IFERROR(__xludf.DUMMYFUNCTION("""COMPUTED_VALUE"""),"Whiplash")</f>
        <v>Whiplash</v>
      </c>
      <c r="B42" s="19">
        <f>IFERROR(__xludf.DUMMYFUNCTION("""COMPUTED_VALUE"""),106.0)</f>
        <v>106</v>
      </c>
      <c r="C42" s="19">
        <f>IFERROR(__xludf.DUMMYFUNCTION("""COMPUTED_VALUE"""),8.5)</f>
        <v>8.5</v>
      </c>
      <c r="D42" s="19">
        <v>814.5315999999996</v>
      </c>
      <c r="E42" s="19"/>
      <c r="F42" s="21" t="s">
        <v>226</v>
      </c>
      <c r="G42" s="19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9" t="str">
        <f>IFERROR(__xludf.DUMMYFUNCTION("""COMPUTED_VALUE"""),"The Intouchables")</f>
        <v>The Intouchables</v>
      </c>
      <c r="B43" s="19">
        <f>IFERROR(__xludf.DUMMYFUNCTION("""COMPUTED_VALUE"""),112.0)</f>
        <v>112</v>
      </c>
      <c r="C43" s="19">
        <f>IFERROR(__xludf.DUMMYFUNCTION("""COMPUTED_VALUE"""),8.5)</f>
        <v>8.5</v>
      </c>
      <c r="D43" s="19">
        <v>508.05159999999967</v>
      </c>
      <c r="E43" s="19"/>
      <c r="F43" s="19"/>
      <c r="G43" s="19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9" t="str">
        <f>IFERROR(__xludf.DUMMYFUNCTION("""COMPUTED_VALUE"""),"The Prestige")</f>
        <v>The Prestige</v>
      </c>
      <c r="B44" s="19">
        <f>IFERROR(__xludf.DUMMYFUNCTION("""COMPUTED_VALUE"""),130.0)</f>
        <v>130</v>
      </c>
      <c r="C44" s="19">
        <f>IFERROR(__xludf.DUMMYFUNCTION("""COMPUTED_VALUE"""),8.5)</f>
        <v>8.5</v>
      </c>
      <c r="D44" s="19">
        <v>20.611599999999928</v>
      </c>
      <c r="E44" s="19"/>
      <c r="F44" s="21" t="s">
        <v>227</v>
      </c>
      <c r="G44" s="19">
        <f>SUM(D9:D108)</f>
        <v>85302.84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9" t="str">
        <f>IFERROR(__xludf.DUMMYFUNCTION("""COMPUTED_VALUE"""),"The Departed")</f>
        <v>The Departed</v>
      </c>
      <c r="B45" s="19">
        <f>IFERROR(__xludf.DUMMYFUNCTION("""COMPUTED_VALUE"""),151.0)</f>
        <v>151</v>
      </c>
      <c r="C45" s="19">
        <f>IFERROR(__xludf.DUMMYFUNCTION("""COMPUTED_VALUE"""),8.5)</f>
        <v>8.5</v>
      </c>
      <c r="D45" s="19">
        <v>270.9316000000003</v>
      </c>
      <c r="E45" s="19"/>
      <c r="F45" s="21" t="s">
        <v>228</v>
      </c>
      <c r="G45" s="19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9" t="str">
        <f>IFERROR(__xludf.DUMMYFUNCTION("""COMPUTED_VALUE"""),"The Pianist")</f>
        <v>The Pianist</v>
      </c>
      <c r="B46" s="19">
        <f>IFERROR(__xludf.DUMMYFUNCTION("""COMPUTED_VALUE"""),150.0)</f>
        <v>150</v>
      </c>
      <c r="C46" s="19">
        <f>IFERROR(__xludf.DUMMYFUNCTION("""COMPUTED_VALUE"""),8.5)</f>
        <v>8.5</v>
      </c>
      <c r="D46" s="19">
        <v>239.01160000000024</v>
      </c>
      <c r="E46" s="19"/>
      <c r="F46" s="21" t="s">
        <v>229</v>
      </c>
      <c r="G46" s="24">
        <f>SQRT(G44/(G8-1))</f>
        <v>29.35378763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9" t="str">
        <f>IFERROR(__xludf.DUMMYFUNCTION("""COMPUTED_VALUE"""),"Gladiator")</f>
        <v>Gladiator</v>
      </c>
      <c r="B47" s="19">
        <f>IFERROR(__xludf.DUMMYFUNCTION("""COMPUTED_VALUE"""),155.0)</f>
        <v>155</v>
      </c>
      <c r="C47" s="19">
        <f>IFERROR(__xludf.DUMMYFUNCTION("""COMPUTED_VALUE"""),8.5)</f>
        <v>8.5</v>
      </c>
      <c r="D47" s="19">
        <v>418.61160000000035</v>
      </c>
      <c r="E47" s="19"/>
      <c r="F47" s="19"/>
      <c r="G47" s="19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9" t="str">
        <f>IFERROR(__xludf.DUMMYFUNCTION("""COMPUTED_VALUE"""),"American History X")</f>
        <v>American History X</v>
      </c>
      <c r="B48" s="19">
        <f>IFERROR(__xludf.DUMMYFUNCTION("""COMPUTED_VALUE"""),119.0)</f>
        <v>119</v>
      </c>
      <c r="C48" s="19">
        <f>IFERROR(__xludf.DUMMYFUNCTION("""COMPUTED_VALUE"""),8.5)</f>
        <v>8.5</v>
      </c>
      <c r="D48" s="19">
        <v>241.49159999999975</v>
      </c>
      <c r="E48" s="19"/>
      <c r="F48" s="19"/>
      <c r="G48" s="19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9" t="str">
        <f>IFERROR(__xludf.DUMMYFUNCTION("""COMPUTED_VALUE"""),"The Usual Suspects")</f>
        <v>The Usual Suspects</v>
      </c>
      <c r="B49" s="19">
        <f>IFERROR(__xludf.DUMMYFUNCTION("""COMPUTED_VALUE"""),106.0)</f>
        <v>106</v>
      </c>
      <c r="C49" s="19">
        <f>IFERROR(__xludf.DUMMYFUNCTION("""COMPUTED_VALUE"""),8.5)</f>
        <v>8.5</v>
      </c>
      <c r="D49" s="19">
        <v>814.5315999999996</v>
      </c>
      <c r="E49" s="19"/>
      <c r="F49" s="19"/>
      <c r="G49" s="19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9" t="str">
        <f>IFERROR(__xludf.DUMMYFUNCTION("""COMPUTED_VALUE"""),"Léon: The Professional")</f>
        <v>Léon: The Professional</v>
      </c>
      <c r="B50" s="19">
        <f>IFERROR(__xludf.DUMMYFUNCTION("""COMPUTED_VALUE"""),110.0)</f>
        <v>110</v>
      </c>
      <c r="C50" s="19">
        <f>IFERROR(__xludf.DUMMYFUNCTION("""COMPUTED_VALUE"""),8.5)</f>
        <v>8.5</v>
      </c>
      <c r="D50" s="19">
        <v>602.2115999999996</v>
      </c>
      <c r="E50" s="19"/>
      <c r="F50" s="19"/>
      <c r="G50" s="19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9" t="str">
        <f>IFERROR(__xludf.DUMMYFUNCTION("""COMPUTED_VALUE"""),"The Lion King")</f>
        <v>The Lion King</v>
      </c>
      <c r="B51" s="19">
        <f>IFERROR(__xludf.DUMMYFUNCTION("""COMPUTED_VALUE"""),88.0)</f>
        <v>88</v>
      </c>
      <c r="C51" s="19">
        <f>IFERROR(__xludf.DUMMYFUNCTION("""COMPUTED_VALUE"""),8.5)</f>
        <v>8.5</v>
      </c>
      <c r="D51" s="19">
        <v>2165.9715999999994</v>
      </c>
      <c r="E51" s="19"/>
      <c r="F51" s="19"/>
      <c r="G51" s="19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9" t="str">
        <f>IFERROR(__xludf.DUMMYFUNCTION("""COMPUTED_VALUE"""),"Terminator 2: Judgment Day")</f>
        <v>Terminator 2: Judgment Day</v>
      </c>
      <c r="B52" s="19">
        <f>IFERROR(__xludf.DUMMYFUNCTION("""COMPUTED_VALUE"""),137.0)</f>
        <v>137</v>
      </c>
      <c r="C52" s="19">
        <f>IFERROR(__xludf.DUMMYFUNCTION("""COMPUTED_VALUE"""),8.5)</f>
        <v>8.5</v>
      </c>
      <c r="D52" s="19">
        <v>6.051600000000039</v>
      </c>
      <c r="E52" s="19"/>
      <c r="F52" s="19"/>
      <c r="G52" s="19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9" t="str">
        <f>IFERROR(__xludf.DUMMYFUNCTION("""COMPUTED_VALUE"""),"Cinema Paradiso")</f>
        <v>Cinema Paradiso</v>
      </c>
      <c r="B53" s="19">
        <f>IFERROR(__xludf.DUMMYFUNCTION("""COMPUTED_VALUE"""),155.0)</f>
        <v>155</v>
      </c>
      <c r="C53" s="19">
        <f>IFERROR(__xludf.DUMMYFUNCTION("""COMPUTED_VALUE"""),8.5)</f>
        <v>8.5</v>
      </c>
      <c r="D53" s="19">
        <v>418.61160000000035</v>
      </c>
      <c r="E53" s="19"/>
      <c r="F53" s="19"/>
      <c r="G53" s="19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9" t="str">
        <f>IFERROR(__xludf.DUMMYFUNCTION("""COMPUTED_VALUE"""),"Grave of the Fireflies")</f>
        <v>Grave of the Fireflies</v>
      </c>
      <c r="B54" s="19">
        <f>IFERROR(__xludf.DUMMYFUNCTION("""COMPUTED_VALUE"""),89.0)</f>
        <v>89</v>
      </c>
      <c r="C54" s="19">
        <f>IFERROR(__xludf.DUMMYFUNCTION("""COMPUTED_VALUE"""),8.5)</f>
        <v>8.5</v>
      </c>
      <c r="D54" s="19">
        <v>2073.8915999999995</v>
      </c>
      <c r="E54" s="19"/>
      <c r="F54" s="19"/>
      <c r="G54" s="19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9" t="str">
        <f>IFERROR(__xludf.DUMMYFUNCTION("""COMPUTED_VALUE"""),"Back to the Future")</f>
        <v>Back to the Future</v>
      </c>
      <c r="B55" s="19">
        <f>IFERROR(__xludf.DUMMYFUNCTION("""COMPUTED_VALUE"""),116.0)</f>
        <v>116</v>
      </c>
      <c r="C55" s="19">
        <f>IFERROR(__xludf.DUMMYFUNCTION("""COMPUTED_VALUE"""),8.5)</f>
        <v>8.5</v>
      </c>
      <c r="D55" s="19">
        <v>343.73159999999973</v>
      </c>
      <c r="E55" s="19"/>
      <c r="F55" s="19"/>
      <c r="G55" s="19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9" t="str">
        <f>IFERROR(__xludf.DUMMYFUNCTION("""COMPUTED_VALUE"""),"Anand")</f>
        <v>Anand</v>
      </c>
      <c r="B56" s="19">
        <f>IFERROR(__xludf.DUMMYFUNCTION("""COMPUTED_VALUE"""),122.0)</f>
        <v>122</v>
      </c>
      <c r="C56" s="19">
        <f>IFERROR(__xludf.DUMMYFUNCTION("""COMPUTED_VALUE"""),8.5)</f>
        <v>8.5</v>
      </c>
      <c r="D56" s="19">
        <v>157.2515999999998</v>
      </c>
      <c r="E56" s="19"/>
      <c r="F56" s="19"/>
      <c r="G56" s="19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9" t="str">
        <f>IFERROR(__xludf.DUMMYFUNCTION("""COMPUTED_VALUE"""),"Once Upon a Time in the West")</f>
        <v>Once Upon a Time in the West</v>
      </c>
      <c r="B57" s="19">
        <f>IFERROR(__xludf.DUMMYFUNCTION("""COMPUTED_VALUE"""),165.0)</f>
        <v>165</v>
      </c>
      <c r="C57" s="19">
        <f>IFERROR(__xludf.DUMMYFUNCTION("""COMPUTED_VALUE"""),8.5)</f>
        <v>8.5</v>
      </c>
      <c r="D57" s="19">
        <v>927.8116000000005</v>
      </c>
      <c r="E57" s="19"/>
      <c r="F57" s="19"/>
      <c r="G57" s="19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9" t="str">
        <f>IFERROR(__xludf.DUMMYFUNCTION("""COMPUTED_VALUE"""),"Psycho")</f>
        <v>Psycho</v>
      </c>
      <c r="B58" s="19">
        <f>IFERROR(__xludf.DUMMYFUNCTION("""COMPUTED_VALUE"""),109.0)</f>
        <v>109</v>
      </c>
      <c r="C58" s="19">
        <f>IFERROR(__xludf.DUMMYFUNCTION("""COMPUTED_VALUE"""),8.5)</f>
        <v>8.5</v>
      </c>
      <c r="D58" s="19">
        <v>652.2915999999996</v>
      </c>
      <c r="E58" s="19"/>
      <c r="F58" s="19"/>
      <c r="G58" s="1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9" t="str">
        <f>IFERROR(__xludf.DUMMYFUNCTION("""COMPUTED_VALUE"""),"Casablanca")</f>
        <v>Casablanca</v>
      </c>
      <c r="B59" s="19">
        <f>IFERROR(__xludf.DUMMYFUNCTION("""COMPUTED_VALUE"""),102.0)</f>
        <v>102</v>
      </c>
      <c r="C59" s="19">
        <f>IFERROR(__xludf.DUMMYFUNCTION("""COMPUTED_VALUE"""),8.5)</f>
        <v>8.5</v>
      </c>
      <c r="D59" s="19">
        <v>1058.8515999999995</v>
      </c>
      <c r="E59" s="19"/>
      <c r="F59" s="19"/>
      <c r="G59" s="1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9" t="str">
        <f>IFERROR(__xludf.DUMMYFUNCTION("""COMPUTED_VALUE"""),"Modern Times")</f>
        <v>Modern Times</v>
      </c>
      <c r="B60" s="19">
        <f>IFERROR(__xludf.DUMMYFUNCTION("""COMPUTED_VALUE"""),87.0)</f>
        <v>87</v>
      </c>
      <c r="C60" s="19">
        <f>IFERROR(__xludf.DUMMYFUNCTION("""COMPUTED_VALUE"""),8.5)</f>
        <v>8.5</v>
      </c>
      <c r="D60" s="19">
        <v>2260.0515999999993</v>
      </c>
      <c r="E60" s="19"/>
      <c r="F60" s="19"/>
      <c r="G60" s="1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9" t="str">
        <f>IFERROR(__xludf.DUMMYFUNCTION("""COMPUTED_VALUE"""),"City Lights")</f>
        <v>City Lights</v>
      </c>
      <c r="B61" s="19">
        <f>IFERROR(__xludf.DUMMYFUNCTION("""COMPUTED_VALUE"""),87.0)</f>
        <v>87</v>
      </c>
      <c r="C61" s="19">
        <f>IFERROR(__xludf.DUMMYFUNCTION("""COMPUTED_VALUE"""),8.5)</f>
        <v>8.5</v>
      </c>
      <c r="D61" s="19">
        <v>2260.0515999999993</v>
      </c>
      <c r="E61" s="19"/>
      <c r="F61" s="19"/>
      <c r="G61" s="1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9" t="str">
        <f>IFERROR(__xludf.DUMMYFUNCTION("""COMPUTED_VALUE"""),"Capharnaüm")</f>
        <v>Capharnaüm</v>
      </c>
      <c r="B62" s="19">
        <f>IFERROR(__xludf.DUMMYFUNCTION("""COMPUTED_VALUE"""),126.0)</f>
        <v>126</v>
      </c>
      <c r="C62" s="19">
        <f>IFERROR(__xludf.DUMMYFUNCTION("""COMPUTED_VALUE"""),8.4)</f>
        <v>8.4</v>
      </c>
      <c r="D62" s="19">
        <v>72.93159999999986</v>
      </c>
      <c r="E62" s="19"/>
      <c r="F62" s="19"/>
      <c r="G62" s="19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9" t="str">
        <f>IFERROR(__xludf.DUMMYFUNCTION("""COMPUTED_VALUE"""),"Ayla: The Daughter of War")</f>
        <v>Ayla: The Daughter of War</v>
      </c>
      <c r="B63" s="19">
        <f>IFERROR(__xludf.DUMMYFUNCTION("""COMPUTED_VALUE"""),125.0)</f>
        <v>125</v>
      </c>
      <c r="C63" s="19">
        <f>IFERROR(__xludf.DUMMYFUNCTION("""COMPUTED_VALUE"""),8.4)</f>
        <v>8.4</v>
      </c>
      <c r="D63" s="19">
        <v>91.01159999999985</v>
      </c>
      <c r="E63" s="19"/>
      <c r="F63" s="19"/>
      <c r="G63" s="1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9" t="str">
        <f>IFERROR(__xludf.DUMMYFUNCTION("""COMPUTED_VALUE"""),"Your Name.")</f>
        <v>Your Name.</v>
      </c>
      <c r="B64" s="19">
        <f>IFERROR(__xludf.DUMMYFUNCTION("""COMPUTED_VALUE"""),106.0)</f>
        <v>106</v>
      </c>
      <c r="C64" s="19">
        <f>IFERROR(__xludf.DUMMYFUNCTION("""COMPUTED_VALUE"""),8.4)</f>
        <v>8.4</v>
      </c>
      <c r="D64" s="19">
        <v>814.5315999999996</v>
      </c>
      <c r="E64" s="19"/>
      <c r="F64" s="19"/>
      <c r="G64" s="1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9" t="str">
        <f>IFERROR(__xludf.DUMMYFUNCTION("""COMPUTED_VALUE"""),"Dangal")</f>
        <v>Dangal</v>
      </c>
      <c r="B65" s="19">
        <f>IFERROR(__xludf.DUMMYFUNCTION("""COMPUTED_VALUE"""),161.0)</f>
        <v>161</v>
      </c>
      <c r="C65" s="19">
        <f>IFERROR(__xludf.DUMMYFUNCTION("""COMPUTED_VALUE"""),8.4)</f>
        <v>8.4</v>
      </c>
      <c r="D65" s="19">
        <v>700.1316000000004</v>
      </c>
      <c r="E65" s="19"/>
      <c r="F65" s="19"/>
      <c r="G65" s="19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9" t="str">
        <f>IFERROR(__xludf.DUMMYFUNCTION("""COMPUTED_VALUE"""),"Spider-Man: Into the Spider-Verse")</f>
        <v>Spider-Man: Into the Spider-Verse</v>
      </c>
      <c r="B66" s="19">
        <f>IFERROR(__xludf.DUMMYFUNCTION("""COMPUTED_VALUE"""),117.0)</f>
        <v>117</v>
      </c>
      <c r="C66" s="19">
        <f>IFERROR(__xludf.DUMMYFUNCTION("""COMPUTED_VALUE"""),8.4)</f>
        <v>8.4</v>
      </c>
      <c r="D66" s="19">
        <v>307.65159999999975</v>
      </c>
      <c r="E66" s="19"/>
      <c r="F66" s="19"/>
      <c r="G66" s="19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9" t="str">
        <f>IFERROR(__xludf.DUMMYFUNCTION("""COMPUTED_VALUE"""),"Avengers: Endgame")</f>
        <v>Avengers: Endgame</v>
      </c>
      <c r="B67" s="19">
        <f>IFERROR(__xludf.DUMMYFUNCTION("""COMPUTED_VALUE"""),181.0)</f>
        <v>181</v>
      </c>
      <c r="C67" s="19">
        <f>IFERROR(__xludf.DUMMYFUNCTION("""COMPUTED_VALUE"""),8.4)</f>
        <v>8.4</v>
      </c>
      <c r="D67" s="19">
        <v>2158.5316000000007</v>
      </c>
      <c r="E67" s="19"/>
      <c r="F67" s="19"/>
      <c r="G67" s="19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9" t="str">
        <f>IFERROR(__xludf.DUMMYFUNCTION("""COMPUTED_VALUE"""),"Avengers: Infinity War")</f>
        <v>Avengers: Infinity War</v>
      </c>
      <c r="B68" s="19">
        <f>IFERROR(__xludf.DUMMYFUNCTION("""COMPUTED_VALUE"""),149.0)</f>
        <v>149</v>
      </c>
      <c r="C68" s="19">
        <f>IFERROR(__xludf.DUMMYFUNCTION("""COMPUTED_VALUE"""),8.4)</f>
        <v>8.4</v>
      </c>
      <c r="D68" s="19">
        <v>209.09160000000023</v>
      </c>
      <c r="E68" s="19"/>
      <c r="F68" s="19"/>
      <c r="G68" s="19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9" t="str">
        <f>IFERROR(__xludf.DUMMYFUNCTION("""COMPUTED_VALUE"""),"Coco")</f>
        <v>Coco</v>
      </c>
      <c r="B69" s="19">
        <f>IFERROR(__xludf.DUMMYFUNCTION("""COMPUTED_VALUE"""),105.0)</f>
        <v>105</v>
      </c>
      <c r="C69" s="19">
        <f>IFERROR(__xludf.DUMMYFUNCTION("""COMPUTED_VALUE"""),8.4)</f>
        <v>8.4</v>
      </c>
      <c r="D69" s="19">
        <v>872.6115999999995</v>
      </c>
      <c r="E69" s="19"/>
      <c r="F69" s="19"/>
      <c r="G69" s="19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9" t="str">
        <f>IFERROR(__xludf.DUMMYFUNCTION("""COMPUTED_VALUE"""),"Django Unchained")</f>
        <v>Django Unchained</v>
      </c>
      <c r="B70" s="19">
        <f>IFERROR(__xludf.DUMMYFUNCTION("""COMPUTED_VALUE"""),165.0)</f>
        <v>165</v>
      </c>
      <c r="C70" s="19">
        <f>IFERROR(__xludf.DUMMYFUNCTION("""COMPUTED_VALUE"""),8.4)</f>
        <v>8.4</v>
      </c>
      <c r="D70" s="19">
        <v>927.8116000000005</v>
      </c>
      <c r="E70" s="19"/>
      <c r="F70" s="19"/>
      <c r="G70" s="19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9" t="str">
        <f>IFERROR(__xludf.DUMMYFUNCTION("""COMPUTED_VALUE"""),"The Dark Knight Rises")</f>
        <v>The Dark Knight Rises</v>
      </c>
      <c r="B71" s="19">
        <f>IFERROR(__xludf.DUMMYFUNCTION("""COMPUTED_VALUE"""),164.0)</f>
        <v>164</v>
      </c>
      <c r="C71" s="19">
        <f>IFERROR(__xludf.DUMMYFUNCTION("""COMPUTED_VALUE"""),8.4)</f>
        <v>8.4</v>
      </c>
      <c r="D71" s="19">
        <v>867.8916000000005</v>
      </c>
      <c r="E71" s="19"/>
      <c r="F71" s="19"/>
      <c r="G71" s="19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9" t="str">
        <f>IFERROR(__xludf.DUMMYFUNCTION("""COMPUTED_VALUE"""),"3 Idiots")</f>
        <v>3 Idiots</v>
      </c>
      <c r="B72" s="19">
        <f>IFERROR(__xludf.DUMMYFUNCTION("""COMPUTED_VALUE"""),170.0)</f>
        <v>170</v>
      </c>
      <c r="C72" s="19">
        <f>IFERROR(__xludf.DUMMYFUNCTION("""COMPUTED_VALUE"""),8.4)</f>
        <v>8.4</v>
      </c>
      <c r="D72" s="19">
        <v>1257.4116000000006</v>
      </c>
      <c r="E72" s="19"/>
      <c r="F72" s="19"/>
      <c r="G72" s="19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9" t="str">
        <f>IFERROR(__xludf.DUMMYFUNCTION("""COMPUTED_VALUE"""),"Taare Zameen Par")</f>
        <v>Taare Zameen Par</v>
      </c>
      <c r="B73" s="19">
        <f>IFERROR(__xludf.DUMMYFUNCTION("""COMPUTED_VALUE"""),165.0)</f>
        <v>165</v>
      </c>
      <c r="C73" s="19">
        <f>IFERROR(__xludf.DUMMYFUNCTION("""COMPUTED_VALUE"""),8.4)</f>
        <v>8.4</v>
      </c>
      <c r="D73" s="19">
        <v>927.8116000000005</v>
      </c>
      <c r="E73" s="19"/>
      <c r="F73" s="19"/>
      <c r="G73" s="19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9" t="str">
        <f>IFERROR(__xludf.DUMMYFUNCTION("""COMPUTED_VALUE"""),"WALL·E")</f>
        <v>WALL·E</v>
      </c>
      <c r="B74" s="19">
        <f>IFERROR(__xludf.DUMMYFUNCTION("""COMPUTED_VALUE"""),98.0)</f>
        <v>98</v>
      </c>
      <c r="C74" s="19">
        <f>IFERROR(__xludf.DUMMYFUNCTION("""COMPUTED_VALUE"""),8.4)</f>
        <v>8.4</v>
      </c>
      <c r="D74" s="19">
        <v>1335.1715999999994</v>
      </c>
      <c r="E74" s="19"/>
      <c r="F74" s="19"/>
      <c r="G74" s="19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9" t="str">
        <f>IFERROR(__xludf.DUMMYFUNCTION("""COMPUTED_VALUE"""),"The Lives of Others")</f>
        <v>The Lives of Others</v>
      </c>
      <c r="B75" s="19">
        <f>IFERROR(__xludf.DUMMYFUNCTION("""COMPUTED_VALUE"""),137.0)</f>
        <v>137</v>
      </c>
      <c r="C75" s="19">
        <f>IFERROR(__xludf.DUMMYFUNCTION("""COMPUTED_VALUE"""),8.4)</f>
        <v>8.4</v>
      </c>
      <c r="D75" s="19">
        <v>6.051600000000039</v>
      </c>
      <c r="E75" s="19"/>
      <c r="F75" s="19"/>
      <c r="G75" s="19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9" t="str">
        <f>IFERROR(__xludf.DUMMYFUNCTION("""COMPUTED_VALUE"""),"Oldboy")</f>
        <v>Oldboy</v>
      </c>
      <c r="B76" s="19">
        <f>IFERROR(__xludf.DUMMYFUNCTION("""COMPUTED_VALUE"""),120.0)</f>
        <v>120</v>
      </c>
      <c r="C76" s="19">
        <f>IFERROR(__xludf.DUMMYFUNCTION("""COMPUTED_VALUE"""),8.4)</f>
        <v>8.4</v>
      </c>
      <c r="D76" s="19">
        <v>211.41159999999977</v>
      </c>
      <c r="E76" s="19"/>
      <c r="F76" s="19"/>
      <c r="G76" s="19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9" t="str">
        <f>IFERROR(__xludf.DUMMYFUNCTION("""COMPUTED_VALUE"""),"Memento")</f>
        <v>Memento</v>
      </c>
      <c r="B77" s="19">
        <f>IFERROR(__xludf.DUMMYFUNCTION("""COMPUTED_VALUE"""),113.0)</f>
        <v>113</v>
      </c>
      <c r="C77" s="19">
        <f>IFERROR(__xludf.DUMMYFUNCTION("""COMPUTED_VALUE"""),8.4)</f>
        <v>8.4</v>
      </c>
      <c r="D77" s="19">
        <v>463.9715999999997</v>
      </c>
      <c r="E77" s="19"/>
      <c r="F77" s="19"/>
      <c r="G77" s="19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9" t="str">
        <f>IFERROR(__xludf.DUMMYFUNCTION("""COMPUTED_VALUE"""),"Princess Mononoke")</f>
        <v>Princess Mononoke</v>
      </c>
      <c r="B78" s="19">
        <f>IFERROR(__xludf.DUMMYFUNCTION("""COMPUTED_VALUE"""),134.0)</f>
        <v>134</v>
      </c>
      <c r="C78" s="19">
        <f>IFERROR(__xludf.DUMMYFUNCTION("""COMPUTED_VALUE"""),8.4)</f>
        <v>8.4</v>
      </c>
      <c r="D78" s="19">
        <v>0.2915999999999914</v>
      </c>
      <c r="E78" s="19"/>
      <c r="F78" s="19"/>
      <c r="G78" s="19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9" t="str">
        <f>IFERROR(__xludf.DUMMYFUNCTION("""COMPUTED_VALUE"""),"Once Upon a Time in America")</f>
        <v>Once Upon a Time in America</v>
      </c>
      <c r="B79" s="19">
        <f>IFERROR(__xludf.DUMMYFUNCTION("""COMPUTED_VALUE"""),229.0)</f>
        <v>229</v>
      </c>
      <c r="C79" s="19">
        <f>IFERROR(__xludf.DUMMYFUNCTION("""COMPUTED_VALUE"""),8.4)</f>
        <v>8.4</v>
      </c>
      <c r="D79" s="19">
        <v>8922.691600000002</v>
      </c>
      <c r="E79" s="19"/>
      <c r="F79" s="19"/>
      <c r="G79" s="19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9" t="str">
        <f>IFERROR(__xludf.DUMMYFUNCTION("""COMPUTED_VALUE"""),"Raiders of the Lost Ark")</f>
        <v>Raiders of the Lost Ark</v>
      </c>
      <c r="B80" s="19">
        <f>IFERROR(__xludf.DUMMYFUNCTION("""COMPUTED_VALUE"""),115.0)</f>
        <v>115</v>
      </c>
      <c r="C80" s="19">
        <f>IFERROR(__xludf.DUMMYFUNCTION("""COMPUTED_VALUE"""),8.4)</f>
        <v>8.4</v>
      </c>
      <c r="D80" s="19">
        <v>381.8115999999997</v>
      </c>
      <c r="E80" s="19"/>
      <c r="F80" s="19"/>
      <c r="G80" s="19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9" t="str">
        <f>IFERROR(__xludf.DUMMYFUNCTION("""COMPUTED_VALUE"""),"The Shining")</f>
        <v>The Shining</v>
      </c>
      <c r="B81" s="19">
        <f>IFERROR(__xludf.DUMMYFUNCTION("""COMPUTED_VALUE"""),146.0)</f>
        <v>146</v>
      </c>
      <c r="C81" s="19">
        <f>IFERROR(__xludf.DUMMYFUNCTION("""COMPUTED_VALUE"""),8.4)</f>
        <v>8.4</v>
      </c>
      <c r="D81" s="19">
        <v>131.33160000000018</v>
      </c>
      <c r="E81" s="19"/>
      <c r="F81" s="19"/>
      <c r="G81" s="19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9" t="str">
        <f>IFERROR(__xludf.DUMMYFUNCTION("""COMPUTED_VALUE"""),"Apocalypse Now")</f>
        <v>Apocalypse Now</v>
      </c>
      <c r="B82" s="19">
        <f>IFERROR(__xludf.DUMMYFUNCTION("""COMPUTED_VALUE"""),147.0)</f>
        <v>147</v>
      </c>
      <c r="C82" s="19">
        <f>IFERROR(__xludf.DUMMYFUNCTION("""COMPUTED_VALUE"""),8.4)</f>
        <v>8.4</v>
      </c>
      <c r="D82" s="19">
        <v>155.2516000000002</v>
      </c>
      <c r="E82" s="19"/>
      <c r="F82" s="19"/>
      <c r="G82" s="19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9" t="str">
        <f>IFERROR(__xludf.DUMMYFUNCTION("""COMPUTED_VALUE"""),"Alien")</f>
        <v>Alien</v>
      </c>
      <c r="B83" s="19">
        <f>IFERROR(__xludf.DUMMYFUNCTION("""COMPUTED_VALUE"""),117.0)</f>
        <v>117</v>
      </c>
      <c r="C83" s="19">
        <f>IFERROR(__xludf.DUMMYFUNCTION("""COMPUTED_VALUE"""),8.4)</f>
        <v>8.4</v>
      </c>
      <c r="D83" s="19">
        <v>307.65159999999975</v>
      </c>
      <c r="E83" s="19"/>
      <c r="F83" s="19"/>
      <c r="G83" s="19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9" t="str">
        <f>IFERROR(__xludf.DUMMYFUNCTION("""COMPUTED_VALUE"""),"High and Low")</f>
        <v>High and Low</v>
      </c>
      <c r="B84" s="19">
        <f>IFERROR(__xludf.DUMMYFUNCTION("""COMPUTED_VALUE"""),143.0)</f>
        <v>143</v>
      </c>
      <c r="C84" s="19">
        <f>IFERROR(__xludf.DUMMYFUNCTION("""COMPUTED_VALUE"""),8.4)</f>
        <v>8.4</v>
      </c>
      <c r="D84" s="19">
        <v>71.57160000000013</v>
      </c>
      <c r="E84" s="19"/>
      <c r="F84" s="19"/>
      <c r="G84" s="19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9" t="str">
        <f>IFERROR(__xludf.DUMMYFUNCTION("""COMPUTED_VALUE"""),"Dr. Strangelove or: How I Learned to Stop Worrying and Love the Bomb")</f>
        <v>Dr. Strangelove or: How I Learned to Stop Worrying and Love the Bomb</v>
      </c>
      <c r="B85" s="19">
        <f>IFERROR(__xludf.DUMMYFUNCTION("""COMPUTED_VALUE"""),95.0)</f>
        <v>95</v>
      </c>
      <c r="C85" s="19">
        <f>IFERROR(__xludf.DUMMYFUNCTION("""COMPUTED_VALUE"""),8.4)</f>
        <v>8.4</v>
      </c>
      <c r="D85" s="19">
        <v>1563.4115999999995</v>
      </c>
      <c r="E85" s="19"/>
      <c r="F85" s="19"/>
      <c r="G85" s="19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9" t="str">
        <f>IFERROR(__xludf.DUMMYFUNCTION("""COMPUTED_VALUE"""),"Witness for the Prosecution")</f>
        <v>Witness for the Prosecution</v>
      </c>
      <c r="B86" s="19">
        <f>IFERROR(__xludf.DUMMYFUNCTION("""COMPUTED_VALUE"""),116.0)</f>
        <v>116</v>
      </c>
      <c r="C86" s="19">
        <f>IFERROR(__xludf.DUMMYFUNCTION("""COMPUTED_VALUE"""),8.4)</f>
        <v>8.4</v>
      </c>
      <c r="D86" s="19">
        <v>343.73159999999973</v>
      </c>
      <c r="E86" s="19"/>
      <c r="F86" s="19"/>
      <c r="G86" s="19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9" t="str">
        <f>IFERROR(__xludf.DUMMYFUNCTION("""COMPUTED_VALUE"""),"Paths of Glory")</f>
        <v>Paths of Glory</v>
      </c>
      <c r="B87" s="19">
        <f>IFERROR(__xludf.DUMMYFUNCTION("""COMPUTED_VALUE"""),88.0)</f>
        <v>88</v>
      </c>
      <c r="C87" s="19">
        <f>IFERROR(__xludf.DUMMYFUNCTION("""COMPUTED_VALUE"""),8.4)</f>
        <v>8.4</v>
      </c>
      <c r="D87" s="19">
        <v>2165.9715999999994</v>
      </c>
      <c r="E87" s="19"/>
      <c r="F87" s="19"/>
      <c r="G87" s="19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9" t="str">
        <f>IFERROR(__xludf.DUMMYFUNCTION("""COMPUTED_VALUE"""),"Rear Window")</f>
        <v>Rear Window</v>
      </c>
      <c r="B88" s="19">
        <f>IFERROR(__xludf.DUMMYFUNCTION("""COMPUTED_VALUE"""),112.0)</f>
        <v>112</v>
      </c>
      <c r="C88" s="19">
        <f>IFERROR(__xludf.DUMMYFUNCTION("""COMPUTED_VALUE"""),8.4)</f>
        <v>8.4</v>
      </c>
      <c r="D88" s="19">
        <v>508.05159999999967</v>
      </c>
      <c r="E88" s="19"/>
      <c r="F88" s="19"/>
      <c r="G88" s="19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9" t="str">
        <f>IFERROR(__xludf.DUMMYFUNCTION("""COMPUTED_VALUE"""),"Sunset Blvd.")</f>
        <v>Sunset Blvd.</v>
      </c>
      <c r="B89" s="19">
        <f>IFERROR(__xludf.DUMMYFUNCTION("""COMPUTED_VALUE"""),110.0)</f>
        <v>110</v>
      </c>
      <c r="C89" s="19">
        <f>IFERROR(__xludf.DUMMYFUNCTION("""COMPUTED_VALUE"""),8.4)</f>
        <v>8.4</v>
      </c>
      <c r="D89" s="19">
        <v>602.2115999999996</v>
      </c>
      <c r="E89" s="19"/>
      <c r="F89" s="19"/>
      <c r="G89" s="19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9" t="str">
        <f>IFERROR(__xludf.DUMMYFUNCTION("""COMPUTED_VALUE"""),"The Great Dictator")</f>
        <v>The Great Dictator</v>
      </c>
      <c r="B90" s="19">
        <f>IFERROR(__xludf.DUMMYFUNCTION("""COMPUTED_VALUE"""),125.0)</f>
        <v>125</v>
      </c>
      <c r="C90" s="19">
        <f>IFERROR(__xludf.DUMMYFUNCTION("""COMPUTED_VALUE"""),8.4)</f>
        <v>8.4</v>
      </c>
      <c r="D90" s="19">
        <v>91.01159999999985</v>
      </c>
      <c r="E90" s="19"/>
      <c r="F90" s="19"/>
      <c r="G90" s="19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9" t="str">
        <f>IFERROR(__xludf.DUMMYFUNCTION("""COMPUTED_VALUE"""),"1917")</f>
        <v>1917</v>
      </c>
      <c r="B91" s="19">
        <f>IFERROR(__xludf.DUMMYFUNCTION("""COMPUTED_VALUE"""),119.0)</f>
        <v>119</v>
      </c>
      <c r="C91" s="19">
        <f>IFERROR(__xludf.DUMMYFUNCTION("""COMPUTED_VALUE"""),8.3)</f>
        <v>8.3</v>
      </c>
      <c r="D91" s="19">
        <v>241.49159999999975</v>
      </c>
      <c r="E91" s="19"/>
      <c r="F91" s="19"/>
      <c r="G91" s="19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9" t="str">
        <f>IFERROR(__xludf.DUMMYFUNCTION("""COMPUTED_VALUE"""),"Uri: The Surgical Strike")</f>
        <v>Uri: The Surgical Strike</v>
      </c>
      <c r="B92" s="19">
        <f>IFERROR(__xludf.DUMMYFUNCTION("""COMPUTED_VALUE"""),138.0)</f>
        <v>138</v>
      </c>
      <c r="C92" s="19">
        <f>IFERROR(__xludf.DUMMYFUNCTION("""COMPUTED_VALUE"""),8.3)</f>
        <v>8.3</v>
      </c>
      <c r="D92" s="19">
        <v>11.971600000000056</v>
      </c>
      <c r="E92" s="19"/>
      <c r="F92" s="19"/>
      <c r="G92" s="19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9" t="str">
        <f>IFERROR(__xludf.DUMMYFUNCTION("""COMPUTED_VALUE"""),"Tumbbad")</f>
        <v>Tumbbad</v>
      </c>
      <c r="B93" s="19">
        <f>IFERROR(__xludf.DUMMYFUNCTION("""COMPUTED_VALUE"""),104.0)</f>
        <v>104</v>
      </c>
      <c r="C93" s="19">
        <f>IFERROR(__xludf.DUMMYFUNCTION("""COMPUTED_VALUE"""),8.3)</f>
        <v>8.3</v>
      </c>
      <c r="D93" s="19">
        <v>932.6915999999995</v>
      </c>
      <c r="E93" s="19"/>
      <c r="F93" s="19"/>
      <c r="G93" s="19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9" t="str">
        <f>IFERROR(__xludf.DUMMYFUNCTION("""COMPUTED_VALUE"""),"Andhadhun")</f>
        <v>Andhadhun</v>
      </c>
      <c r="B94" s="19">
        <f>IFERROR(__xludf.DUMMYFUNCTION("""COMPUTED_VALUE"""),139.0)</f>
        <v>139</v>
      </c>
      <c r="C94" s="19">
        <f>IFERROR(__xludf.DUMMYFUNCTION("""COMPUTED_VALUE"""),8.3)</f>
        <v>8.3</v>
      </c>
      <c r="D94" s="19">
        <v>19.89160000000007</v>
      </c>
      <c r="E94" s="19"/>
      <c r="F94" s="19"/>
      <c r="G94" s="19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9" t="str">
        <f>IFERROR(__xludf.DUMMYFUNCTION("""COMPUTED_VALUE"""),"Drishyam")</f>
        <v>Drishyam</v>
      </c>
      <c r="B95" s="19">
        <f>IFERROR(__xludf.DUMMYFUNCTION("""COMPUTED_VALUE"""),160.0)</f>
        <v>160</v>
      </c>
      <c r="C95" s="19">
        <f>IFERROR(__xludf.DUMMYFUNCTION("""COMPUTED_VALUE"""),8.3)</f>
        <v>8.3</v>
      </c>
      <c r="D95" s="19">
        <v>648.2116000000004</v>
      </c>
      <c r="E95" s="19"/>
      <c r="F95" s="19"/>
      <c r="G95" s="19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9" t="str">
        <f>IFERROR(__xludf.DUMMYFUNCTION("""COMPUTED_VALUE"""),"The Hunt")</f>
        <v>The Hunt</v>
      </c>
      <c r="B96" s="19">
        <f>IFERROR(__xludf.DUMMYFUNCTION("""COMPUTED_VALUE"""),115.0)</f>
        <v>115</v>
      </c>
      <c r="C96" s="19">
        <f>IFERROR(__xludf.DUMMYFUNCTION("""COMPUTED_VALUE"""),8.3)</f>
        <v>8.3</v>
      </c>
      <c r="D96" s="19">
        <v>381.8115999999997</v>
      </c>
      <c r="E96" s="19"/>
      <c r="F96" s="19"/>
      <c r="G96" s="19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9" t="str">
        <f>IFERROR(__xludf.DUMMYFUNCTION("""COMPUTED_VALUE"""),"A Separation")</f>
        <v>A Separation</v>
      </c>
      <c r="B97" s="19">
        <f>IFERROR(__xludf.DUMMYFUNCTION("""COMPUTED_VALUE"""),123.0)</f>
        <v>123</v>
      </c>
      <c r="C97" s="19">
        <f>IFERROR(__xludf.DUMMYFUNCTION("""COMPUTED_VALUE"""),8.3)</f>
        <v>8.3</v>
      </c>
      <c r="D97" s="19">
        <v>133.1715999999998</v>
      </c>
      <c r="E97" s="19"/>
      <c r="F97" s="19"/>
      <c r="G97" s="19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9" t="str">
        <f>IFERROR(__xludf.DUMMYFUNCTION("""COMPUTED_VALUE"""),"Incendies")</f>
        <v>Incendies</v>
      </c>
      <c r="B98" s="19">
        <f>IFERROR(__xludf.DUMMYFUNCTION("""COMPUTED_VALUE"""),131.0)</f>
        <v>131</v>
      </c>
      <c r="C98" s="19">
        <f>IFERROR(__xludf.DUMMYFUNCTION("""COMPUTED_VALUE"""),8.3)</f>
        <v>8.3</v>
      </c>
      <c r="D98" s="19">
        <v>12.531599999999944</v>
      </c>
      <c r="E98" s="19"/>
      <c r="F98" s="19"/>
      <c r="G98" s="19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9" t="str">
        <f>IFERROR(__xludf.DUMMYFUNCTION("""COMPUTED_VALUE"""),"Yedinci Kogustaki Mucize")</f>
        <v>Yedinci Kogustaki Mucize</v>
      </c>
      <c r="B99" s="19">
        <f>IFERROR(__xludf.DUMMYFUNCTION("""COMPUTED_VALUE"""),132.0)</f>
        <v>132</v>
      </c>
      <c r="C99" s="19">
        <f>IFERROR(__xludf.DUMMYFUNCTION("""COMPUTED_VALUE"""),8.3)</f>
        <v>8.3</v>
      </c>
      <c r="D99" s="19">
        <v>6.451599999999959</v>
      </c>
      <c r="E99" s="19"/>
      <c r="F99" s="19"/>
      <c r="G99" s="19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9" t="str">
        <f>IFERROR(__xludf.DUMMYFUNCTION("""COMPUTED_VALUE"""),"Babam ve Oglum")</f>
        <v>Babam ve Oglum</v>
      </c>
      <c r="B100" s="19">
        <f>IFERROR(__xludf.DUMMYFUNCTION("""COMPUTED_VALUE"""),112.0)</f>
        <v>112</v>
      </c>
      <c r="C100" s="19">
        <f>IFERROR(__xludf.DUMMYFUNCTION("""COMPUTED_VALUE"""),8.3)</f>
        <v>8.3</v>
      </c>
      <c r="D100" s="19">
        <v>508.05159999999967</v>
      </c>
      <c r="E100" s="19"/>
      <c r="F100" s="19"/>
      <c r="G100" s="19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9" t="str">
        <f>IFERROR(__xludf.DUMMYFUNCTION("""COMPUTED_VALUE"""),"Toy Story 3")</f>
        <v>Toy Story 3</v>
      </c>
      <c r="B101" s="19">
        <f>IFERROR(__xludf.DUMMYFUNCTION("""COMPUTED_VALUE"""),103.0)</f>
        <v>103</v>
      </c>
      <c r="C101" s="19">
        <f>IFERROR(__xludf.DUMMYFUNCTION("""COMPUTED_VALUE"""),8.3)</f>
        <v>8.3</v>
      </c>
      <c r="D101" s="19">
        <v>994.7715999999995</v>
      </c>
      <c r="E101" s="19"/>
      <c r="F101" s="19"/>
      <c r="G101" s="19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 t="str">
        <f>IFERROR(__xludf.DUMMYFUNCTION("""COMPUTED_VALUE"""),"Inglourious Basterds")</f>
        <v>Inglourious Basterds</v>
      </c>
      <c r="B102" s="2">
        <f>IFERROR(__xludf.DUMMYFUNCTION("""COMPUTED_VALUE"""),153.0)</f>
        <v>153</v>
      </c>
      <c r="C102" s="2">
        <f>IFERROR(__xludf.DUMMYFUNCTION("""COMPUTED_VALUE"""),8.3)</f>
        <v>8.3</v>
      </c>
      <c r="D102" s="2">
        <v>340.7716000000003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 t="str">
        <f>IFERROR(__xludf.DUMMYFUNCTION("""COMPUTED_VALUE"""),"Eternal Sunshine of the Spotless Mind")</f>
        <v>Eternal Sunshine of the Spotless Mind</v>
      </c>
      <c r="B103" s="2">
        <f>IFERROR(__xludf.DUMMYFUNCTION("""COMPUTED_VALUE"""),108.0)</f>
        <v>108</v>
      </c>
      <c r="C103" s="2">
        <f>IFERROR(__xludf.DUMMYFUNCTION("""COMPUTED_VALUE"""),8.3)</f>
        <v>8.3</v>
      </c>
      <c r="D103" s="2">
        <v>704.3715999999996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 t="str">
        <f>IFERROR(__xludf.DUMMYFUNCTION("""COMPUTED_VALUE"""),"Amélie")</f>
        <v>Amélie</v>
      </c>
      <c r="B104" s="2">
        <f>IFERROR(__xludf.DUMMYFUNCTION("""COMPUTED_VALUE"""),122.0)</f>
        <v>122</v>
      </c>
      <c r="C104" s="2">
        <f>IFERROR(__xludf.DUMMYFUNCTION("""COMPUTED_VALUE"""),8.3)</f>
        <v>8.3</v>
      </c>
      <c r="D104" s="2">
        <v>157.2515999999998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 t="str">
        <f>IFERROR(__xludf.DUMMYFUNCTION("""COMPUTED_VALUE"""),"Snatch")</f>
        <v>Snatch</v>
      </c>
      <c r="B105" s="2">
        <f>IFERROR(__xludf.DUMMYFUNCTION("""COMPUTED_VALUE"""),102.0)</f>
        <v>102</v>
      </c>
      <c r="C105" s="2">
        <f>IFERROR(__xludf.DUMMYFUNCTION("""COMPUTED_VALUE"""),8.3)</f>
        <v>8.3</v>
      </c>
      <c r="D105" s="2">
        <v>1058.8515999999995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 t="str">
        <f>IFERROR(__xludf.DUMMYFUNCTION("""COMPUTED_VALUE"""),"Requiem for a Dream")</f>
        <v>Requiem for a Dream</v>
      </c>
      <c r="B106" s="2">
        <f>IFERROR(__xludf.DUMMYFUNCTION("""COMPUTED_VALUE"""),102.0)</f>
        <v>102</v>
      </c>
      <c r="C106" s="2">
        <f>IFERROR(__xludf.DUMMYFUNCTION("""COMPUTED_VALUE"""),8.3)</f>
        <v>8.3</v>
      </c>
      <c r="D106" s="2">
        <v>1058.8515999999995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 t="str">
        <f>IFERROR(__xludf.DUMMYFUNCTION("""COMPUTED_VALUE"""),"American Beauty")</f>
        <v>American Beauty</v>
      </c>
      <c r="B107" s="2">
        <f>IFERROR(__xludf.DUMMYFUNCTION("""COMPUTED_VALUE"""),122.0)</f>
        <v>122</v>
      </c>
      <c r="C107" s="2">
        <f>IFERROR(__xludf.DUMMYFUNCTION("""COMPUTED_VALUE"""),8.3)</f>
        <v>8.3</v>
      </c>
      <c r="D107" s="2">
        <v>157.2515999999998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 t="str">
        <f>IFERROR(__xludf.DUMMYFUNCTION("""COMPUTED_VALUE"""),"Good Will Hunting")</f>
        <v>Good Will Hunting</v>
      </c>
      <c r="B108" s="2">
        <f>IFERROR(__xludf.DUMMYFUNCTION("""COMPUTED_VALUE"""),126.0)</f>
        <v>126</v>
      </c>
      <c r="C108" s="2">
        <f>IFERROR(__xludf.DUMMYFUNCTION("""COMPUTED_VALUE"""),8.3)</f>
        <v>8.3</v>
      </c>
      <c r="D108" s="2">
        <v>72.93159999999986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8" t="s">
        <v>23</v>
      </c>
      <c r="B1" s="28" t="s">
        <v>24</v>
      </c>
      <c r="C1" s="28" t="s">
        <v>25</v>
      </c>
      <c r="D1" s="28" t="s">
        <v>26</v>
      </c>
      <c r="E1" s="28" t="s">
        <v>27</v>
      </c>
      <c r="F1" s="28" t="s">
        <v>28</v>
      </c>
      <c r="G1" s="28" t="s">
        <v>29</v>
      </c>
    </row>
    <row r="2">
      <c r="A2" s="29">
        <v>1.0</v>
      </c>
      <c r="B2" s="29" t="s">
        <v>30</v>
      </c>
      <c r="C2" s="29">
        <v>1994.0</v>
      </c>
      <c r="D2" s="29" t="s">
        <v>31</v>
      </c>
      <c r="E2" s="29">
        <v>142.0</v>
      </c>
      <c r="F2" s="29" t="s">
        <v>32</v>
      </c>
      <c r="G2" s="29">
        <v>9.3</v>
      </c>
    </row>
    <row r="3">
      <c r="A3" s="29">
        <v>2.0</v>
      </c>
      <c r="B3" s="29" t="s">
        <v>33</v>
      </c>
      <c r="C3" s="29">
        <v>1972.0</v>
      </c>
      <c r="D3" s="29" t="s">
        <v>31</v>
      </c>
      <c r="E3" s="29">
        <v>175.0</v>
      </c>
      <c r="F3" s="29" t="s">
        <v>34</v>
      </c>
      <c r="G3" s="29">
        <v>9.2</v>
      </c>
    </row>
    <row r="4">
      <c r="A4" s="29">
        <v>3.0</v>
      </c>
      <c r="B4" s="29" t="s">
        <v>35</v>
      </c>
      <c r="C4" s="29">
        <v>2008.0</v>
      </c>
      <c r="D4" s="29" t="s">
        <v>36</v>
      </c>
      <c r="E4" s="29">
        <v>152.0</v>
      </c>
      <c r="F4" s="29" t="s">
        <v>37</v>
      </c>
      <c r="G4" s="29">
        <v>9.0</v>
      </c>
    </row>
    <row r="5">
      <c r="A5" s="29">
        <v>4.0</v>
      </c>
      <c r="B5" s="29" t="s">
        <v>38</v>
      </c>
      <c r="C5" s="29">
        <v>1974.0</v>
      </c>
      <c r="D5" s="29" t="s">
        <v>31</v>
      </c>
      <c r="E5" s="29">
        <v>202.0</v>
      </c>
      <c r="F5" s="29" t="s">
        <v>34</v>
      </c>
      <c r="G5" s="29">
        <v>9.0</v>
      </c>
    </row>
    <row r="6">
      <c r="A6" s="29">
        <v>5.0</v>
      </c>
      <c r="B6" s="29" t="s">
        <v>39</v>
      </c>
      <c r="C6" s="29">
        <v>2003.0</v>
      </c>
      <c r="D6" s="29" t="s">
        <v>36</v>
      </c>
      <c r="E6" s="29">
        <v>201.0</v>
      </c>
      <c r="F6" s="29" t="s">
        <v>40</v>
      </c>
      <c r="G6" s="29">
        <v>8.9</v>
      </c>
    </row>
    <row r="7">
      <c r="C7" s="26" t="s">
        <v>230</v>
      </c>
    </row>
    <row r="8">
      <c r="A8" s="30" t="str">
        <f>IFERROR(__xludf.DUMMYFUNCTION("QUERY(IMDB, ""select B, E"")"),"MOVIE_NAME")</f>
        <v>MOVIE_NAME</v>
      </c>
      <c r="B8" s="30" t="str">
        <f>IFERROR(__xludf.DUMMYFUNCTION("""COMPUTED_VALUE"""),"LENGTH")</f>
        <v>LENGTH</v>
      </c>
      <c r="C8" s="31" t="s">
        <v>231</v>
      </c>
      <c r="E8" s="26" t="s">
        <v>232</v>
      </c>
      <c r="F8" s="26" t="s">
        <v>233</v>
      </c>
    </row>
    <row r="9">
      <c r="A9" s="27" t="str">
        <f>IFERROR(__xludf.DUMMYFUNCTION("""COMPUTED_VALUE"""),"The Shawshank Redemption")</f>
        <v>The Shawshank Redemption</v>
      </c>
      <c r="B9" s="27">
        <f>IFERROR(__xludf.DUMMYFUNCTION("""COMPUTED_VALUE"""),142.0)</f>
        <v>142</v>
      </c>
      <c r="C9" s="32">
        <f t="array" ref="C9:C108">(B9:B108-$F$9)/$F$10</f>
        <v>0.2541409679</v>
      </c>
      <c r="E9" s="26" t="s">
        <v>234</v>
      </c>
      <c r="F9" s="27">
        <f>AVERAGE(B9:B108)</f>
        <v>134.54</v>
      </c>
    </row>
    <row r="10">
      <c r="A10" s="27" t="str">
        <f>IFERROR(__xludf.DUMMYFUNCTION("""COMPUTED_VALUE"""),"The Godfather")</f>
        <v>The Godfather</v>
      </c>
      <c r="B10" s="27">
        <f>IFERROR(__xludf.DUMMYFUNCTION("""COMPUTED_VALUE"""),175.0)</f>
        <v>175</v>
      </c>
      <c r="C10" s="32">
        <v>1.378357045569095</v>
      </c>
      <c r="E10" s="26" t="s">
        <v>235</v>
      </c>
      <c r="F10" s="27">
        <f>_xlfn.STDEV.S(B9:B108)</f>
        <v>29.35378763</v>
      </c>
    </row>
    <row r="11">
      <c r="A11" s="27" t="str">
        <f>IFERROR(__xludf.DUMMYFUNCTION("""COMPUTED_VALUE"""),"The Dark Knight")</f>
        <v>The Dark Knight</v>
      </c>
      <c r="B11" s="27">
        <f>IFERROR(__xludf.DUMMYFUNCTION("""COMPUTED_VALUE"""),152.0)</f>
        <v>152</v>
      </c>
      <c r="C11" s="32">
        <v>0.594812506565408</v>
      </c>
      <c r="H11" s="33">
        <f>COUNT(B8:B109)</f>
        <v>100</v>
      </c>
    </row>
    <row r="12">
      <c r="A12" s="27" t="str">
        <f>IFERROR(__xludf.DUMMYFUNCTION("""COMPUTED_VALUE"""),"The Godfather: Part II")</f>
        <v>The Godfather: Part II</v>
      </c>
      <c r="B12" s="27">
        <f>IFERROR(__xludf.DUMMYFUNCTION("""COMPUTED_VALUE"""),202.0)</f>
        <v>202</v>
      </c>
      <c r="C12" s="32">
        <v>2.2981702000516844</v>
      </c>
      <c r="F12" s="34" t="s">
        <v>236</v>
      </c>
      <c r="G12" s="34" t="s">
        <v>237</v>
      </c>
      <c r="H12" s="34" t="s">
        <v>238</v>
      </c>
    </row>
    <row r="13">
      <c r="A13" s="27" t="str">
        <f>IFERROR(__xludf.DUMMYFUNCTION("""COMPUTED_VALUE"""),"The Lord of the Rings: The Return of the King")</f>
        <v>The Lord of the Rings: The Return of the King</v>
      </c>
      <c r="B13" s="27">
        <f>IFERROR(__xludf.DUMMYFUNCTION("""COMPUTED_VALUE"""),201.0)</f>
        <v>201</v>
      </c>
      <c r="C13" s="32">
        <v>2.2641030461819587</v>
      </c>
      <c r="E13" s="35" t="s">
        <v>239</v>
      </c>
      <c r="F13" s="36">
        <f t="array" ref="F13:G13">{$F$9-$F$10, $F$9+$F$10}</f>
        <v>105.1862124</v>
      </c>
      <c r="G13" s="36">
        <v>163.8937876343897</v>
      </c>
      <c r="H13" s="37">
        <f t="shared" ref="H13:H15" si="1">COUNTIFS($B$9:$B$108, "&gt;" &amp;F13, $B$9:$B$108, "&lt;"&amp;G13)/$H$11</f>
        <v>0.68</v>
      </c>
    </row>
    <row r="14">
      <c r="A14" s="27" t="str">
        <f>IFERROR(__xludf.DUMMYFUNCTION("""COMPUTED_VALUE"""),"Pulp Fiction")</f>
        <v>Pulp Fiction</v>
      </c>
      <c r="B14" s="27">
        <f>IFERROR(__xludf.DUMMYFUNCTION("""COMPUTED_VALUE"""),154.0)</f>
        <v>154</v>
      </c>
      <c r="C14" s="32">
        <v>0.662946814304859</v>
      </c>
      <c r="E14" s="35" t="s">
        <v>240</v>
      </c>
      <c r="F14" s="36">
        <f t="array" ref="F14:G14">{$F$9-$F$10*2, $F$9+$F$10*2}</f>
        <v>75.83242473</v>
      </c>
      <c r="G14" s="36">
        <v>193.24757526877937</v>
      </c>
      <c r="H14" s="37">
        <f t="shared" si="1"/>
        <v>0.95</v>
      </c>
    </row>
    <row r="15">
      <c r="A15" s="27" t="str">
        <f>IFERROR(__xludf.DUMMYFUNCTION("""COMPUTED_VALUE"""),"Schindler's List")</f>
        <v>Schindler's List</v>
      </c>
      <c r="B15" s="27">
        <f>IFERROR(__xludf.DUMMYFUNCTION("""COMPUTED_VALUE"""),195.0)</f>
        <v>195</v>
      </c>
      <c r="C15" s="32">
        <v>2.0597001229636054</v>
      </c>
      <c r="E15" s="35" t="s">
        <v>241</v>
      </c>
      <c r="F15" s="36">
        <f t="array" ref="F15:G15">{$F$9-$F$10*3, $F$9+$F$10*3}</f>
        <v>46.4786371</v>
      </c>
      <c r="G15" s="36">
        <v>222.60136290316905</v>
      </c>
      <c r="H15" s="37">
        <f t="shared" si="1"/>
        <v>0.99</v>
      </c>
    </row>
    <row r="16">
      <c r="A16" s="27" t="str">
        <f>IFERROR(__xludf.DUMMYFUNCTION("""COMPUTED_VALUE"""),"12 Angry Men")</f>
        <v>12 Angry Men</v>
      </c>
      <c r="B16" s="27">
        <f>IFERROR(__xludf.DUMMYFUNCTION("""COMPUTED_VALUE"""),96.0)</f>
        <v>96</v>
      </c>
      <c r="C16" s="32">
        <v>-1.3129481101392215</v>
      </c>
    </row>
    <row r="17">
      <c r="A17" s="27" t="str">
        <f>IFERROR(__xludf.DUMMYFUNCTION("""COMPUTED_VALUE"""),"Inception")</f>
        <v>Inception</v>
      </c>
      <c r="B17" s="27">
        <f>IFERROR(__xludf.DUMMYFUNCTION("""COMPUTED_VALUE"""),148.0)</f>
        <v>148</v>
      </c>
      <c r="C17" s="32">
        <v>0.45854389108650584</v>
      </c>
    </row>
    <row r="18">
      <c r="A18" s="27" t="str">
        <f>IFERROR(__xludf.DUMMYFUNCTION("""COMPUTED_VALUE"""),"Fight Club")</f>
        <v>Fight Club</v>
      </c>
      <c r="B18" s="27">
        <f>IFERROR(__xludf.DUMMYFUNCTION("""COMPUTED_VALUE"""),139.0)</f>
        <v>139</v>
      </c>
      <c r="C18" s="32">
        <v>0.15193950625897612</v>
      </c>
    </row>
    <row r="19">
      <c r="A19" s="27" t="str">
        <f>IFERROR(__xludf.DUMMYFUNCTION("""COMPUTED_VALUE"""),"The Lord of the Rings: The Fellowship of the Ring")</f>
        <v>The Lord of the Rings: The Fellowship of the Ring</v>
      </c>
      <c r="B19" s="27">
        <f>IFERROR(__xludf.DUMMYFUNCTION("""COMPUTED_VALUE"""),178.0)</f>
        <v>178</v>
      </c>
      <c r="C19" s="32">
        <v>1.4805585071782716</v>
      </c>
    </row>
    <row r="20">
      <c r="A20" s="27" t="str">
        <f>IFERROR(__xludf.DUMMYFUNCTION("""COMPUTED_VALUE"""),"Forrest Gump")</f>
        <v>Forrest Gump</v>
      </c>
      <c r="B20" s="27">
        <f>IFERROR(__xludf.DUMMYFUNCTION("""COMPUTED_VALUE"""),142.0)</f>
        <v>142</v>
      </c>
      <c r="C20" s="32">
        <v>0.2541409678681527</v>
      </c>
    </row>
    <row r="21">
      <c r="A21" s="27" t="str">
        <f>IFERROR(__xludf.DUMMYFUNCTION("""COMPUTED_VALUE"""),"The Good, the Bad and the Ugly")</f>
        <v>The Good, the Bad and the Ugly</v>
      </c>
      <c r="B21" s="27">
        <f>IFERROR(__xludf.DUMMYFUNCTION("""COMPUTED_VALUE"""),178.0)</f>
        <v>178</v>
      </c>
      <c r="C21" s="32">
        <v>1.4805585071782716</v>
      </c>
    </row>
    <row r="22">
      <c r="A22" s="27" t="str">
        <f>IFERROR(__xludf.DUMMYFUNCTION("""COMPUTED_VALUE"""),"Hamilton")</f>
        <v>Hamilton</v>
      </c>
      <c r="B22" s="27">
        <f>IFERROR(__xludf.DUMMYFUNCTION("""COMPUTED_VALUE"""),160.0)</f>
        <v>160</v>
      </c>
      <c r="C22" s="32">
        <v>0.8673497375232122</v>
      </c>
    </row>
    <row r="23">
      <c r="A23" s="27" t="str">
        <f>IFERROR(__xludf.DUMMYFUNCTION("""COMPUTED_VALUE"""),"The Lord of the Rings: The Two Towers")</f>
        <v>The Lord of the Rings: The Two Towers</v>
      </c>
      <c r="B23" s="27">
        <f>IFERROR(__xludf.DUMMYFUNCTION("""COMPUTED_VALUE"""),179.0)</f>
        <v>179</v>
      </c>
      <c r="C23" s="32">
        <v>1.5146256610479971</v>
      </c>
    </row>
    <row r="24">
      <c r="A24" s="27" t="str">
        <f>IFERROR(__xludf.DUMMYFUNCTION("""COMPUTED_VALUE"""),"The Matrix")</f>
        <v>The Matrix</v>
      </c>
      <c r="B24" s="27">
        <f>IFERROR(__xludf.DUMMYFUNCTION("""COMPUTED_VALUE"""),136.0)</f>
        <v>136</v>
      </c>
      <c r="C24" s="32">
        <v>0.049738044649799536</v>
      </c>
    </row>
    <row r="25">
      <c r="A25" s="27" t="str">
        <f>IFERROR(__xludf.DUMMYFUNCTION("""COMPUTED_VALUE"""),"Goodfellas")</f>
        <v>Goodfellas</v>
      </c>
      <c r="B25" s="27">
        <f>IFERROR(__xludf.DUMMYFUNCTION("""COMPUTED_VALUE"""),146.0)</f>
        <v>146</v>
      </c>
      <c r="C25" s="32">
        <v>0.3904095833470548</v>
      </c>
    </row>
    <row r="26">
      <c r="A26" s="27" t="str">
        <f>IFERROR(__xludf.DUMMYFUNCTION("""COMPUTED_VALUE"""),"Star Wars: Episode V - The Empire Strikes Back")</f>
        <v>Star Wars: Episode V - The Empire Strikes Back</v>
      </c>
      <c r="B26" s="27">
        <f>IFERROR(__xludf.DUMMYFUNCTION("""COMPUTED_VALUE"""),124.0)</f>
        <v>124</v>
      </c>
      <c r="C26" s="32">
        <v>-0.3590678017869068</v>
      </c>
    </row>
    <row r="27">
      <c r="A27" s="27" t="str">
        <f>IFERROR(__xludf.DUMMYFUNCTION("""COMPUTED_VALUE"""),"One Flew Over the Cuckoo's Nest")</f>
        <v>One Flew Over the Cuckoo's Nest</v>
      </c>
      <c r="B27" s="27">
        <f>IFERROR(__xludf.DUMMYFUNCTION("""COMPUTED_VALUE"""),133.0)</f>
        <v>133</v>
      </c>
      <c r="C27" s="32">
        <v>-0.052463416959377035</v>
      </c>
    </row>
    <row r="28">
      <c r="A28" s="27" t="str">
        <f>IFERROR(__xludf.DUMMYFUNCTION("""COMPUTED_VALUE"""),"Parasite")</f>
        <v>Parasite</v>
      </c>
      <c r="B28" s="27">
        <f>IFERROR(__xludf.DUMMYFUNCTION("""COMPUTED_VALUE"""),132.0)</f>
        <v>132</v>
      </c>
      <c r="C28" s="32">
        <v>-0.08653057082910257</v>
      </c>
    </row>
    <row r="29">
      <c r="A29" s="27" t="str">
        <f>IFERROR(__xludf.DUMMYFUNCTION("""COMPUTED_VALUE"""),"Interstellar")</f>
        <v>Interstellar</v>
      </c>
      <c r="B29" s="27">
        <f>IFERROR(__xludf.DUMMYFUNCTION("""COMPUTED_VALUE"""),169.0)</f>
        <v>169</v>
      </c>
      <c r="C29" s="32">
        <v>1.173954122350742</v>
      </c>
    </row>
    <row r="30">
      <c r="A30" s="27" t="str">
        <f>IFERROR(__xludf.DUMMYFUNCTION("""COMPUTED_VALUE"""),"City of God")</f>
        <v>City of God</v>
      </c>
      <c r="B30" s="27">
        <f>IFERROR(__xludf.DUMMYFUNCTION("""COMPUTED_VALUE"""),130.0)</f>
        <v>130</v>
      </c>
      <c r="C30" s="32">
        <v>-0.15466487856855363</v>
      </c>
    </row>
    <row r="31">
      <c r="A31" s="27" t="str">
        <f>IFERROR(__xludf.DUMMYFUNCTION("""COMPUTED_VALUE"""),"Spirited Away")</f>
        <v>Spirited Away</v>
      </c>
      <c r="B31" s="27">
        <f>IFERROR(__xludf.DUMMYFUNCTION("""COMPUTED_VALUE"""),125.0)</f>
        <v>125</v>
      </c>
      <c r="C31" s="32">
        <v>-0.32500064791718125</v>
      </c>
    </row>
    <row r="32">
      <c r="A32" s="27" t="str">
        <f>IFERROR(__xludf.DUMMYFUNCTION("""COMPUTED_VALUE"""),"Saving Private Ryan")</f>
        <v>Saving Private Ryan</v>
      </c>
      <c r="B32" s="27">
        <f>IFERROR(__xludf.DUMMYFUNCTION("""COMPUTED_VALUE"""),169.0)</f>
        <v>169</v>
      </c>
      <c r="C32" s="32">
        <v>1.173954122350742</v>
      </c>
    </row>
    <row r="33">
      <c r="A33" s="27" t="str">
        <f>IFERROR(__xludf.DUMMYFUNCTION("""COMPUTED_VALUE"""),"The Green Mile")</f>
        <v>The Green Mile</v>
      </c>
      <c r="B33" s="27">
        <f>IFERROR(__xludf.DUMMYFUNCTION("""COMPUTED_VALUE"""),189.0)</f>
        <v>189</v>
      </c>
      <c r="C33" s="32">
        <v>1.8552971997452523</v>
      </c>
    </row>
    <row r="34">
      <c r="A34" s="27" t="str">
        <f>IFERROR(__xludf.DUMMYFUNCTION("""COMPUTED_VALUE"""),"Life Is Beautiful")</f>
        <v>Life Is Beautiful</v>
      </c>
      <c r="B34" s="27">
        <f>IFERROR(__xludf.DUMMYFUNCTION("""COMPUTED_VALUE"""),116.0)</f>
        <v>116</v>
      </c>
      <c r="C34" s="32">
        <v>-0.631605032744711</v>
      </c>
    </row>
    <row r="35">
      <c r="A35" s="27" t="str">
        <f>IFERROR(__xludf.DUMMYFUNCTION("""COMPUTED_VALUE"""),"Se7en")</f>
        <v>Se7en</v>
      </c>
      <c r="B35" s="27">
        <f>IFERROR(__xludf.DUMMYFUNCTION("""COMPUTED_VALUE"""),127.0)</f>
        <v>127</v>
      </c>
      <c r="C35" s="32">
        <v>-0.2568663401777302</v>
      </c>
    </row>
    <row r="36">
      <c r="A36" s="27" t="str">
        <f>IFERROR(__xludf.DUMMYFUNCTION("""COMPUTED_VALUE"""),"The Silence of the Lambs")</f>
        <v>The Silence of the Lambs</v>
      </c>
      <c r="B36" s="27">
        <f>IFERROR(__xludf.DUMMYFUNCTION("""COMPUTED_VALUE"""),118.0)</f>
        <v>118</v>
      </c>
      <c r="C36" s="32">
        <v>-0.56347072500526</v>
      </c>
    </row>
    <row r="37">
      <c r="A37" s="27" t="str">
        <f>IFERROR(__xludf.DUMMYFUNCTION("""COMPUTED_VALUE"""),"Star Wars: Episode IV - A New Hope")</f>
        <v>Star Wars: Episode IV - A New Hope</v>
      </c>
      <c r="B37" s="27">
        <f>IFERROR(__xludf.DUMMYFUNCTION("""COMPUTED_VALUE"""),121.0)</f>
        <v>121</v>
      </c>
      <c r="C37" s="32">
        <v>-0.4612692633960833</v>
      </c>
    </row>
    <row r="38">
      <c r="A38" s="27" t="str">
        <f>IFERROR(__xludf.DUMMYFUNCTION("""COMPUTED_VALUE"""),"Harakiri")</f>
        <v>Harakiri</v>
      </c>
      <c r="B38" s="27">
        <f>IFERROR(__xludf.DUMMYFUNCTION("""COMPUTED_VALUE"""),133.0)</f>
        <v>133</v>
      </c>
      <c r="C38" s="32">
        <v>-0.052463416959377035</v>
      </c>
    </row>
    <row r="39">
      <c r="A39" s="27" t="str">
        <f>IFERROR(__xludf.DUMMYFUNCTION("""COMPUTED_VALUE"""),"Seven Samurai")</f>
        <v>Seven Samurai</v>
      </c>
      <c r="B39" s="27">
        <f>IFERROR(__xludf.DUMMYFUNCTION("""COMPUTED_VALUE"""),207.0)</f>
        <v>207</v>
      </c>
      <c r="C39" s="32">
        <v>2.468505969400312</v>
      </c>
    </row>
    <row r="40">
      <c r="A40" s="27" t="str">
        <f>IFERROR(__xludf.DUMMYFUNCTION("""COMPUTED_VALUE"""),"It's a Wonderful Life")</f>
        <v>It's a Wonderful Life</v>
      </c>
      <c r="B40" s="27">
        <f>IFERROR(__xludf.DUMMYFUNCTION("""COMPUTED_VALUE"""),130.0)</f>
        <v>130</v>
      </c>
      <c r="C40" s="32">
        <v>-0.15466487856855363</v>
      </c>
    </row>
    <row r="41">
      <c r="A41" s="27" t="str">
        <f>IFERROR(__xludf.DUMMYFUNCTION("""COMPUTED_VALUE"""),"Joker")</f>
        <v>Joker</v>
      </c>
      <c r="B41" s="27">
        <f>IFERROR(__xludf.DUMMYFUNCTION("""COMPUTED_VALUE"""),122.0)</f>
        <v>122</v>
      </c>
      <c r="C41" s="32">
        <v>-0.42720210952635784</v>
      </c>
    </row>
    <row r="42">
      <c r="A42" s="27" t="str">
        <f>IFERROR(__xludf.DUMMYFUNCTION("""COMPUTED_VALUE"""),"Whiplash")</f>
        <v>Whiplash</v>
      </c>
      <c r="B42" s="27">
        <f>IFERROR(__xludf.DUMMYFUNCTION("""COMPUTED_VALUE"""),106.0)</f>
        <v>106</v>
      </c>
      <c r="C42" s="32">
        <v>-0.9722765714419662</v>
      </c>
    </row>
    <row r="43">
      <c r="A43" s="27" t="str">
        <f>IFERROR(__xludf.DUMMYFUNCTION("""COMPUTED_VALUE"""),"The Intouchables")</f>
        <v>The Intouchables</v>
      </c>
      <c r="B43" s="27">
        <f>IFERROR(__xludf.DUMMYFUNCTION("""COMPUTED_VALUE"""),112.0)</f>
        <v>112</v>
      </c>
      <c r="C43" s="32">
        <v>-0.767873648223613</v>
      </c>
    </row>
    <row r="44">
      <c r="A44" s="27" t="str">
        <f>IFERROR(__xludf.DUMMYFUNCTION("""COMPUTED_VALUE"""),"The Prestige")</f>
        <v>The Prestige</v>
      </c>
      <c r="B44" s="27">
        <f>IFERROR(__xludf.DUMMYFUNCTION("""COMPUTED_VALUE"""),130.0)</f>
        <v>130</v>
      </c>
      <c r="C44" s="32">
        <v>-0.15466487856855363</v>
      </c>
    </row>
    <row r="45">
      <c r="A45" s="27" t="str">
        <f>IFERROR(__xludf.DUMMYFUNCTION("""COMPUTED_VALUE"""),"The Departed")</f>
        <v>The Departed</v>
      </c>
      <c r="B45" s="27">
        <f>IFERROR(__xludf.DUMMYFUNCTION("""COMPUTED_VALUE"""),151.0)</f>
        <v>151</v>
      </c>
      <c r="C45" s="32">
        <v>0.5607453526956824</v>
      </c>
    </row>
    <row r="46">
      <c r="A46" s="27" t="str">
        <f>IFERROR(__xludf.DUMMYFUNCTION("""COMPUTED_VALUE"""),"The Pianist")</f>
        <v>The Pianist</v>
      </c>
      <c r="B46" s="27">
        <f>IFERROR(__xludf.DUMMYFUNCTION("""COMPUTED_VALUE"""),150.0)</f>
        <v>150</v>
      </c>
      <c r="C46" s="32">
        <v>0.5266781988259569</v>
      </c>
    </row>
    <row r="47">
      <c r="A47" s="27" t="str">
        <f>IFERROR(__xludf.DUMMYFUNCTION("""COMPUTED_VALUE"""),"Gladiator")</f>
        <v>Gladiator</v>
      </c>
      <c r="B47" s="27">
        <f>IFERROR(__xludf.DUMMYFUNCTION("""COMPUTED_VALUE"""),155.0)</f>
        <v>155</v>
      </c>
      <c r="C47" s="32">
        <v>0.6970139681745845</v>
      </c>
    </row>
    <row r="48">
      <c r="A48" s="27" t="str">
        <f>IFERROR(__xludf.DUMMYFUNCTION("""COMPUTED_VALUE"""),"American History X")</f>
        <v>American History X</v>
      </c>
      <c r="B48" s="27">
        <f>IFERROR(__xludf.DUMMYFUNCTION("""COMPUTED_VALUE"""),119.0)</f>
        <v>119</v>
      </c>
      <c r="C48" s="32">
        <v>-0.5294035711355344</v>
      </c>
    </row>
    <row r="49">
      <c r="A49" s="27" t="str">
        <f>IFERROR(__xludf.DUMMYFUNCTION("""COMPUTED_VALUE"""),"The Usual Suspects")</f>
        <v>The Usual Suspects</v>
      </c>
      <c r="B49" s="27">
        <f>IFERROR(__xludf.DUMMYFUNCTION("""COMPUTED_VALUE"""),106.0)</f>
        <v>106</v>
      </c>
      <c r="C49" s="32">
        <v>-0.9722765714419662</v>
      </c>
    </row>
    <row r="50">
      <c r="A50" s="27" t="str">
        <f>IFERROR(__xludf.DUMMYFUNCTION("""COMPUTED_VALUE"""),"Léon: The Professional")</f>
        <v>Léon: The Professional</v>
      </c>
      <c r="B50" s="27">
        <f>IFERROR(__xludf.DUMMYFUNCTION("""COMPUTED_VALUE"""),110.0)</f>
        <v>110</v>
      </c>
      <c r="C50" s="32">
        <v>-0.8360079559630641</v>
      </c>
    </row>
    <row r="51">
      <c r="A51" s="27" t="str">
        <f>IFERROR(__xludf.DUMMYFUNCTION("""COMPUTED_VALUE"""),"The Lion King")</f>
        <v>The Lion King</v>
      </c>
      <c r="B51" s="27">
        <f>IFERROR(__xludf.DUMMYFUNCTION("""COMPUTED_VALUE"""),88.0)</f>
        <v>88</v>
      </c>
      <c r="C51" s="32">
        <v>-1.5854853410970258</v>
      </c>
    </row>
    <row r="52">
      <c r="A52" s="27" t="str">
        <f>IFERROR(__xludf.DUMMYFUNCTION("""COMPUTED_VALUE"""),"Terminator 2: Judgment Day")</f>
        <v>Terminator 2: Judgment Day</v>
      </c>
      <c r="B52" s="27">
        <f>IFERROR(__xludf.DUMMYFUNCTION("""COMPUTED_VALUE"""),137.0)</f>
        <v>137</v>
      </c>
      <c r="C52" s="32">
        <v>0.08380519851952506</v>
      </c>
    </row>
    <row r="53">
      <c r="A53" s="27" t="str">
        <f>IFERROR(__xludf.DUMMYFUNCTION("""COMPUTED_VALUE"""),"Cinema Paradiso")</f>
        <v>Cinema Paradiso</v>
      </c>
      <c r="B53" s="27">
        <f>IFERROR(__xludf.DUMMYFUNCTION("""COMPUTED_VALUE"""),155.0)</f>
        <v>155</v>
      </c>
      <c r="C53" s="32">
        <v>0.6970139681745845</v>
      </c>
    </row>
    <row r="54">
      <c r="A54" s="27" t="str">
        <f>IFERROR(__xludf.DUMMYFUNCTION("""COMPUTED_VALUE"""),"Grave of the Fireflies")</f>
        <v>Grave of the Fireflies</v>
      </c>
      <c r="B54" s="27">
        <f>IFERROR(__xludf.DUMMYFUNCTION("""COMPUTED_VALUE"""),89.0)</f>
        <v>89</v>
      </c>
      <c r="C54" s="32">
        <v>-1.5514181872273</v>
      </c>
    </row>
    <row r="55">
      <c r="A55" s="27" t="str">
        <f>IFERROR(__xludf.DUMMYFUNCTION("""COMPUTED_VALUE"""),"Back to the Future")</f>
        <v>Back to the Future</v>
      </c>
      <c r="B55" s="27">
        <f>IFERROR(__xludf.DUMMYFUNCTION("""COMPUTED_VALUE"""),116.0)</f>
        <v>116</v>
      </c>
      <c r="C55" s="32">
        <v>-0.631605032744711</v>
      </c>
    </row>
    <row r="56">
      <c r="A56" s="27" t="str">
        <f>IFERROR(__xludf.DUMMYFUNCTION("""COMPUTED_VALUE"""),"Anand")</f>
        <v>Anand</v>
      </c>
      <c r="B56" s="27">
        <f>IFERROR(__xludf.DUMMYFUNCTION("""COMPUTED_VALUE"""),122.0)</f>
        <v>122</v>
      </c>
      <c r="C56" s="32">
        <v>-0.42720210952635784</v>
      </c>
    </row>
    <row r="57">
      <c r="A57" s="27" t="str">
        <f>IFERROR(__xludf.DUMMYFUNCTION("""COMPUTED_VALUE"""),"Once Upon a Time in the West")</f>
        <v>Once Upon a Time in the West</v>
      </c>
      <c r="B57" s="27">
        <f>IFERROR(__xludf.DUMMYFUNCTION("""COMPUTED_VALUE"""),165.0)</f>
        <v>165</v>
      </c>
      <c r="C57" s="32">
        <v>1.0376855068718398</v>
      </c>
    </row>
    <row r="58">
      <c r="A58" s="27" t="str">
        <f>IFERROR(__xludf.DUMMYFUNCTION("""COMPUTED_VALUE"""),"Psycho")</f>
        <v>Psycho</v>
      </c>
      <c r="B58" s="27">
        <f>IFERROR(__xludf.DUMMYFUNCTION("""COMPUTED_VALUE"""),109.0)</f>
        <v>109</v>
      </c>
      <c r="C58" s="32">
        <v>-0.8700751098327897</v>
      </c>
    </row>
    <row r="59">
      <c r="A59" s="27" t="str">
        <f>IFERROR(__xludf.DUMMYFUNCTION("""COMPUTED_VALUE"""),"Casablanca")</f>
        <v>Casablanca</v>
      </c>
      <c r="B59" s="27">
        <f>IFERROR(__xludf.DUMMYFUNCTION("""COMPUTED_VALUE"""),102.0)</f>
        <v>102</v>
      </c>
      <c r="C59" s="32">
        <v>-1.1085451869208682</v>
      </c>
    </row>
    <row r="60">
      <c r="A60" s="27" t="str">
        <f>IFERROR(__xludf.DUMMYFUNCTION("""COMPUTED_VALUE"""),"Modern Times")</f>
        <v>Modern Times</v>
      </c>
      <c r="B60" s="27">
        <f>IFERROR(__xludf.DUMMYFUNCTION("""COMPUTED_VALUE"""),87.0)</f>
        <v>87</v>
      </c>
      <c r="C60" s="32">
        <v>-1.6195524949667512</v>
      </c>
    </row>
    <row r="61">
      <c r="A61" s="27" t="str">
        <f>IFERROR(__xludf.DUMMYFUNCTION("""COMPUTED_VALUE"""),"City Lights")</f>
        <v>City Lights</v>
      </c>
      <c r="B61" s="27">
        <f>IFERROR(__xludf.DUMMYFUNCTION("""COMPUTED_VALUE"""),87.0)</f>
        <v>87</v>
      </c>
      <c r="C61" s="32">
        <v>-1.6195524949667512</v>
      </c>
    </row>
    <row r="62">
      <c r="A62" s="27" t="str">
        <f>IFERROR(__xludf.DUMMYFUNCTION("""COMPUTED_VALUE"""),"Capharnaüm")</f>
        <v>Capharnaüm</v>
      </c>
      <c r="B62" s="27">
        <f>IFERROR(__xludf.DUMMYFUNCTION("""COMPUTED_VALUE"""),126.0)</f>
        <v>126</v>
      </c>
      <c r="C62" s="32">
        <v>-0.2909334940474557</v>
      </c>
    </row>
    <row r="63">
      <c r="A63" s="27" t="str">
        <f>IFERROR(__xludf.DUMMYFUNCTION("""COMPUTED_VALUE"""),"Ayla: The Daughter of War")</f>
        <v>Ayla: The Daughter of War</v>
      </c>
      <c r="B63" s="27">
        <f>IFERROR(__xludf.DUMMYFUNCTION("""COMPUTED_VALUE"""),125.0)</f>
        <v>125</v>
      </c>
      <c r="C63" s="32">
        <v>-0.32500064791718125</v>
      </c>
    </row>
    <row r="64">
      <c r="A64" s="27" t="str">
        <f>IFERROR(__xludf.DUMMYFUNCTION("""COMPUTED_VALUE"""),"Your Name.")</f>
        <v>Your Name.</v>
      </c>
      <c r="B64" s="27">
        <f>IFERROR(__xludf.DUMMYFUNCTION("""COMPUTED_VALUE"""),106.0)</f>
        <v>106</v>
      </c>
      <c r="C64" s="32">
        <v>-0.9722765714419662</v>
      </c>
    </row>
    <row r="65">
      <c r="A65" s="27" t="str">
        <f>IFERROR(__xludf.DUMMYFUNCTION("""COMPUTED_VALUE"""),"Dangal")</f>
        <v>Dangal</v>
      </c>
      <c r="B65" s="27">
        <f>IFERROR(__xludf.DUMMYFUNCTION("""COMPUTED_VALUE"""),161.0)</f>
        <v>161</v>
      </c>
      <c r="C65" s="32">
        <v>0.9014168913929377</v>
      </c>
    </row>
    <row r="66">
      <c r="A66" s="27" t="str">
        <f>IFERROR(__xludf.DUMMYFUNCTION("""COMPUTED_VALUE"""),"Spider-Man: Into the Spider-Verse")</f>
        <v>Spider-Man: Into the Spider-Verse</v>
      </c>
      <c r="B66" s="27">
        <f>IFERROR(__xludf.DUMMYFUNCTION("""COMPUTED_VALUE"""),117.0)</f>
        <v>117</v>
      </c>
      <c r="C66" s="32">
        <v>-0.5975378788749854</v>
      </c>
    </row>
    <row r="67">
      <c r="A67" s="27" t="str">
        <f>IFERROR(__xludf.DUMMYFUNCTION("""COMPUTED_VALUE"""),"Avengers: Endgame")</f>
        <v>Avengers: Endgame</v>
      </c>
      <c r="B67" s="27">
        <f>IFERROR(__xludf.DUMMYFUNCTION("""COMPUTED_VALUE"""),181.0)</f>
        <v>181</v>
      </c>
      <c r="C67" s="32">
        <v>1.5827599687874483</v>
      </c>
    </row>
    <row r="68">
      <c r="A68" s="27" t="str">
        <f>IFERROR(__xludf.DUMMYFUNCTION("""COMPUTED_VALUE"""),"Avengers: Infinity War")</f>
        <v>Avengers: Infinity War</v>
      </c>
      <c r="B68" s="27">
        <f>IFERROR(__xludf.DUMMYFUNCTION("""COMPUTED_VALUE"""),149.0)</f>
        <v>149</v>
      </c>
      <c r="C68" s="32">
        <v>0.49261104495623137</v>
      </c>
    </row>
    <row r="69">
      <c r="A69" s="27" t="str">
        <f>IFERROR(__xludf.DUMMYFUNCTION("""COMPUTED_VALUE"""),"Coco")</f>
        <v>Coco</v>
      </c>
      <c r="B69" s="27">
        <f>IFERROR(__xludf.DUMMYFUNCTION("""COMPUTED_VALUE"""),105.0)</f>
        <v>105</v>
      </c>
      <c r="C69" s="32">
        <v>-1.0063437253116918</v>
      </c>
    </row>
    <row r="70">
      <c r="A70" s="27" t="str">
        <f>IFERROR(__xludf.DUMMYFUNCTION("""COMPUTED_VALUE"""),"Django Unchained")</f>
        <v>Django Unchained</v>
      </c>
      <c r="B70" s="27">
        <f>IFERROR(__xludf.DUMMYFUNCTION("""COMPUTED_VALUE"""),165.0)</f>
        <v>165</v>
      </c>
      <c r="C70" s="32">
        <v>1.0376855068718398</v>
      </c>
    </row>
    <row r="71">
      <c r="A71" s="27" t="str">
        <f>IFERROR(__xludf.DUMMYFUNCTION("""COMPUTED_VALUE"""),"The Dark Knight Rises")</f>
        <v>The Dark Knight Rises</v>
      </c>
      <c r="B71" s="27">
        <f>IFERROR(__xludf.DUMMYFUNCTION("""COMPUTED_VALUE"""),164.0)</f>
        <v>164</v>
      </c>
      <c r="C71" s="32">
        <v>1.0036183530021143</v>
      </c>
    </row>
    <row r="72">
      <c r="A72" s="27" t="str">
        <f>IFERROR(__xludf.DUMMYFUNCTION("""COMPUTED_VALUE"""),"3 Idiots")</f>
        <v>3 Idiots</v>
      </c>
      <c r="B72" s="27">
        <f>IFERROR(__xludf.DUMMYFUNCTION("""COMPUTED_VALUE"""),170.0)</f>
        <v>170</v>
      </c>
      <c r="C72" s="32">
        <v>1.2080212762204674</v>
      </c>
    </row>
    <row r="73">
      <c r="A73" s="27" t="str">
        <f>IFERROR(__xludf.DUMMYFUNCTION("""COMPUTED_VALUE"""),"Taare Zameen Par")</f>
        <v>Taare Zameen Par</v>
      </c>
      <c r="B73" s="27">
        <f>IFERROR(__xludf.DUMMYFUNCTION("""COMPUTED_VALUE"""),165.0)</f>
        <v>165</v>
      </c>
      <c r="C73" s="32">
        <v>1.0376855068718398</v>
      </c>
    </row>
    <row r="74">
      <c r="A74" s="27" t="str">
        <f>IFERROR(__xludf.DUMMYFUNCTION("""COMPUTED_VALUE"""),"WALL·E")</f>
        <v>WALL·E</v>
      </c>
      <c r="B74" s="27">
        <f>IFERROR(__xludf.DUMMYFUNCTION("""COMPUTED_VALUE"""),98.0)</f>
        <v>98</v>
      </c>
      <c r="C74" s="32">
        <v>-1.2448138023997704</v>
      </c>
    </row>
    <row r="75">
      <c r="A75" s="27" t="str">
        <f>IFERROR(__xludf.DUMMYFUNCTION("""COMPUTED_VALUE"""),"The Lives of Others")</f>
        <v>The Lives of Others</v>
      </c>
      <c r="B75" s="27">
        <f>IFERROR(__xludf.DUMMYFUNCTION("""COMPUTED_VALUE"""),137.0)</f>
        <v>137</v>
      </c>
      <c r="C75" s="32">
        <v>0.08380519851952506</v>
      </c>
    </row>
    <row r="76">
      <c r="A76" s="27" t="str">
        <f>IFERROR(__xludf.DUMMYFUNCTION("""COMPUTED_VALUE"""),"Oldboy")</f>
        <v>Oldboy</v>
      </c>
      <c r="B76" s="27">
        <f>IFERROR(__xludf.DUMMYFUNCTION("""COMPUTED_VALUE"""),120.0)</f>
        <v>120</v>
      </c>
      <c r="C76" s="32">
        <v>-0.49533641726580885</v>
      </c>
    </row>
    <row r="77">
      <c r="A77" s="27" t="str">
        <f>IFERROR(__xludf.DUMMYFUNCTION("""COMPUTED_VALUE"""),"Memento")</f>
        <v>Memento</v>
      </c>
      <c r="B77" s="27">
        <f>IFERROR(__xludf.DUMMYFUNCTION("""COMPUTED_VALUE"""),113.0)</f>
        <v>113</v>
      </c>
      <c r="C77" s="32">
        <v>-0.7338064943538876</v>
      </c>
    </row>
    <row r="78">
      <c r="A78" s="27" t="str">
        <f>IFERROR(__xludf.DUMMYFUNCTION("""COMPUTED_VALUE"""),"Princess Mononoke")</f>
        <v>Princess Mononoke</v>
      </c>
      <c r="B78" s="27">
        <f>IFERROR(__xludf.DUMMYFUNCTION("""COMPUTED_VALUE"""),134.0)</f>
        <v>134</v>
      </c>
      <c r="C78" s="32">
        <v>-0.01839626308965151</v>
      </c>
    </row>
    <row r="79">
      <c r="A79" s="27" t="str">
        <f>IFERROR(__xludf.DUMMYFUNCTION("""COMPUTED_VALUE"""),"Once Upon a Time in America")</f>
        <v>Once Upon a Time in America</v>
      </c>
      <c r="B79" s="27">
        <f>IFERROR(__xludf.DUMMYFUNCTION("""COMPUTED_VALUE"""),229.0)</f>
        <v>229</v>
      </c>
      <c r="C79" s="32">
        <v>3.2179833545342733</v>
      </c>
    </row>
    <row r="80">
      <c r="A80" s="27" t="str">
        <f>IFERROR(__xludf.DUMMYFUNCTION("""COMPUTED_VALUE"""),"Raiders of the Lost Ark")</f>
        <v>Raiders of the Lost Ark</v>
      </c>
      <c r="B80" s="27">
        <f>IFERROR(__xludf.DUMMYFUNCTION("""COMPUTED_VALUE"""),115.0)</f>
        <v>115</v>
      </c>
      <c r="C80" s="32">
        <v>-0.6656721866144365</v>
      </c>
    </row>
    <row r="81">
      <c r="A81" s="27" t="str">
        <f>IFERROR(__xludf.DUMMYFUNCTION("""COMPUTED_VALUE"""),"The Shining")</f>
        <v>The Shining</v>
      </c>
      <c r="B81" s="27">
        <f>IFERROR(__xludf.DUMMYFUNCTION("""COMPUTED_VALUE"""),146.0)</f>
        <v>146</v>
      </c>
      <c r="C81" s="32">
        <v>0.3904095833470548</v>
      </c>
    </row>
    <row r="82">
      <c r="A82" s="27" t="str">
        <f>IFERROR(__xludf.DUMMYFUNCTION("""COMPUTED_VALUE"""),"Apocalypse Now")</f>
        <v>Apocalypse Now</v>
      </c>
      <c r="B82" s="27">
        <f>IFERROR(__xludf.DUMMYFUNCTION("""COMPUTED_VALUE"""),147.0)</f>
        <v>147</v>
      </c>
      <c r="C82" s="32">
        <v>0.4244767372167803</v>
      </c>
    </row>
    <row r="83">
      <c r="A83" s="27" t="str">
        <f>IFERROR(__xludf.DUMMYFUNCTION("""COMPUTED_VALUE"""),"Alien")</f>
        <v>Alien</v>
      </c>
      <c r="B83" s="27">
        <f>IFERROR(__xludf.DUMMYFUNCTION("""COMPUTED_VALUE"""),117.0)</f>
        <v>117</v>
      </c>
      <c r="C83" s="32">
        <v>-0.5975378788749854</v>
      </c>
    </row>
    <row r="84">
      <c r="A84" s="27" t="str">
        <f>IFERROR(__xludf.DUMMYFUNCTION("""COMPUTED_VALUE"""),"High and Low")</f>
        <v>High and Low</v>
      </c>
      <c r="B84" s="27">
        <f>IFERROR(__xludf.DUMMYFUNCTION("""COMPUTED_VALUE"""),143.0)</f>
        <v>143</v>
      </c>
      <c r="C84" s="32">
        <v>0.28820812173787824</v>
      </c>
    </row>
    <row r="85">
      <c r="A85" s="27" t="str">
        <f>IFERROR(__xludf.DUMMYFUNCTION("""COMPUTED_VALUE"""),"Dr. Strangelove or: How I Learned to Stop Worrying and Love the Bomb")</f>
        <v>Dr. Strangelove or: How I Learned to Stop Worrying and Love the Bomb</v>
      </c>
      <c r="B85" s="27">
        <f>IFERROR(__xludf.DUMMYFUNCTION("""COMPUTED_VALUE"""),95.0)</f>
        <v>95</v>
      </c>
      <c r="C85" s="32">
        <v>-1.347015264008947</v>
      </c>
    </row>
    <row r="86">
      <c r="A86" s="27" t="str">
        <f>IFERROR(__xludf.DUMMYFUNCTION("""COMPUTED_VALUE"""),"Witness for the Prosecution")</f>
        <v>Witness for the Prosecution</v>
      </c>
      <c r="B86" s="27">
        <f>IFERROR(__xludf.DUMMYFUNCTION("""COMPUTED_VALUE"""),116.0)</f>
        <v>116</v>
      </c>
      <c r="C86" s="32">
        <v>-0.631605032744711</v>
      </c>
    </row>
    <row r="87">
      <c r="A87" s="27" t="str">
        <f>IFERROR(__xludf.DUMMYFUNCTION("""COMPUTED_VALUE"""),"Paths of Glory")</f>
        <v>Paths of Glory</v>
      </c>
      <c r="B87" s="27">
        <f>IFERROR(__xludf.DUMMYFUNCTION("""COMPUTED_VALUE"""),88.0)</f>
        <v>88</v>
      </c>
      <c r="C87" s="32">
        <v>-1.5854853410970258</v>
      </c>
    </row>
    <row r="88">
      <c r="A88" s="27" t="str">
        <f>IFERROR(__xludf.DUMMYFUNCTION("""COMPUTED_VALUE"""),"Rear Window")</f>
        <v>Rear Window</v>
      </c>
      <c r="B88" s="27">
        <f>IFERROR(__xludf.DUMMYFUNCTION("""COMPUTED_VALUE"""),112.0)</f>
        <v>112</v>
      </c>
      <c r="C88" s="32">
        <v>-0.767873648223613</v>
      </c>
    </row>
    <row r="89">
      <c r="A89" s="27" t="str">
        <f>IFERROR(__xludf.DUMMYFUNCTION("""COMPUTED_VALUE"""),"Sunset Blvd.")</f>
        <v>Sunset Blvd.</v>
      </c>
      <c r="B89" s="27">
        <f>IFERROR(__xludf.DUMMYFUNCTION("""COMPUTED_VALUE"""),110.0)</f>
        <v>110</v>
      </c>
      <c r="C89" s="32">
        <v>-0.8360079559630641</v>
      </c>
    </row>
    <row r="90">
      <c r="A90" s="27" t="str">
        <f>IFERROR(__xludf.DUMMYFUNCTION("""COMPUTED_VALUE"""),"The Great Dictator")</f>
        <v>The Great Dictator</v>
      </c>
      <c r="B90" s="27">
        <f>IFERROR(__xludf.DUMMYFUNCTION("""COMPUTED_VALUE"""),125.0)</f>
        <v>125</v>
      </c>
      <c r="C90" s="32">
        <v>-0.32500064791718125</v>
      </c>
    </row>
    <row r="91">
      <c r="A91" s="27" t="str">
        <f>IFERROR(__xludf.DUMMYFUNCTION("""COMPUTED_VALUE"""),"1917")</f>
        <v>1917</v>
      </c>
      <c r="B91" s="27">
        <f>IFERROR(__xludf.DUMMYFUNCTION("""COMPUTED_VALUE"""),119.0)</f>
        <v>119</v>
      </c>
      <c r="C91" s="32">
        <v>-0.5294035711355344</v>
      </c>
    </row>
    <row r="92">
      <c r="A92" s="27" t="str">
        <f>IFERROR(__xludf.DUMMYFUNCTION("""COMPUTED_VALUE"""),"Uri: The Surgical Strike")</f>
        <v>Uri: The Surgical Strike</v>
      </c>
      <c r="B92" s="27">
        <f>IFERROR(__xludf.DUMMYFUNCTION("""COMPUTED_VALUE"""),138.0)</f>
        <v>138</v>
      </c>
      <c r="C92" s="32">
        <v>0.11787235238925059</v>
      </c>
    </row>
    <row r="93">
      <c r="A93" s="27" t="str">
        <f>IFERROR(__xludf.DUMMYFUNCTION("""COMPUTED_VALUE"""),"Tumbbad")</f>
        <v>Tumbbad</v>
      </c>
      <c r="B93" s="27">
        <f>IFERROR(__xludf.DUMMYFUNCTION("""COMPUTED_VALUE"""),104.0)</f>
        <v>104</v>
      </c>
      <c r="C93" s="32">
        <v>-1.0404108791814173</v>
      </c>
    </row>
    <row r="94">
      <c r="A94" s="27" t="str">
        <f>IFERROR(__xludf.DUMMYFUNCTION("""COMPUTED_VALUE"""),"Andhadhun")</f>
        <v>Andhadhun</v>
      </c>
      <c r="B94" s="27">
        <f>IFERROR(__xludf.DUMMYFUNCTION("""COMPUTED_VALUE"""),139.0)</f>
        <v>139</v>
      </c>
      <c r="C94" s="32">
        <v>0.15193950625897612</v>
      </c>
    </row>
    <row r="95">
      <c r="A95" s="27" t="str">
        <f>IFERROR(__xludf.DUMMYFUNCTION("""COMPUTED_VALUE"""),"Drishyam")</f>
        <v>Drishyam</v>
      </c>
      <c r="B95" s="27">
        <f>IFERROR(__xludf.DUMMYFUNCTION("""COMPUTED_VALUE"""),160.0)</f>
        <v>160</v>
      </c>
      <c r="C95" s="32">
        <v>0.8673497375232122</v>
      </c>
    </row>
    <row r="96">
      <c r="A96" s="27" t="str">
        <f>IFERROR(__xludf.DUMMYFUNCTION("""COMPUTED_VALUE"""),"The Hunt")</f>
        <v>The Hunt</v>
      </c>
      <c r="B96" s="27">
        <f>IFERROR(__xludf.DUMMYFUNCTION("""COMPUTED_VALUE"""),115.0)</f>
        <v>115</v>
      </c>
      <c r="C96" s="32">
        <v>-0.6656721866144365</v>
      </c>
    </row>
    <row r="97">
      <c r="A97" s="27" t="str">
        <f>IFERROR(__xludf.DUMMYFUNCTION("""COMPUTED_VALUE"""),"A Separation")</f>
        <v>A Separation</v>
      </c>
      <c r="B97" s="27">
        <f>IFERROR(__xludf.DUMMYFUNCTION("""COMPUTED_VALUE"""),123.0)</f>
        <v>123</v>
      </c>
      <c r="C97" s="32">
        <v>-0.3931349556566323</v>
      </c>
    </row>
    <row r="98">
      <c r="A98" s="27" t="str">
        <f>IFERROR(__xludf.DUMMYFUNCTION("""COMPUTED_VALUE"""),"Incendies")</f>
        <v>Incendies</v>
      </c>
      <c r="B98" s="27">
        <f>IFERROR(__xludf.DUMMYFUNCTION("""COMPUTED_VALUE"""),131.0)</f>
        <v>131</v>
      </c>
      <c r="C98" s="32">
        <v>-0.1205977246988281</v>
      </c>
    </row>
    <row r="99">
      <c r="A99" s="27" t="str">
        <f>IFERROR(__xludf.DUMMYFUNCTION("""COMPUTED_VALUE"""),"Yedinci Kogustaki Mucize")</f>
        <v>Yedinci Kogustaki Mucize</v>
      </c>
      <c r="B99" s="27">
        <f>IFERROR(__xludf.DUMMYFUNCTION("""COMPUTED_VALUE"""),132.0)</f>
        <v>132</v>
      </c>
      <c r="C99" s="32">
        <v>-0.08653057082910257</v>
      </c>
    </row>
    <row r="100">
      <c r="A100" s="27" t="str">
        <f>IFERROR(__xludf.DUMMYFUNCTION("""COMPUTED_VALUE"""),"Babam ve Oglum")</f>
        <v>Babam ve Oglum</v>
      </c>
      <c r="B100" s="27">
        <f>IFERROR(__xludf.DUMMYFUNCTION("""COMPUTED_VALUE"""),112.0)</f>
        <v>112</v>
      </c>
      <c r="C100" s="32">
        <v>-0.767873648223613</v>
      </c>
    </row>
    <row r="101">
      <c r="A101" s="27" t="str">
        <f>IFERROR(__xludf.DUMMYFUNCTION("""COMPUTED_VALUE"""),"Toy Story 3")</f>
        <v>Toy Story 3</v>
      </c>
      <c r="B101" s="27">
        <f>IFERROR(__xludf.DUMMYFUNCTION("""COMPUTED_VALUE"""),103.0)</f>
        <v>103</v>
      </c>
      <c r="C101" s="32">
        <v>-1.0744780330511428</v>
      </c>
    </row>
    <row r="102">
      <c r="A102" s="27" t="str">
        <f>IFERROR(__xludf.DUMMYFUNCTION("""COMPUTED_VALUE"""),"Inglourious Basterds")</f>
        <v>Inglourious Basterds</v>
      </c>
      <c r="B102" s="27">
        <f>IFERROR(__xludf.DUMMYFUNCTION("""COMPUTED_VALUE"""),153.0)</f>
        <v>153</v>
      </c>
      <c r="C102" s="32">
        <v>0.6288796604351334</v>
      </c>
    </row>
    <row r="103">
      <c r="A103" s="27" t="str">
        <f>IFERROR(__xludf.DUMMYFUNCTION("""COMPUTED_VALUE"""),"Eternal Sunshine of the Spotless Mind")</f>
        <v>Eternal Sunshine of the Spotless Mind</v>
      </c>
      <c r="B103" s="27">
        <f>IFERROR(__xludf.DUMMYFUNCTION("""COMPUTED_VALUE"""),108.0)</f>
        <v>108</v>
      </c>
      <c r="C103" s="32">
        <v>-0.9041422637025152</v>
      </c>
    </row>
    <row r="104">
      <c r="A104" s="27" t="str">
        <f>IFERROR(__xludf.DUMMYFUNCTION("""COMPUTED_VALUE"""),"Amélie")</f>
        <v>Amélie</v>
      </c>
      <c r="B104" s="27">
        <f>IFERROR(__xludf.DUMMYFUNCTION("""COMPUTED_VALUE"""),122.0)</f>
        <v>122</v>
      </c>
      <c r="C104" s="32">
        <v>-0.42720210952635784</v>
      </c>
    </row>
    <row r="105">
      <c r="A105" s="27" t="str">
        <f>IFERROR(__xludf.DUMMYFUNCTION("""COMPUTED_VALUE"""),"Snatch")</f>
        <v>Snatch</v>
      </c>
      <c r="B105" s="27">
        <f>IFERROR(__xludf.DUMMYFUNCTION("""COMPUTED_VALUE"""),102.0)</f>
        <v>102</v>
      </c>
      <c r="C105" s="32">
        <v>-1.1085451869208682</v>
      </c>
    </row>
    <row r="106">
      <c r="A106" s="27" t="str">
        <f>IFERROR(__xludf.DUMMYFUNCTION("""COMPUTED_VALUE"""),"Requiem for a Dream")</f>
        <v>Requiem for a Dream</v>
      </c>
      <c r="B106" s="27">
        <f>IFERROR(__xludf.DUMMYFUNCTION("""COMPUTED_VALUE"""),102.0)</f>
        <v>102</v>
      </c>
      <c r="C106" s="32">
        <v>-1.1085451869208682</v>
      </c>
    </row>
    <row r="107">
      <c r="A107" s="27" t="str">
        <f>IFERROR(__xludf.DUMMYFUNCTION("""COMPUTED_VALUE"""),"American Beauty")</f>
        <v>American Beauty</v>
      </c>
      <c r="B107" s="27">
        <f>IFERROR(__xludf.DUMMYFUNCTION("""COMPUTED_VALUE"""),122.0)</f>
        <v>122</v>
      </c>
      <c r="C107" s="32">
        <v>-0.42720210952635784</v>
      </c>
    </row>
    <row r="108">
      <c r="A108" s="27" t="str">
        <f>IFERROR(__xludf.DUMMYFUNCTION("""COMPUTED_VALUE"""),"Good Will Hunting")</f>
        <v>Good Will Hunting</v>
      </c>
      <c r="B108" s="27">
        <f>IFERROR(__xludf.DUMMYFUNCTION("""COMPUTED_VALUE"""),126.0)</f>
        <v>126</v>
      </c>
      <c r="C108" s="32">
        <v>-0.2909334940474557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8" t="s">
        <v>242</v>
      </c>
      <c r="B1" s="39" t="s">
        <v>243</v>
      </c>
      <c r="C1" s="39" t="s">
        <v>244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0">
        <v>-4.0</v>
      </c>
      <c r="B2" s="41"/>
      <c r="C2" s="41"/>
      <c r="D2" s="2"/>
      <c r="E2" s="4" t="s">
        <v>245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0">
        <v>-3.8</v>
      </c>
      <c r="B3" s="41"/>
      <c r="C3" s="4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0">
        <v>-3.6</v>
      </c>
      <c r="B4" s="41"/>
      <c r="C4" s="4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0">
        <v>-3.4</v>
      </c>
      <c r="B5" s="41"/>
      <c r="C5" s="41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0">
        <v>-3.2</v>
      </c>
      <c r="B6" s="41"/>
      <c r="C6" s="41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0">
        <v>-3.0</v>
      </c>
      <c r="B7" s="41"/>
      <c r="C7" s="4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0">
        <v>-2.8</v>
      </c>
      <c r="B8" s="41"/>
      <c r="C8" s="41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0">
        <v>-2.6</v>
      </c>
      <c r="B9" s="41"/>
      <c r="C9" s="41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0">
        <v>-2.4</v>
      </c>
      <c r="B10" s="41"/>
      <c r="C10" s="41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0">
        <v>-2.2</v>
      </c>
      <c r="B11" s="41"/>
      <c r="C11" s="41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0">
        <v>-2.0</v>
      </c>
      <c r="B12" s="41"/>
      <c r="C12" s="41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0">
        <v>-1.8</v>
      </c>
      <c r="B13" s="41"/>
      <c r="C13" s="41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0">
        <v>-1.6</v>
      </c>
      <c r="B14" s="41"/>
      <c r="C14" s="41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0">
        <v>-1.4</v>
      </c>
      <c r="B15" s="41"/>
      <c r="C15" s="41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0">
        <v>-1.2</v>
      </c>
      <c r="B16" s="41"/>
      <c r="C16" s="41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0">
        <v>-1.0</v>
      </c>
      <c r="B17" s="41"/>
      <c r="C17" s="41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0">
        <v>-0.8</v>
      </c>
      <c r="B18" s="41"/>
      <c r="C18" s="41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0">
        <v>-0.6</v>
      </c>
      <c r="B19" s="41"/>
      <c r="C19" s="4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0">
        <v>-0.4</v>
      </c>
      <c r="B20" s="41"/>
      <c r="C20" s="41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40">
        <v>-0.2</v>
      </c>
      <c r="B21" s="41"/>
      <c r="C21" s="41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40">
        <v>0.0</v>
      </c>
      <c r="B22" s="41"/>
      <c r="C22" s="41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40">
        <v>0.2</v>
      </c>
      <c r="B23" s="41"/>
      <c r="C23" s="41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40">
        <v>0.4</v>
      </c>
      <c r="B24" s="41"/>
      <c r="C24" s="4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40">
        <v>0.600000000000001</v>
      </c>
      <c r="B25" s="41"/>
      <c r="C25" s="41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40">
        <v>0.800000000000001</v>
      </c>
      <c r="B26" s="41"/>
      <c r="C26" s="41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40">
        <v>1.0</v>
      </c>
      <c r="B27" s="41"/>
      <c r="C27" s="41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40">
        <v>1.2</v>
      </c>
      <c r="B28" s="41"/>
      <c r="C28" s="41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40">
        <v>1.4</v>
      </c>
      <c r="B29" s="41"/>
      <c r="C29" s="41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40">
        <v>1.6</v>
      </c>
      <c r="B30" s="41"/>
      <c r="C30" s="41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40">
        <v>1.8</v>
      </c>
      <c r="B31" s="41"/>
      <c r="C31" s="41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40">
        <v>2.0</v>
      </c>
      <c r="B32" s="41"/>
      <c r="C32" s="41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40">
        <v>2.2</v>
      </c>
      <c r="B33" s="41"/>
      <c r="C33" s="41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40">
        <v>2.4</v>
      </c>
      <c r="B34" s="41"/>
      <c r="C34" s="41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40">
        <v>2.6</v>
      </c>
      <c r="B35" s="41"/>
      <c r="C35" s="41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40">
        <v>2.8</v>
      </c>
      <c r="B36" s="41"/>
      <c r="C36" s="41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40">
        <v>3.0</v>
      </c>
      <c r="B37" s="41"/>
      <c r="C37" s="41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40">
        <v>3.2</v>
      </c>
      <c r="B38" s="41"/>
      <c r="C38" s="41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40">
        <v>3.4</v>
      </c>
      <c r="B39" s="41"/>
      <c r="C39" s="41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40">
        <v>3.6</v>
      </c>
      <c r="B40" s="41"/>
      <c r="C40" s="41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40">
        <v>3.8</v>
      </c>
      <c r="B41" s="41"/>
      <c r="C41" s="41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40">
        <v>4.0</v>
      </c>
      <c r="B42" s="41"/>
      <c r="C42" s="41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2" t="s">
        <v>246</v>
      </c>
      <c r="B1" s="19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3" t="s">
        <v>5</v>
      </c>
      <c r="B2" s="19"/>
      <c r="C2" s="2"/>
      <c r="D2" s="1" t="s">
        <v>234</v>
      </c>
      <c r="E2" s="1">
        <v>500.0</v>
      </c>
      <c r="F2" s="1" t="s">
        <v>247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9"/>
      <c r="B3" s="19"/>
      <c r="C3" s="2"/>
      <c r="D3" s="1" t="s">
        <v>235</v>
      </c>
      <c r="E3" s="1">
        <v>30.0</v>
      </c>
      <c r="F3" s="1" t="s">
        <v>247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4"/>
      <c r="B4" s="4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4"/>
      <c r="B5" s="44"/>
      <c r="C5" s="4" t="s">
        <v>248</v>
      </c>
      <c r="D5" s="25" t="s">
        <v>249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4"/>
      <c r="B6" s="44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4"/>
      <c r="B7" s="44"/>
      <c r="C7" s="1" t="s">
        <v>250</v>
      </c>
      <c r="D7" s="2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1">
        <v>1.0</v>
      </c>
      <c r="C8" s="8">
        <f t="shared" ref="C8:C107" si="1">NORMINV(RAND(),$E$2,$E$3)</f>
        <v>484.6270904</v>
      </c>
      <c r="D8" s="2"/>
      <c r="E8" s="45" t="s">
        <v>251</v>
      </c>
      <c r="F8" s="46">
        <f>AVERAGE(C:C)</f>
        <v>507.4956089</v>
      </c>
      <c r="G8" s="1" t="b">
        <v>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7"/>
      <c r="B9" s="1">
        <v>2.0</v>
      </c>
      <c r="C9" s="8">
        <f t="shared" si="1"/>
        <v>514.9115619</v>
      </c>
      <c r="D9" s="47"/>
      <c r="E9" s="45" t="s">
        <v>235</v>
      </c>
      <c r="F9" s="46">
        <f>_xlfn.STDEV.S(C:C)</f>
        <v>28.526548</v>
      </c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>
      <c r="A10" s="2"/>
      <c r="B10" s="1">
        <v>3.0</v>
      </c>
      <c r="C10" s="8">
        <f t="shared" si="1"/>
        <v>559.0544481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1">
        <v>4.0</v>
      </c>
      <c r="C11" s="8">
        <f t="shared" si="1"/>
        <v>510.0729739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1">
        <v>5.0</v>
      </c>
      <c r="C12" s="8">
        <f t="shared" si="1"/>
        <v>530.6278141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1">
        <v>6.0</v>
      </c>
      <c r="C13" s="8">
        <f t="shared" si="1"/>
        <v>497.3617513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1">
        <v>7.0</v>
      </c>
      <c r="C14" s="8">
        <f t="shared" si="1"/>
        <v>486.2257444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1">
        <v>8.0</v>
      </c>
      <c r="C15" s="8">
        <f t="shared" si="1"/>
        <v>515.5380293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1">
        <v>9.0</v>
      </c>
      <c r="C16" s="8">
        <f t="shared" si="1"/>
        <v>519.3224633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1">
        <v>10.0</v>
      </c>
      <c r="C17" s="8">
        <f t="shared" si="1"/>
        <v>449.4641736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1">
        <v>11.0</v>
      </c>
      <c r="C18" s="8">
        <f t="shared" si="1"/>
        <v>483.271939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1">
        <v>12.0</v>
      </c>
      <c r="C19" s="8">
        <f t="shared" si="1"/>
        <v>481.2966213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1">
        <v>13.0</v>
      </c>
      <c r="C20" s="8">
        <f t="shared" si="1"/>
        <v>528.9730897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1">
        <v>14.0</v>
      </c>
      <c r="C21" s="8">
        <f t="shared" si="1"/>
        <v>526.6729478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1">
        <v>15.0</v>
      </c>
      <c r="C22" s="8">
        <f t="shared" si="1"/>
        <v>535.7456957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1">
        <v>16.0</v>
      </c>
      <c r="C23" s="8">
        <f t="shared" si="1"/>
        <v>540.0685741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1">
        <v>17.0</v>
      </c>
      <c r="C24" s="8">
        <f t="shared" si="1"/>
        <v>484.4705205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1">
        <v>18.0</v>
      </c>
      <c r="C25" s="8">
        <f t="shared" si="1"/>
        <v>490.5229714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1">
        <v>19.0</v>
      </c>
      <c r="C26" s="8">
        <f t="shared" si="1"/>
        <v>490.7766033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1">
        <v>20.0</v>
      </c>
      <c r="C27" s="8">
        <f t="shared" si="1"/>
        <v>587.5990103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1">
        <v>21.0</v>
      </c>
      <c r="C28" s="8">
        <f t="shared" si="1"/>
        <v>511.9638621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1">
        <v>22.0</v>
      </c>
      <c r="C29" s="8">
        <f t="shared" si="1"/>
        <v>517.1788642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1">
        <v>23.0</v>
      </c>
      <c r="C30" s="8">
        <f t="shared" si="1"/>
        <v>542.6711962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1">
        <v>24.0</v>
      </c>
      <c r="C31" s="8">
        <f t="shared" si="1"/>
        <v>506.2342362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1">
        <v>25.0</v>
      </c>
      <c r="C32" s="8">
        <f t="shared" si="1"/>
        <v>502.7179956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1">
        <v>26.0</v>
      </c>
      <c r="C33" s="8">
        <f t="shared" si="1"/>
        <v>477.0853153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1">
        <v>27.0</v>
      </c>
      <c r="C34" s="8">
        <f t="shared" si="1"/>
        <v>440.6851295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1">
        <v>28.0</v>
      </c>
      <c r="C35" s="8">
        <f t="shared" si="1"/>
        <v>522.8634872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1">
        <v>29.0</v>
      </c>
      <c r="C36" s="8">
        <f t="shared" si="1"/>
        <v>526.5378625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1">
        <v>30.0</v>
      </c>
      <c r="C37" s="8">
        <f t="shared" si="1"/>
        <v>505.0779122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1">
        <v>31.0</v>
      </c>
      <c r="C38" s="8">
        <f t="shared" si="1"/>
        <v>414.7362079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1">
        <v>32.0</v>
      </c>
      <c r="C39" s="8">
        <f t="shared" si="1"/>
        <v>501.688614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1">
        <v>33.0</v>
      </c>
      <c r="C40" s="8">
        <f t="shared" si="1"/>
        <v>529.7767207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1">
        <v>34.0</v>
      </c>
      <c r="C41" s="8">
        <f t="shared" si="1"/>
        <v>557.6033843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1">
        <v>35.0</v>
      </c>
      <c r="C42" s="8">
        <f t="shared" si="1"/>
        <v>568.9906033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1">
        <v>36.0</v>
      </c>
      <c r="C43" s="8">
        <f t="shared" si="1"/>
        <v>488.5240659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1">
        <v>37.0</v>
      </c>
      <c r="C44" s="8">
        <f t="shared" si="1"/>
        <v>516.4368338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1">
        <v>38.0</v>
      </c>
      <c r="C45" s="8">
        <f t="shared" si="1"/>
        <v>511.0254929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1">
        <v>39.0</v>
      </c>
      <c r="C46" s="8">
        <f t="shared" si="1"/>
        <v>503.9465489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1">
        <v>40.0</v>
      </c>
      <c r="C47" s="8">
        <f t="shared" si="1"/>
        <v>521.2090961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1">
        <v>41.0</v>
      </c>
      <c r="C48" s="8">
        <f t="shared" si="1"/>
        <v>499.9498477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1">
        <v>42.0</v>
      </c>
      <c r="C49" s="8">
        <f t="shared" si="1"/>
        <v>454.2503542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1">
        <v>43.0</v>
      </c>
      <c r="C50" s="8">
        <f t="shared" si="1"/>
        <v>487.0805579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1">
        <v>44.0</v>
      </c>
      <c r="C51" s="8">
        <f t="shared" si="1"/>
        <v>536.9355405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1">
        <v>45.0</v>
      </c>
      <c r="C52" s="8">
        <f t="shared" si="1"/>
        <v>484.1934426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1">
        <v>46.0</v>
      </c>
      <c r="C53" s="8">
        <f t="shared" si="1"/>
        <v>492.7842658</v>
      </c>
      <c r="D53" s="2"/>
      <c r="E53" s="2"/>
      <c r="F53" s="2"/>
      <c r="G53" s="2"/>
      <c r="H53" s="2"/>
      <c r="I53" s="2"/>
      <c r="J53" s="2"/>
      <c r="K53" s="2"/>
      <c r="L53" s="2"/>
      <c r="M53" s="47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1">
        <v>47.0</v>
      </c>
      <c r="C54" s="8">
        <f t="shared" si="1"/>
        <v>489.4761738</v>
      </c>
      <c r="D54" s="2"/>
      <c r="E54" s="2"/>
      <c r="F54" s="2"/>
      <c r="G54" s="2"/>
      <c r="H54" s="2"/>
      <c r="I54" s="2"/>
      <c r="J54" s="2"/>
      <c r="K54" s="2"/>
      <c r="L54" s="2"/>
      <c r="M54" s="47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1">
        <v>48.0</v>
      </c>
      <c r="C55" s="8">
        <f t="shared" si="1"/>
        <v>498.1279623</v>
      </c>
      <c r="D55" s="2"/>
      <c r="E55" s="2"/>
      <c r="F55" s="2"/>
      <c r="G55" s="2"/>
      <c r="H55" s="2"/>
      <c r="I55" s="2"/>
      <c r="J55" s="2"/>
      <c r="K55" s="2"/>
      <c r="L55" s="2"/>
      <c r="M55" s="47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1">
        <v>49.0</v>
      </c>
      <c r="C56" s="8">
        <f t="shared" si="1"/>
        <v>522.1749076</v>
      </c>
      <c r="D56" s="2"/>
      <c r="E56" s="2"/>
      <c r="F56" s="2"/>
      <c r="G56" s="2"/>
      <c r="H56" s="2"/>
      <c r="I56" s="2"/>
      <c r="J56" s="2"/>
      <c r="K56" s="2"/>
      <c r="L56" s="2"/>
      <c r="M56" s="47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1">
        <v>50.0</v>
      </c>
      <c r="C57" s="8">
        <f t="shared" si="1"/>
        <v>500.9842743</v>
      </c>
      <c r="D57" s="2"/>
      <c r="E57" s="2"/>
      <c r="F57" s="2"/>
      <c r="G57" s="2"/>
      <c r="H57" s="2"/>
      <c r="I57" s="2"/>
      <c r="J57" s="2"/>
      <c r="K57" s="2"/>
      <c r="L57" s="2"/>
      <c r="M57" s="47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1">
        <v>51.0</v>
      </c>
      <c r="C58" s="8">
        <f t="shared" si="1"/>
        <v>533.2319034</v>
      </c>
      <c r="D58" s="2"/>
      <c r="E58" s="2"/>
      <c r="F58" s="2"/>
      <c r="G58" s="2"/>
      <c r="H58" s="2"/>
      <c r="I58" s="2"/>
      <c r="J58" s="2"/>
      <c r="K58" s="2"/>
      <c r="L58" s="2"/>
      <c r="M58" s="47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1">
        <v>52.0</v>
      </c>
      <c r="C59" s="8">
        <f t="shared" si="1"/>
        <v>495.1406903</v>
      </c>
      <c r="D59" s="2"/>
      <c r="E59" s="2"/>
      <c r="F59" s="2"/>
      <c r="G59" s="2"/>
      <c r="H59" s="2"/>
      <c r="I59" s="2"/>
      <c r="J59" s="2"/>
      <c r="K59" s="2"/>
      <c r="L59" s="2"/>
      <c r="M59" s="47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1">
        <v>53.0</v>
      </c>
      <c r="C60" s="8">
        <f t="shared" si="1"/>
        <v>506.4960008</v>
      </c>
      <c r="D60" s="2"/>
      <c r="E60" s="2"/>
      <c r="F60" s="2"/>
      <c r="G60" s="2"/>
      <c r="H60" s="2"/>
      <c r="I60" s="2"/>
      <c r="J60" s="2"/>
      <c r="K60" s="2"/>
      <c r="L60" s="2"/>
      <c r="M60" s="47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1">
        <v>54.0</v>
      </c>
      <c r="C61" s="8">
        <f t="shared" si="1"/>
        <v>526.3721543</v>
      </c>
      <c r="D61" s="2"/>
      <c r="E61" s="2"/>
      <c r="F61" s="2"/>
      <c r="G61" s="2"/>
      <c r="H61" s="2"/>
      <c r="I61" s="2"/>
      <c r="J61" s="2"/>
      <c r="K61" s="2"/>
      <c r="L61" s="2"/>
      <c r="M61" s="47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1">
        <v>55.0</v>
      </c>
      <c r="C62" s="8">
        <f t="shared" si="1"/>
        <v>495.9252643</v>
      </c>
      <c r="D62" s="2"/>
      <c r="E62" s="2"/>
      <c r="F62" s="2"/>
      <c r="G62" s="2"/>
      <c r="H62" s="2"/>
      <c r="I62" s="2"/>
      <c r="J62" s="2"/>
      <c r="K62" s="2"/>
      <c r="L62" s="2"/>
      <c r="M62" s="47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1">
        <v>56.0</v>
      </c>
      <c r="C63" s="8">
        <f t="shared" si="1"/>
        <v>460.6221517</v>
      </c>
      <c r="D63" s="2"/>
      <c r="E63" s="2"/>
      <c r="F63" s="2"/>
      <c r="G63" s="2"/>
      <c r="H63" s="2"/>
      <c r="I63" s="2"/>
      <c r="J63" s="2"/>
      <c r="K63" s="2"/>
      <c r="L63" s="2"/>
      <c r="M63" s="47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1">
        <v>57.0</v>
      </c>
      <c r="C64" s="8">
        <f t="shared" si="1"/>
        <v>542.7305762</v>
      </c>
      <c r="D64" s="2"/>
      <c r="E64" s="2"/>
      <c r="F64" s="2"/>
      <c r="G64" s="2"/>
      <c r="H64" s="2"/>
      <c r="I64" s="2"/>
      <c r="J64" s="2"/>
      <c r="K64" s="2"/>
      <c r="L64" s="2"/>
      <c r="M64" s="47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1">
        <v>58.0</v>
      </c>
      <c r="C65" s="8">
        <f t="shared" si="1"/>
        <v>561.9626447</v>
      </c>
      <c r="D65" s="2"/>
      <c r="E65" s="2"/>
      <c r="F65" s="2"/>
      <c r="G65" s="2"/>
      <c r="H65" s="2"/>
      <c r="I65" s="2"/>
      <c r="J65" s="2"/>
      <c r="K65" s="2"/>
      <c r="L65" s="2"/>
      <c r="M65" s="47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1">
        <v>59.0</v>
      </c>
      <c r="C66" s="8">
        <f t="shared" si="1"/>
        <v>500.2680052</v>
      </c>
      <c r="D66" s="2"/>
      <c r="E66" s="2"/>
      <c r="F66" s="2"/>
      <c r="G66" s="2"/>
      <c r="H66" s="2"/>
      <c r="I66" s="2"/>
      <c r="J66" s="2"/>
      <c r="K66" s="2"/>
      <c r="L66" s="2"/>
      <c r="M66" s="47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1">
        <v>60.0</v>
      </c>
      <c r="C67" s="8">
        <f t="shared" si="1"/>
        <v>514.122969</v>
      </c>
      <c r="D67" s="2"/>
      <c r="E67" s="2"/>
      <c r="F67" s="2"/>
      <c r="G67" s="2"/>
      <c r="H67" s="2"/>
      <c r="I67" s="2"/>
      <c r="J67" s="2"/>
      <c r="K67" s="2"/>
      <c r="L67" s="2"/>
      <c r="M67" s="47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1">
        <v>61.0</v>
      </c>
      <c r="C68" s="8">
        <f t="shared" si="1"/>
        <v>500.7555309</v>
      </c>
      <c r="D68" s="2"/>
      <c r="E68" s="2"/>
      <c r="F68" s="2"/>
      <c r="G68" s="2"/>
      <c r="H68" s="2"/>
      <c r="I68" s="2"/>
      <c r="J68" s="2"/>
      <c r="K68" s="2"/>
      <c r="L68" s="2"/>
      <c r="M68" s="47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1">
        <v>62.0</v>
      </c>
      <c r="C69" s="8">
        <f t="shared" si="1"/>
        <v>499.0720466</v>
      </c>
      <c r="D69" s="2"/>
      <c r="E69" s="2"/>
      <c r="F69" s="2"/>
      <c r="G69" s="2"/>
      <c r="H69" s="2"/>
      <c r="I69" s="2"/>
      <c r="J69" s="2"/>
      <c r="K69" s="2"/>
      <c r="L69" s="2"/>
      <c r="M69" s="47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1">
        <v>63.0</v>
      </c>
      <c r="C70" s="8">
        <f t="shared" si="1"/>
        <v>510.0735653</v>
      </c>
      <c r="D70" s="2"/>
      <c r="E70" s="2"/>
      <c r="F70" s="2"/>
      <c r="G70" s="2"/>
      <c r="H70" s="2"/>
      <c r="I70" s="2"/>
      <c r="J70" s="2"/>
      <c r="K70" s="2"/>
      <c r="L70" s="2"/>
      <c r="M70" s="47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1">
        <v>64.0</v>
      </c>
      <c r="C71" s="8">
        <f t="shared" si="1"/>
        <v>516.9055194</v>
      </c>
      <c r="D71" s="2"/>
      <c r="E71" s="2"/>
      <c r="F71" s="2"/>
      <c r="G71" s="2"/>
      <c r="H71" s="2"/>
      <c r="I71" s="2"/>
      <c r="J71" s="2"/>
      <c r="K71" s="2"/>
      <c r="L71" s="2"/>
      <c r="M71" s="47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1">
        <v>65.0</v>
      </c>
      <c r="C72" s="8">
        <f t="shared" si="1"/>
        <v>495.332598</v>
      </c>
      <c r="D72" s="2"/>
      <c r="E72" s="2"/>
      <c r="F72" s="2"/>
      <c r="G72" s="2"/>
      <c r="H72" s="2"/>
      <c r="I72" s="2"/>
      <c r="J72" s="2"/>
      <c r="K72" s="2"/>
      <c r="L72" s="2"/>
      <c r="M72" s="47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1">
        <v>66.0</v>
      </c>
      <c r="C73" s="8">
        <f t="shared" si="1"/>
        <v>527.3415299</v>
      </c>
      <c r="D73" s="2"/>
      <c r="E73" s="2"/>
      <c r="F73" s="2"/>
      <c r="G73" s="2"/>
      <c r="H73" s="2"/>
      <c r="I73" s="2"/>
      <c r="J73" s="2"/>
      <c r="K73" s="2"/>
      <c r="L73" s="2"/>
      <c r="M73" s="47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1">
        <v>67.0</v>
      </c>
      <c r="C74" s="8">
        <f t="shared" si="1"/>
        <v>500.6295454</v>
      </c>
      <c r="D74" s="2"/>
      <c r="E74" s="2"/>
      <c r="F74" s="2"/>
      <c r="G74" s="2"/>
      <c r="H74" s="2"/>
      <c r="I74" s="2"/>
      <c r="J74" s="2"/>
      <c r="K74" s="2"/>
      <c r="L74" s="2"/>
      <c r="M74" s="47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1">
        <v>68.0</v>
      </c>
      <c r="C75" s="8">
        <f t="shared" si="1"/>
        <v>535.0293879</v>
      </c>
      <c r="D75" s="2"/>
      <c r="E75" s="2"/>
      <c r="F75" s="2"/>
      <c r="G75" s="2"/>
      <c r="H75" s="2"/>
      <c r="I75" s="2"/>
      <c r="J75" s="2"/>
      <c r="K75" s="2"/>
      <c r="L75" s="2"/>
      <c r="M75" s="47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1">
        <v>69.0</v>
      </c>
      <c r="C76" s="8">
        <f t="shared" si="1"/>
        <v>451.4809119</v>
      </c>
      <c r="D76" s="2"/>
      <c r="E76" s="2"/>
      <c r="F76" s="2"/>
      <c r="G76" s="2"/>
      <c r="H76" s="2"/>
      <c r="I76" s="2"/>
      <c r="J76" s="2"/>
      <c r="K76" s="2"/>
      <c r="L76" s="2"/>
      <c r="M76" s="47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1">
        <v>70.0</v>
      </c>
      <c r="C77" s="8">
        <f t="shared" si="1"/>
        <v>530.1685872</v>
      </c>
      <c r="D77" s="2"/>
      <c r="E77" s="2"/>
      <c r="F77" s="2"/>
      <c r="G77" s="2"/>
      <c r="H77" s="2"/>
      <c r="I77" s="2"/>
      <c r="J77" s="2"/>
      <c r="K77" s="2"/>
      <c r="L77" s="2"/>
      <c r="M77" s="47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1">
        <v>71.0</v>
      </c>
      <c r="C78" s="8">
        <f t="shared" si="1"/>
        <v>500.7189332</v>
      </c>
      <c r="D78" s="2"/>
      <c r="E78" s="2"/>
      <c r="F78" s="2"/>
      <c r="G78" s="2"/>
      <c r="H78" s="2"/>
      <c r="I78" s="2"/>
      <c r="J78" s="2"/>
      <c r="K78" s="2"/>
      <c r="L78" s="2"/>
      <c r="M78" s="47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1">
        <v>72.0</v>
      </c>
      <c r="C79" s="8">
        <f t="shared" si="1"/>
        <v>477.5559307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1">
        <v>73.0</v>
      </c>
      <c r="C80" s="8">
        <f t="shared" si="1"/>
        <v>522.1998447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1">
        <v>74.0</v>
      </c>
      <c r="C81" s="8">
        <f t="shared" si="1"/>
        <v>527.6559081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1">
        <v>75.0</v>
      </c>
      <c r="C82" s="8">
        <f t="shared" si="1"/>
        <v>531.1597669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1">
        <v>76.0</v>
      </c>
      <c r="C83" s="8">
        <f t="shared" si="1"/>
        <v>533.0545325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1">
        <v>77.0</v>
      </c>
      <c r="C84" s="8">
        <f t="shared" si="1"/>
        <v>506.2972692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1">
        <v>78.0</v>
      </c>
      <c r="C85" s="8">
        <f t="shared" si="1"/>
        <v>495.0664929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1">
        <v>79.0</v>
      </c>
      <c r="C86" s="8">
        <f t="shared" si="1"/>
        <v>506.336421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1">
        <v>80.0</v>
      </c>
      <c r="C87" s="8">
        <f t="shared" si="1"/>
        <v>528.1096482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1">
        <v>81.0</v>
      </c>
      <c r="C88" s="8">
        <f t="shared" si="1"/>
        <v>489.0321305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1">
        <v>82.0</v>
      </c>
      <c r="C89" s="8">
        <f t="shared" si="1"/>
        <v>509.40997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1">
        <v>83.0</v>
      </c>
      <c r="C90" s="8">
        <f t="shared" si="1"/>
        <v>472.564339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1">
        <v>84.0</v>
      </c>
      <c r="C91" s="8">
        <f t="shared" si="1"/>
        <v>499.3908504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1">
        <v>85.0</v>
      </c>
      <c r="C92" s="8">
        <f t="shared" si="1"/>
        <v>521.2025774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1">
        <v>86.0</v>
      </c>
      <c r="C93" s="8">
        <f t="shared" si="1"/>
        <v>475.0573127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1">
        <v>87.0</v>
      </c>
      <c r="C94" s="8">
        <f t="shared" si="1"/>
        <v>519.9397279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1">
        <v>88.0</v>
      </c>
      <c r="C95" s="8">
        <f t="shared" si="1"/>
        <v>519.244124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1">
        <v>89.0</v>
      </c>
      <c r="C96" s="8">
        <f t="shared" si="1"/>
        <v>525.6172497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1">
        <v>90.0</v>
      </c>
      <c r="C97" s="8">
        <f t="shared" si="1"/>
        <v>552.1501306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1">
        <v>91.0</v>
      </c>
      <c r="C98" s="8">
        <f t="shared" si="1"/>
        <v>468.7984656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1">
        <v>92.0</v>
      </c>
      <c r="C99" s="8">
        <f t="shared" si="1"/>
        <v>560.0615886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1">
        <v>93.0</v>
      </c>
      <c r="C100" s="8">
        <f t="shared" si="1"/>
        <v>503.0346348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1">
        <v>94.0</v>
      </c>
      <c r="C101" s="8">
        <f t="shared" si="1"/>
        <v>490.4683957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1">
        <v>95.0</v>
      </c>
      <c r="C102" s="8">
        <f t="shared" si="1"/>
        <v>495.8786325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1">
        <v>96.0</v>
      </c>
      <c r="C103" s="8">
        <f t="shared" si="1"/>
        <v>491.2349145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1">
        <v>97.0</v>
      </c>
      <c r="C104" s="8">
        <f t="shared" si="1"/>
        <v>493.1428881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1">
        <v>98.0</v>
      </c>
      <c r="C105" s="8">
        <f t="shared" si="1"/>
        <v>479.1972808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1">
        <v>99.0</v>
      </c>
      <c r="C106" s="8">
        <f t="shared" si="1"/>
        <v>455.5060771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1">
        <v>100.0</v>
      </c>
      <c r="C107" s="8">
        <f t="shared" si="1"/>
        <v>547.2984961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8" t="s">
        <v>252</v>
      </c>
      <c r="B1" s="19"/>
      <c r="C1" s="2"/>
      <c r="D1" s="1" t="s">
        <v>253</v>
      </c>
      <c r="E1" s="2"/>
      <c r="F1" s="4" t="s">
        <v>254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3"/>
      <c r="B2" s="19"/>
      <c r="C2" s="2"/>
      <c r="D2" s="49" t="s">
        <v>255</v>
      </c>
      <c r="E2" s="2"/>
      <c r="F2" s="1" t="s">
        <v>256</v>
      </c>
      <c r="G2" s="2"/>
      <c r="H2" s="50" t="s">
        <v>257</v>
      </c>
      <c r="I2" s="2"/>
      <c r="J2" s="4" t="s">
        <v>258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9"/>
      <c r="B3" s="19"/>
      <c r="C3" s="2"/>
      <c r="D3" s="51" t="s">
        <v>259</v>
      </c>
      <c r="E3" s="2"/>
      <c r="F3" s="52" t="s">
        <v>260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4"/>
      <c r="B4" s="44"/>
      <c r="C4" s="2"/>
      <c r="D4" s="53">
        <v>7.483645825245724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4"/>
      <c r="B5" s="44"/>
      <c r="C5" s="4"/>
      <c r="D5" s="53">
        <v>8.010882163306734</v>
      </c>
      <c r="E5" s="2"/>
      <c r="F5" s="52" t="s">
        <v>261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4"/>
      <c r="B6" s="44"/>
      <c r="C6" s="2"/>
      <c r="D6" s="53">
        <v>6.758507134463566</v>
      </c>
      <c r="E6" s="2"/>
      <c r="F6" s="54" t="s">
        <v>234</v>
      </c>
      <c r="G6" s="55">
        <f>AVERAGE(D:D)</f>
        <v>7.605914585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4"/>
      <c r="B7" s="44"/>
      <c r="C7" s="2"/>
      <c r="D7" s="53">
        <v>8.117180910488509</v>
      </c>
      <c r="E7" s="2"/>
      <c r="F7" s="4" t="s">
        <v>235</v>
      </c>
      <c r="G7" s="55">
        <f>_xlfn.STDEV.S(D:D)</f>
        <v>0.7279646626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53">
        <v>7.4169759924503085</v>
      </c>
      <c r="E8" s="2"/>
      <c r="F8" s="56" t="s">
        <v>262</v>
      </c>
      <c r="G8" s="1">
        <v>100.0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53">
        <v>7.831694731842837</v>
      </c>
      <c r="E9" s="2"/>
      <c r="F9" s="1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53">
        <v>8.454640262220332</v>
      </c>
      <c r="E10" s="2"/>
      <c r="F10" s="52" t="s">
        <v>263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53">
        <v>8.430393383332515</v>
      </c>
      <c r="E11" s="2"/>
      <c r="F11" s="4" t="s">
        <v>264</v>
      </c>
      <c r="G11" s="2"/>
      <c r="H11" s="25" t="s">
        <v>265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53">
        <v>8.714277672927636</v>
      </c>
      <c r="E12" s="2"/>
      <c r="F12" s="1" t="s">
        <v>266</v>
      </c>
      <c r="G12" s="57">
        <f>G7/SQRT(G8)</f>
        <v>0.07279646626</v>
      </c>
      <c r="H12" s="2" t="str">
        <f>FORMULATEXT(G12)</f>
        <v>=G7/SQRT(G8)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53">
        <v>8.256845329877363</v>
      </c>
      <c r="E13" s="2"/>
      <c r="F13" s="1" t="s">
        <v>267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53">
        <v>7.502208816558144</v>
      </c>
      <c r="E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53">
        <v>6.792891258785435</v>
      </c>
      <c r="E15" s="2"/>
      <c r="F15" s="4" t="s">
        <v>268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53">
        <v>8.689008404744744</v>
      </c>
      <c r="E16" s="2"/>
      <c r="F16" s="26" t="s">
        <v>269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53">
        <v>7.366741857449808</v>
      </c>
      <c r="E17" s="2"/>
      <c r="F17" s="26" t="s">
        <v>270</v>
      </c>
      <c r="G17" s="58" t="s">
        <v>271</v>
      </c>
      <c r="H17" s="58" t="s">
        <v>272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/>
      <c r="B18" s="2"/>
      <c r="C18" s="2"/>
      <c r="D18" s="53">
        <v>6.248035595310709</v>
      </c>
      <c r="E18" s="2"/>
      <c r="F18" s="59">
        <v>0.9</v>
      </c>
      <c r="G18" s="1">
        <v>1.645</v>
      </c>
      <c r="H18" s="60">
        <f t="shared" ref="H18:H20" si="1">$G$12*G18</f>
        <v>0.119750187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53">
        <v>8.97164402214139</v>
      </c>
      <c r="E19" s="2"/>
      <c r="F19" s="59">
        <v>0.95</v>
      </c>
      <c r="G19" s="1">
        <v>1.96</v>
      </c>
      <c r="H19" s="60">
        <f t="shared" si="1"/>
        <v>0.1426810739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53">
        <v>7.297620259359695</v>
      </c>
      <c r="E20" s="2"/>
      <c r="F20" s="61">
        <v>0.99</v>
      </c>
      <c r="G20" s="1">
        <v>2.58</v>
      </c>
      <c r="H20" s="60">
        <f t="shared" si="1"/>
        <v>0.187814883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53">
        <v>6.981070492805922</v>
      </c>
      <c r="E21" s="2"/>
      <c r="F21" s="4" t="s">
        <v>273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53">
        <v>5.744570553174839</v>
      </c>
      <c r="E22" s="2"/>
      <c r="G22" s="4" t="s">
        <v>274</v>
      </c>
      <c r="H22" s="4" t="s">
        <v>275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53">
        <v>6.873249409604849</v>
      </c>
      <c r="E23" s="2"/>
      <c r="F23" s="1" t="s">
        <v>276</v>
      </c>
      <c r="G23" s="55">
        <f t="shared" ref="G23:G25" si="2">{$G$6-H18, $G$6+H18}</f>
        <v>7.486164398</v>
      </c>
      <c r="H23" s="55">
        <v>7.725664771549992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53">
        <v>7.791352809311541</v>
      </c>
      <c r="E24" s="2"/>
      <c r="F24" s="1" t="s">
        <v>277</v>
      </c>
      <c r="G24" s="55">
        <f t="shared" si="2"/>
        <v>7.463233511</v>
      </c>
      <c r="H24" s="55">
        <v>7.748595658422031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53">
        <v>7.16428811683538</v>
      </c>
      <c r="E25" s="2"/>
      <c r="F25" s="1" t="s">
        <v>278</v>
      </c>
      <c r="G25" s="55">
        <f t="shared" si="2"/>
        <v>7.418099702</v>
      </c>
      <c r="H25" s="55">
        <v>7.793729467503503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53">
        <v>8.286694480582627</v>
      </c>
      <c r="E26" s="2"/>
      <c r="F26" s="1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53">
        <v>6.774799292388789</v>
      </c>
      <c r="E27" s="2"/>
      <c r="F27" s="1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53">
        <v>7.453053729265862</v>
      </c>
      <c r="E28" s="2"/>
      <c r="F28" s="1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53">
        <v>7.469399973869091</v>
      </c>
      <c r="E29" s="2"/>
      <c r="F29" s="1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53">
        <v>5.738844542179999</v>
      </c>
      <c r="E30" s="2"/>
      <c r="F30" s="1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53">
        <v>7.937833189468354</v>
      </c>
      <c r="E31" s="2"/>
      <c r="F31" s="1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53">
        <v>8.600929088612832</v>
      </c>
      <c r="E32" s="2"/>
      <c r="F32" s="1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53">
        <v>7.857654264107224</v>
      </c>
      <c r="E33" s="2"/>
      <c r="F33" s="1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53">
        <v>6.950246048772533</v>
      </c>
      <c r="E34" s="2"/>
      <c r="F34" s="1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53">
        <v>8.4938839648236</v>
      </c>
      <c r="E35" s="2"/>
      <c r="F35" s="1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53">
        <v>7.159139556617714</v>
      </c>
      <c r="E36" s="2"/>
      <c r="F36" s="1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53">
        <v>7.22526200770748</v>
      </c>
      <c r="E37" s="2"/>
      <c r="F37" s="1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53">
        <v>8.329539758136342</v>
      </c>
      <c r="E38" s="2"/>
      <c r="F38" s="1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53">
        <v>7.80605525629047</v>
      </c>
      <c r="E39" s="2"/>
      <c r="F39" s="1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53">
        <v>7.612356920926141</v>
      </c>
      <c r="E40" s="2"/>
      <c r="F40" s="1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53">
        <v>7.276249525664949</v>
      </c>
      <c r="E41" s="2"/>
      <c r="F41" s="1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53">
        <v>6.882434499647241</v>
      </c>
      <c r="E42" s="2"/>
      <c r="F42" s="1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53">
        <v>8.237491480042367</v>
      </c>
      <c r="E43" s="2"/>
      <c r="F43" s="1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53">
        <v>8.247923793554913</v>
      </c>
      <c r="E44" s="2"/>
      <c r="F44" s="1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53">
        <v>8.212010627318469</v>
      </c>
      <c r="E45" s="2"/>
      <c r="F45" s="1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53">
        <v>8.047834644845432</v>
      </c>
      <c r="E46" s="2"/>
      <c r="F46" s="1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53">
        <v>7.5380508142769544</v>
      </c>
      <c r="E47" s="2"/>
      <c r="F47" s="1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53">
        <v>7.33109073278187</v>
      </c>
      <c r="E48" s="2"/>
      <c r="F48" s="1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53">
        <v>7.740662115064531</v>
      </c>
      <c r="E49" s="2"/>
      <c r="F49" s="1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53">
        <v>8.23912937992159</v>
      </c>
      <c r="E50" s="2"/>
      <c r="F50" s="1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53">
        <v>6.719483049713585</v>
      </c>
      <c r="E51" s="2"/>
      <c r="F51" s="1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53">
        <v>7.416843722937486</v>
      </c>
      <c r="E52" s="2"/>
      <c r="F52" s="1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53">
        <v>7.813107765822157</v>
      </c>
      <c r="E53" s="2"/>
      <c r="F53" s="1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1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1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1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1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1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1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1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1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1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1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1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1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1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1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1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1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1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1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1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1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1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1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1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1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1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1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1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1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1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1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1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1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1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1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1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1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1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1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1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1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1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1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1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1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1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1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1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1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1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1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1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1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1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1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1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1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1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1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1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1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1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1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62" t="s">
        <v>279</v>
      </c>
    </row>
    <row r="4">
      <c r="B4" s="63" t="s">
        <v>280</v>
      </c>
      <c r="D4" s="26" t="s">
        <v>281</v>
      </c>
    </row>
    <row r="5">
      <c r="B5" s="63" t="s">
        <v>282</v>
      </c>
    </row>
    <row r="7">
      <c r="B7" s="45" t="s">
        <v>262</v>
      </c>
      <c r="C7" s="26">
        <v>200.0</v>
      </c>
    </row>
    <row r="8">
      <c r="B8" s="26" t="s">
        <v>283</v>
      </c>
      <c r="C8" s="26">
        <v>168.0</v>
      </c>
    </row>
    <row r="9">
      <c r="B9" s="26" t="s">
        <v>284</v>
      </c>
      <c r="C9" s="26">
        <f>168/200</f>
        <v>0.84</v>
      </c>
    </row>
    <row r="11">
      <c r="B11" s="26" t="s">
        <v>266</v>
      </c>
      <c r="C11" s="64">
        <f>SQRT(C9*(1-C9)/C7)</f>
        <v>0.02592296279</v>
      </c>
      <c r="D11" s="64"/>
    </row>
    <row r="12">
      <c r="B12" s="26" t="s">
        <v>285</v>
      </c>
      <c r="C12" s="64">
        <f>1.96*C11</f>
        <v>0.05080900708</v>
      </c>
      <c r="D12" s="64"/>
    </row>
    <row r="13">
      <c r="B13" s="65" t="s">
        <v>277</v>
      </c>
      <c r="C13" s="66">
        <f t="array" ref="C13:D13">{C9-C12, C9+C12}</f>
        <v>0.7891909929</v>
      </c>
      <c r="D13" s="66">
        <v>0.8908090070755176</v>
      </c>
    </row>
    <row r="15">
      <c r="B15" s="67" t="s">
        <v>286</v>
      </c>
    </row>
    <row r="16">
      <c r="B16" s="26" t="s">
        <v>257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8" t="s">
        <v>23</v>
      </c>
      <c r="B1" s="28" t="s">
        <v>24</v>
      </c>
      <c r="C1" s="28" t="s">
        <v>25</v>
      </c>
      <c r="D1" s="28" t="s">
        <v>26</v>
      </c>
      <c r="E1" s="28" t="s">
        <v>27</v>
      </c>
      <c r="F1" s="28" t="s">
        <v>28</v>
      </c>
      <c r="G1" s="28" t="s">
        <v>29</v>
      </c>
    </row>
    <row r="2">
      <c r="A2" s="29">
        <v>1.0</v>
      </c>
      <c r="B2" s="29" t="s">
        <v>30</v>
      </c>
      <c r="C2" s="29">
        <v>1994.0</v>
      </c>
      <c r="D2" s="29" t="s">
        <v>31</v>
      </c>
      <c r="E2" s="29">
        <v>142.0</v>
      </c>
      <c r="F2" s="29" t="s">
        <v>32</v>
      </c>
      <c r="G2" s="29">
        <v>9.3</v>
      </c>
    </row>
    <row r="3">
      <c r="A3" s="29">
        <v>2.0</v>
      </c>
      <c r="B3" s="29" t="s">
        <v>33</v>
      </c>
      <c r="C3" s="29">
        <v>1972.0</v>
      </c>
      <c r="D3" s="29" t="s">
        <v>31</v>
      </c>
      <c r="E3" s="29">
        <v>175.0</v>
      </c>
      <c r="F3" s="29" t="s">
        <v>34</v>
      </c>
      <c r="G3" s="29">
        <v>9.2</v>
      </c>
    </row>
    <row r="4">
      <c r="A4" s="29">
        <v>3.0</v>
      </c>
      <c r="B4" s="29" t="s">
        <v>35</v>
      </c>
      <c r="C4" s="29">
        <v>2008.0</v>
      </c>
      <c r="D4" s="29" t="s">
        <v>36</v>
      </c>
      <c r="E4" s="29">
        <v>152.0</v>
      </c>
      <c r="F4" s="29" t="s">
        <v>37</v>
      </c>
      <c r="G4" s="29">
        <v>9.0</v>
      </c>
    </row>
    <row r="5">
      <c r="A5" s="29">
        <v>4.0</v>
      </c>
      <c r="B5" s="29" t="s">
        <v>38</v>
      </c>
      <c r="C5" s="29">
        <v>1974.0</v>
      </c>
      <c r="D5" s="29" t="s">
        <v>31</v>
      </c>
      <c r="E5" s="29">
        <v>202.0</v>
      </c>
      <c r="F5" s="29" t="s">
        <v>34</v>
      </c>
      <c r="G5" s="29">
        <v>9.0</v>
      </c>
    </row>
    <row r="6">
      <c r="A6" s="29">
        <v>5.0</v>
      </c>
      <c r="B6" s="29" t="s">
        <v>39</v>
      </c>
      <c r="C6" s="29">
        <v>2003.0</v>
      </c>
      <c r="D6" s="29" t="s">
        <v>36</v>
      </c>
      <c r="E6" s="29">
        <v>201.0</v>
      </c>
      <c r="F6" s="29" t="s">
        <v>40</v>
      </c>
      <c r="G6" s="29">
        <v>8.9</v>
      </c>
    </row>
    <row r="7">
      <c r="E7" s="26" t="s">
        <v>287</v>
      </c>
    </row>
    <row r="8">
      <c r="A8" s="30" t="str">
        <f>IFERROR(__xludf.DUMMYFUNCTION("QUERY(IMDB, ""select B, E, G"")"),"MOVIE_NAME")</f>
        <v>MOVIE_NAME</v>
      </c>
      <c r="B8" s="30" t="str">
        <f>IFERROR(__xludf.DUMMYFUNCTION("""COMPUTED_VALUE"""),"LENGTH")</f>
        <v>LENGTH</v>
      </c>
      <c r="C8" s="30" t="str">
        <f>IFERROR(__xludf.DUMMYFUNCTION("""COMPUTED_VALUE"""),"SCORE")</f>
        <v>SCORE</v>
      </c>
      <c r="E8" s="45" t="s">
        <v>288</v>
      </c>
      <c r="F8" s="45" t="s">
        <v>289</v>
      </c>
    </row>
    <row r="9">
      <c r="A9" s="27" t="str">
        <f>IFERROR(__xludf.DUMMYFUNCTION("""COMPUTED_VALUE"""),"The Shawshank Redemption")</f>
        <v>The Shawshank Redemption</v>
      </c>
      <c r="B9" s="27">
        <f>IFERROR(__xludf.DUMMYFUNCTION("""COMPUTED_VALUE"""),142.0)</f>
        <v>142</v>
      </c>
      <c r="C9" s="27">
        <f>IFERROR(__xludf.DUMMYFUNCTION("""COMPUTED_VALUE"""),9.3)</f>
        <v>9.3</v>
      </c>
      <c r="E9" s="27">
        <f>CORREL(C8:C108,B8:B108)</f>
        <v>0.3796788098</v>
      </c>
      <c r="F9" s="32">
        <f>E9^2</f>
        <v>0.1441559986</v>
      </c>
      <c r="G9" s="26" t="s">
        <v>290</v>
      </c>
    </row>
    <row r="10">
      <c r="A10" s="27" t="str">
        <f>IFERROR(__xludf.DUMMYFUNCTION("""COMPUTED_VALUE"""),"The Godfather")</f>
        <v>The Godfather</v>
      </c>
      <c r="B10" s="27">
        <f>IFERROR(__xludf.DUMMYFUNCTION("""COMPUTED_VALUE"""),175.0)</f>
        <v>175</v>
      </c>
      <c r="C10" s="27">
        <f>IFERROR(__xludf.DUMMYFUNCTION("""COMPUTED_VALUE"""),9.2)</f>
        <v>9.2</v>
      </c>
    </row>
    <row r="11">
      <c r="A11" s="27" t="str">
        <f>IFERROR(__xludf.DUMMYFUNCTION("""COMPUTED_VALUE"""),"The Dark Knight")</f>
        <v>The Dark Knight</v>
      </c>
      <c r="B11" s="27">
        <f>IFERROR(__xludf.DUMMYFUNCTION("""COMPUTED_VALUE"""),152.0)</f>
        <v>152</v>
      </c>
      <c r="C11" s="27">
        <f>IFERROR(__xludf.DUMMYFUNCTION("""COMPUTED_VALUE"""),9.0)</f>
        <v>9</v>
      </c>
      <c r="E11" s="26" t="s">
        <v>291</v>
      </c>
    </row>
    <row r="12">
      <c r="A12" s="27" t="str">
        <f>IFERROR(__xludf.DUMMYFUNCTION("""COMPUTED_VALUE"""),"The Godfather: Part II")</f>
        <v>The Godfather: Part II</v>
      </c>
      <c r="B12" s="27">
        <f>IFERROR(__xludf.DUMMYFUNCTION("""COMPUTED_VALUE"""),202.0)</f>
        <v>202</v>
      </c>
      <c r="C12" s="27">
        <f>IFERROR(__xludf.DUMMYFUNCTION("""COMPUTED_VALUE"""),9.0)</f>
        <v>9</v>
      </c>
      <c r="E12" s="26" t="s">
        <v>292</v>
      </c>
    </row>
    <row r="13">
      <c r="A13" s="27" t="str">
        <f>IFERROR(__xludf.DUMMYFUNCTION("""COMPUTED_VALUE"""),"The Lord of the Rings: The Return of the King")</f>
        <v>The Lord of the Rings: The Return of the King</v>
      </c>
      <c r="B13" s="27">
        <f>IFERROR(__xludf.DUMMYFUNCTION("""COMPUTED_VALUE"""),201.0)</f>
        <v>201</v>
      </c>
      <c r="C13" s="27">
        <f>IFERROR(__xludf.DUMMYFUNCTION("""COMPUTED_VALUE"""),8.9)</f>
        <v>8.9</v>
      </c>
      <c r="E13" s="26" t="s">
        <v>293</v>
      </c>
    </row>
    <row r="14">
      <c r="A14" s="27" t="str">
        <f>IFERROR(__xludf.DUMMYFUNCTION("""COMPUTED_VALUE"""),"Pulp Fiction")</f>
        <v>Pulp Fiction</v>
      </c>
      <c r="B14" s="27">
        <f>IFERROR(__xludf.DUMMYFUNCTION("""COMPUTED_VALUE"""),154.0)</f>
        <v>154</v>
      </c>
      <c r="C14" s="27">
        <f>IFERROR(__xludf.DUMMYFUNCTION("""COMPUTED_VALUE"""),8.9)</f>
        <v>8.9</v>
      </c>
    </row>
    <row r="15">
      <c r="A15" s="27" t="str">
        <f>IFERROR(__xludf.DUMMYFUNCTION("""COMPUTED_VALUE"""),"Schindler's List")</f>
        <v>Schindler's List</v>
      </c>
      <c r="B15" s="27">
        <f>IFERROR(__xludf.DUMMYFUNCTION("""COMPUTED_VALUE"""),195.0)</f>
        <v>195</v>
      </c>
      <c r="C15" s="27">
        <f>IFERROR(__xludf.DUMMYFUNCTION("""COMPUTED_VALUE"""),8.9)</f>
        <v>8.9</v>
      </c>
      <c r="E15" s="45" t="s">
        <v>294</v>
      </c>
      <c r="F15" s="26" t="s">
        <v>295</v>
      </c>
    </row>
    <row r="16">
      <c r="A16" s="27" t="str">
        <f>IFERROR(__xludf.DUMMYFUNCTION("""COMPUTED_VALUE"""),"12 Angry Men")</f>
        <v>12 Angry Men</v>
      </c>
      <c r="B16" s="27">
        <f>IFERROR(__xludf.DUMMYFUNCTION("""COMPUTED_VALUE"""),96.0)</f>
        <v>96</v>
      </c>
      <c r="C16" s="27">
        <f>IFERROR(__xludf.DUMMYFUNCTION("""COMPUTED_VALUE"""),8.9)</f>
        <v>8.9</v>
      </c>
      <c r="D16" s="26" t="s">
        <v>296</v>
      </c>
      <c r="E16" s="26" t="s">
        <v>297</v>
      </c>
      <c r="F16" s="32">
        <f>INTERCEPT(C9:C108, B9:B108)</f>
        <v>8.162964914</v>
      </c>
      <c r="G16" s="27" t="str">
        <f t="shared" ref="G16:G17" si="1">FORMULATEXT(F16)</f>
        <v>=INTERCEPT(C9:C108, B9:B108)</v>
      </c>
    </row>
    <row r="17">
      <c r="A17" s="27" t="str">
        <f>IFERROR(__xludf.DUMMYFUNCTION("""COMPUTED_VALUE"""),"Inception")</f>
        <v>Inception</v>
      </c>
      <c r="B17" s="27">
        <f>IFERROR(__xludf.DUMMYFUNCTION("""COMPUTED_VALUE"""),148.0)</f>
        <v>148</v>
      </c>
      <c r="C17" s="27">
        <f>IFERROR(__xludf.DUMMYFUNCTION("""COMPUTED_VALUE"""),8.8)</f>
        <v>8.8</v>
      </c>
      <c r="D17" s="26" t="s">
        <v>298</v>
      </c>
      <c r="E17" s="26" t="s">
        <v>299</v>
      </c>
      <c r="F17" s="32">
        <f>SLOPE(C9:C108, B9:B108)</f>
        <v>0.002624015801</v>
      </c>
      <c r="G17" s="27" t="str">
        <f t="shared" si="1"/>
        <v>=SLOPE(C9:C108, B9:B108)</v>
      </c>
    </row>
    <row r="18">
      <c r="A18" s="27" t="str">
        <f>IFERROR(__xludf.DUMMYFUNCTION("""COMPUTED_VALUE"""),"Fight Club")</f>
        <v>Fight Club</v>
      </c>
      <c r="B18" s="27">
        <f>IFERROR(__xludf.DUMMYFUNCTION("""COMPUTED_VALUE"""),139.0)</f>
        <v>139</v>
      </c>
      <c r="C18" s="27">
        <f>IFERROR(__xludf.DUMMYFUNCTION("""COMPUTED_VALUE"""),8.8)</f>
        <v>8.8</v>
      </c>
    </row>
    <row r="19">
      <c r="A19" s="27" t="str">
        <f>IFERROR(__xludf.DUMMYFUNCTION("""COMPUTED_VALUE"""),"The Lord of the Rings: The Fellowship of the Ring")</f>
        <v>The Lord of the Rings: The Fellowship of the Ring</v>
      </c>
      <c r="B19" s="27">
        <f>IFERROR(__xludf.DUMMYFUNCTION("""COMPUTED_VALUE"""),178.0)</f>
        <v>178</v>
      </c>
      <c r="C19" s="27">
        <f>IFERROR(__xludf.DUMMYFUNCTION("""COMPUTED_VALUE"""),8.8)</f>
        <v>8.8</v>
      </c>
      <c r="E19" s="45" t="s">
        <v>300</v>
      </c>
    </row>
    <row r="20">
      <c r="A20" s="27" t="str">
        <f>IFERROR(__xludf.DUMMYFUNCTION("""COMPUTED_VALUE"""),"Forrest Gump")</f>
        <v>Forrest Gump</v>
      </c>
      <c r="B20" s="27">
        <f>IFERROR(__xludf.DUMMYFUNCTION("""COMPUTED_VALUE"""),142.0)</f>
        <v>142</v>
      </c>
      <c r="C20" s="27">
        <f>IFERROR(__xludf.DUMMYFUNCTION("""COMPUTED_VALUE"""),8.8)</f>
        <v>8.8</v>
      </c>
    </row>
    <row r="21">
      <c r="A21" s="27" t="str">
        <f>IFERROR(__xludf.DUMMYFUNCTION("""COMPUTED_VALUE"""),"The Good, the Bad and the Ugly")</f>
        <v>The Good, the Bad and the Ugly</v>
      </c>
      <c r="B21" s="27">
        <f>IFERROR(__xludf.DUMMYFUNCTION("""COMPUTED_VALUE"""),178.0)</f>
        <v>178</v>
      </c>
      <c r="C21" s="27">
        <f>IFERROR(__xludf.DUMMYFUNCTION("""COMPUTED_VALUE"""),8.8)</f>
        <v>8.8</v>
      </c>
      <c r="E21" s="26" t="s">
        <v>301</v>
      </c>
      <c r="F21" s="26">
        <v>240.0</v>
      </c>
      <c r="G21" s="27">
        <f t="array" ref="G21:H21">{MIN(B8:B109), MAX(B8:B109)}</f>
        <v>87</v>
      </c>
      <c r="H21" s="27">
        <v>229.0</v>
      </c>
    </row>
    <row r="22">
      <c r="A22" s="27" t="str">
        <f>IFERROR(__xludf.DUMMYFUNCTION("""COMPUTED_VALUE"""),"Hamilton")</f>
        <v>Hamilton</v>
      </c>
      <c r="B22" s="27">
        <f>IFERROR(__xludf.DUMMYFUNCTION("""COMPUTED_VALUE"""),160.0)</f>
        <v>160</v>
      </c>
      <c r="C22" s="27">
        <f>IFERROR(__xludf.DUMMYFUNCTION("""COMPUTED_VALUE"""),8.7)</f>
        <v>8.7</v>
      </c>
      <c r="E22" s="26" t="s">
        <v>302</v>
      </c>
      <c r="F22" s="32">
        <f>F16+F17*F21</f>
        <v>8.792728706</v>
      </c>
    </row>
    <row r="23">
      <c r="A23" s="27" t="str">
        <f>IFERROR(__xludf.DUMMYFUNCTION("""COMPUTED_VALUE"""),"The Lord of the Rings: The Two Towers")</f>
        <v>The Lord of the Rings: The Two Towers</v>
      </c>
      <c r="B23" s="27">
        <f>IFERROR(__xludf.DUMMYFUNCTION("""COMPUTED_VALUE"""),179.0)</f>
        <v>179</v>
      </c>
      <c r="C23" s="27">
        <f>IFERROR(__xludf.DUMMYFUNCTION("""COMPUTED_VALUE"""),8.7)</f>
        <v>8.7</v>
      </c>
    </row>
    <row r="24">
      <c r="A24" s="27" t="str">
        <f>IFERROR(__xludf.DUMMYFUNCTION("""COMPUTED_VALUE"""),"The Matrix")</f>
        <v>The Matrix</v>
      </c>
      <c r="B24" s="27">
        <f>IFERROR(__xludf.DUMMYFUNCTION("""COMPUTED_VALUE"""),136.0)</f>
        <v>136</v>
      </c>
      <c r="C24" s="27">
        <f>IFERROR(__xludf.DUMMYFUNCTION("""COMPUTED_VALUE"""),8.7)</f>
        <v>8.7</v>
      </c>
    </row>
    <row r="25">
      <c r="A25" s="27" t="str">
        <f>IFERROR(__xludf.DUMMYFUNCTION("""COMPUTED_VALUE"""),"Goodfellas")</f>
        <v>Goodfellas</v>
      </c>
      <c r="B25" s="27">
        <f>IFERROR(__xludf.DUMMYFUNCTION("""COMPUTED_VALUE"""),146.0)</f>
        <v>146</v>
      </c>
      <c r="C25" s="27">
        <f>IFERROR(__xludf.DUMMYFUNCTION("""COMPUTED_VALUE"""),8.7)</f>
        <v>8.7</v>
      </c>
    </row>
    <row r="26">
      <c r="A26" s="27" t="str">
        <f>IFERROR(__xludf.DUMMYFUNCTION("""COMPUTED_VALUE"""),"Star Wars: Episode V - The Empire Strikes Back")</f>
        <v>Star Wars: Episode V - The Empire Strikes Back</v>
      </c>
      <c r="B26" s="27">
        <f>IFERROR(__xludf.DUMMYFUNCTION("""COMPUTED_VALUE"""),124.0)</f>
        <v>124</v>
      </c>
      <c r="C26" s="27">
        <f>IFERROR(__xludf.DUMMYFUNCTION("""COMPUTED_VALUE"""),8.7)</f>
        <v>8.7</v>
      </c>
    </row>
    <row r="27">
      <c r="A27" s="27" t="str">
        <f>IFERROR(__xludf.DUMMYFUNCTION("""COMPUTED_VALUE"""),"One Flew Over the Cuckoo's Nest")</f>
        <v>One Flew Over the Cuckoo's Nest</v>
      </c>
      <c r="B27" s="27">
        <f>IFERROR(__xludf.DUMMYFUNCTION("""COMPUTED_VALUE"""),133.0)</f>
        <v>133</v>
      </c>
      <c r="C27" s="27">
        <f>IFERROR(__xludf.DUMMYFUNCTION("""COMPUTED_VALUE"""),8.7)</f>
        <v>8.7</v>
      </c>
    </row>
    <row r="28">
      <c r="A28" s="27" t="str">
        <f>IFERROR(__xludf.DUMMYFUNCTION("""COMPUTED_VALUE"""),"Parasite")</f>
        <v>Parasite</v>
      </c>
      <c r="B28" s="27">
        <f>IFERROR(__xludf.DUMMYFUNCTION("""COMPUTED_VALUE"""),132.0)</f>
        <v>132</v>
      </c>
      <c r="C28" s="27">
        <f>IFERROR(__xludf.DUMMYFUNCTION("""COMPUTED_VALUE"""),8.6)</f>
        <v>8.6</v>
      </c>
    </row>
    <row r="29">
      <c r="A29" s="27" t="str">
        <f>IFERROR(__xludf.DUMMYFUNCTION("""COMPUTED_VALUE"""),"Interstellar")</f>
        <v>Interstellar</v>
      </c>
      <c r="B29" s="27">
        <f>IFERROR(__xludf.DUMMYFUNCTION("""COMPUTED_VALUE"""),169.0)</f>
        <v>169</v>
      </c>
      <c r="C29" s="27">
        <f>IFERROR(__xludf.DUMMYFUNCTION("""COMPUTED_VALUE"""),8.6)</f>
        <v>8.6</v>
      </c>
    </row>
    <row r="30">
      <c r="A30" s="27" t="str">
        <f>IFERROR(__xludf.DUMMYFUNCTION("""COMPUTED_VALUE"""),"City of God")</f>
        <v>City of God</v>
      </c>
      <c r="B30" s="27">
        <f>IFERROR(__xludf.DUMMYFUNCTION("""COMPUTED_VALUE"""),130.0)</f>
        <v>130</v>
      </c>
      <c r="C30" s="27">
        <f>IFERROR(__xludf.DUMMYFUNCTION("""COMPUTED_VALUE"""),8.6)</f>
        <v>8.6</v>
      </c>
    </row>
    <row r="31">
      <c r="A31" s="27" t="str">
        <f>IFERROR(__xludf.DUMMYFUNCTION("""COMPUTED_VALUE"""),"Spirited Away")</f>
        <v>Spirited Away</v>
      </c>
      <c r="B31" s="27">
        <f>IFERROR(__xludf.DUMMYFUNCTION("""COMPUTED_VALUE"""),125.0)</f>
        <v>125</v>
      </c>
      <c r="C31" s="27">
        <f>IFERROR(__xludf.DUMMYFUNCTION("""COMPUTED_VALUE"""),8.6)</f>
        <v>8.6</v>
      </c>
    </row>
    <row r="32">
      <c r="A32" s="27" t="str">
        <f>IFERROR(__xludf.DUMMYFUNCTION("""COMPUTED_VALUE"""),"Saving Private Ryan")</f>
        <v>Saving Private Ryan</v>
      </c>
      <c r="B32" s="27">
        <f>IFERROR(__xludf.DUMMYFUNCTION("""COMPUTED_VALUE"""),169.0)</f>
        <v>169</v>
      </c>
      <c r="C32" s="27">
        <f>IFERROR(__xludf.DUMMYFUNCTION("""COMPUTED_VALUE"""),8.6)</f>
        <v>8.6</v>
      </c>
    </row>
    <row r="33">
      <c r="A33" s="27" t="str">
        <f>IFERROR(__xludf.DUMMYFUNCTION("""COMPUTED_VALUE"""),"The Green Mile")</f>
        <v>The Green Mile</v>
      </c>
      <c r="B33" s="27">
        <f>IFERROR(__xludf.DUMMYFUNCTION("""COMPUTED_VALUE"""),189.0)</f>
        <v>189</v>
      </c>
      <c r="C33" s="27">
        <f>IFERROR(__xludf.DUMMYFUNCTION("""COMPUTED_VALUE"""),8.6)</f>
        <v>8.6</v>
      </c>
    </row>
    <row r="34">
      <c r="A34" s="27" t="str">
        <f>IFERROR(__xludf.DUMMYFUNCTION("""COMPUTED_VALUE"""),"Life Is Beautiful")</f>
        <v>Life Is Beautiful</v>
      </c>
      <c r="B34" s="27">
        <f>IFERROR(__xludf.DUMMYFUNCTION("""COMPUTED_VALUE"""),116.0)</f>
        <v>116</v>
      </c>
      <c r="C34" s="27">
        <f>IFERROR(__xludf.DUMMYFUNCTION("""COMPUTED_VALUE"""),8.6)</f>
        <v>8.6</v>
      </c>
    </row>
    <row r="35">
      <c r="A35" s="27" t="str">
        <f>IFERROR(__xludf.DUMMYFUNCTION("""COMPUTED_VALUE"""),"Se7en")</f>
        <v>Se7en</v>
      </c>
      <c r="B35" s="27">
        <f>IFERROR(__xludf.DUMMYFUNCTION("""COMPUTED_VALUE"""),127.0)</f>
        <v>127</v>
      </c>
      <c r="C35" s="27">
        <f>IFERROR(__xludf.DUMMYFUNCTION("""COMPUTED_VALUE"""),8.6)</f>
        <v>8.6</v>
      </c>
    </row>
    <row r="36">
      <c r="A36" s="27" t="str">
        <f>IFERROR(__xludf.DUMMYFUNCTION("""COMPUTED_VALUE"""),"The Silence of the Lambs")</f>
        <v>The Silence of the Lambs</v>
      </c>
      <c r="B36" s="27">
        <f>IFERROR(__xludf.DUMMYFUNCTION("""COMPUTED_VALUE"""),118.0)</f>
        <v>118</v>
      </c>
      <c r="C36" s="27">
        <f>IFERROR(__xludf.DUMMYFUNCTION("""COMPUTED_VALUE"""),8.6)</f>
        <v>8.6</v>
      </c>
    </row>
    <row r="37">
      <c r="A37" s="27" t="str">
        <f>IFERROR(__xludf.DUMMYFUNCTION("""COMPUTED_VALUE"""),"Star Wars: Episode IV - A New Hope")</f>
        <v>Star Wars: Episode IV - A New Hope</v>
      </c>
      <c r="B37" s="27">
        <f>IFERROR(__xludf.DUMMYFUNCTION("""COMPUTED_VALUE"""),121.0)</f>
        <v>121</v>
      </c>
      <c r="C37" s="27">
        <f>IFERROR(__xludf.DUMMYFUNCTION("""COMPUTED_VALUE"""),8.6)</f>
        <v>8.6</v>
      </c>
    </row>
    <row r="38">
      <c r="A38" s="27" t="str">
        <f>IFERROR(__xludf.DUMMYFUNCTION("""COMPUTED_VALUE"""),"Harakiri")</f>
        <v>Harakiri</v>
      </c>
      <c r="B38" s="27">
        <f>IFERROR(__xludf.DUMMYFUNCTION("""COMPUTED_VALUE"""),133.0)</f>
        <v>133</v>
      </c>
      <c r="C38" s="27">
        <f>IFERROR(__xludf.DUMMYFUNCTION("""COMPUTED_VALUE"""),8.6)</f>
        <v>8.6</v>
      </c>
    </row>
    <row r="39">
      <c r="A39" s="27" t="str">
        <f>IFERROR(__xludf.DUMMYFUNCTION("""COMPUTED_VALUE"""),"Seven Samurai")</f>
        <v>Seven Samurai</v>
      </c>
      <c r="B39" s="27">
        <f>IFERROR(__xludf.DUMMYFUNCTION("""COMPUTED_VALUE"""),207.0)</f>
        <v>207</v>
      </c>
      <c r="C39" s="27">
        <f>IFERROR(__xludf.DUMMYFUNCTION("""COMPUTED_VALUE"""),8.6)</f>
        <v>8.6</v>
      </c>
    </row>
    <row r="40">
      <c r="A40" s="27" t="str">
        <f>IFERROR(__xludf.DUMMYFUNCTION("""COMPUTED_VALUE"""),"It's a Wonderful Life")</f>
        <v>It's a Wonderful Life</v>
      </c>
      <c r="B40" s="27">
        <f>IFERROR(__xludf.DUMMYFUNCTION("""COMPUTED_VALUE"""),130.0)</f>
        <v>130</v>
      </c>
      <c r="C40" s="27">
        <f>IFERROR(__xludf.DUMMYFUNCTION("""COMPUTED_VALUE"""),8.6)</f>
        <v>8.6</v>
      </c>
    </row>
    <row r="41">
      <c r="A41" s="27" t="str">
        <f>IFERROR(__xludf.DUMMYFUNCTION("""COMPUTED_VALUE"""),"Joker")</f>
        <v>Joker</v>
      </c>
      <c r="B41" s="27">
        <f>IFERROR(__xludf.DUMMYFUNCTION("""COMPUTED_VALUE"""),122.0)</f>
        <v>122</v>
      </c>
      <c r="C41" s="27">
        <f>IFERROR(__xludf.DUMMYFUNCTION("""COMPUTED_VALUE"""),8.5)</f>
        <v>8.5</v>
      </c>
    </row>
    <row r="42">
      <c r="A42" s="27" t="str">
        <f>IFERROR(__xludf.DUMMYFUNCTION("""COMPUTED_VALUE"""),"Whiplash")</f>
        <v>Whiplash</v>
      </c>
      <c r="B42" s="27">
        <f>IFERROR(__xludf.DUMMYFUNCTION("""COMPUTED_VALUE"""),106.0)</f>
        <v>106</v>
      </c>
      <c r="C42" s="27">
        <f>IFERROR(__xludf.DUMMYFUNCTION("""COMPUTED_VALUE"""),8.5)</f>
        <v>8.5</v>
      </c>
    </row>
    <row r="43">
      <c r="A43" s="27" t="str">
        <f>IFERROR(__xludf.DUMMYFUNCTION("""COMPUTED_VALUE"""),"The Intouchables")</f>
        <v>The Intouchables</v>
      </c>
      <c r="B43" s="27">
        <f>IFERROR(__xludf.DUMMYFUNCTION("""COMPUTED_VALUE"""),112.0)</f>
        <v>112</v>
      </c>
      <c r="C43" s="27">
        <f>IFERROR(__xludf.DUMMYFUNCTION("""COMPUTED_VALUE"""),8.5)</f>
        <v>8.5</v>
      </c>
    </row>
    <row r="44">
      <c r="A44" s="27" t="str">
        <f>IFERROR(__xludf.DUMMYFUNCTION("""COMPUTED_VALUE"""),"The Prestige")</f>
        <v>The Prestige</v>
      </c>
      <c r="B44" s="27">
        <f>IFERROR(__xludf.DUMMYFUNCTION("""COMPUTED_VALUE"""),130.0)</f>
        <v>130</v>
      </c>
      <c r="C44" s="27">
        <f>IFERROR(__xludf.DUMMYFUNCTION("""COMPUTED_VALUE"""),8.5)</f>
        <v>8.5</v>
      </c>
    </row>
    <row r="45">
      <c r="A45" s="27" t="str">
        <f>IFERROR(__xludf.DUMMYFUNCTION("""COMPUTED_VALUE"""),"The Departed")</f>
        <v>The Departed</v>
      </c>
      <c r="B45" s="27">
        <f>IFERROR(__xludf.DUMMYFUNCTION("""COMPUTED_VALUE"""),151.0)</f>
        <v>151</v>
      </c>
      <c r="C45" s="27">
        <f>IFERROR(__xludf.DUMMYFUNCTION("""COMPUTED_VALUE"""),8.5)</f>
        <v>8.5</v>
      </c>
    </row>
    <row r="46">
      <c r="A46" s="27" t="str">
        <f>IFERROR(__xludf.DUMMYFUNCTION("""COMPUTED_VALUE"""),"The Pianist")</f>
        <v>The Pianist</v>
      </c>
      <c r="B46" s="27">
        <f>IFERROR(__xludf.DUMMYFUNCTION("""COMPUTED_VALUE"""),150.0)</f>
        <v>150</v>
      </c>
      <c r="C46" s="27">
        <f>IFERROR(__xludf.DUMMYFUNCTION("""COMPUTED_VALUE"""),8.5)</f>
        <v>8.5</v>
      </c>
    </row>
    <row r="47">
      <c r="A47" s="27" t="str">
        <f>IFERROR(__xludf.DUMMYFUNCTION("""COMPUTED_VALUE"""),"Gladiator")</f>
        <v>Gladiator</v>
      </c>
      <c r="B47" s="27">
        <f>IFERROR(__xludf.DUMMYFUNCTION("""COMPUTED_VALUE"""),155.0)</f>
        <v>155</v>
      </c>
      <c r="C47" s="27">
        <f>IFERROR(__xludf.DUMMYFUNCTION("""COMPUTED_VALUE"""),8.5)</f>
        <v>8.5</v>
      </c>
    </row>
    <row r="48">
      <c r="A48" s="27" t="str">
        <f>IFERROR(__xludf.DUMMYFUNCTION("""COMPUTED_VALUE"""),"American History X")</f>
        <v>American History X</v>
      </c>
      <c r="B48" s="27">
        <f>IFERROR(__xludf.DUMMYFUNCTION("""COMPUTED_VALUE"""),119.0)</f>
        <v>119</v>
      </c>
      <c r="C48" s="27">
        <f>IFERROR(__xludf.DUMMYFUNCTION("""COMPUTED_VALUE"""),8.5)</f>
        <v>8.5</v>
      </c>
    </row>
    <row r="49">
      <c r="A49" s="27" t="str">
        <f>IFERROR(__xludf.DUMMYFUNCTION("""COMPUTED_VALUE"""),"The Usual Suspects")</f>
        <v>The Usual Suspects</v>
      </c>
      <c r="B49" s="27">
        <f>IFERROR(__xludf.DUMMYFUNCTION("""COMPUTED_VALUE"""),106.0)</f>
        <v>106</v>
      </c>
      <c r="C49" s="27">
        <f>IFERROR(__xludf.DUMMYFUNCTION("""COMPUTED_VALUE"""),8.5)</f>
        <v>8.5</v>
      </c>
    </row>
    <row r="50">
      <c r="A50" s="27" t="str">
        <f>IFERROR(__xludf.DUMMYFUNCTION("""COMPUTED_VALUE"""),"Léon: The Professional")</f>
        <v>Léon: The Professional</v>
      </c>
      <c r="B50" s="27">
        <f>IFERROR(__xludf.DUMMYFUNCTION("""COMPUTED_VALUE"""),110.0)</f>
        <v>110</v>
      </c>
      <c r="C50" s="27">
        <f>IFERROR(__xludf.DUMMYFUNCTION("""COMPUTED_VALUE"""),8.5)</f>
        <v>8.5</v>
      </c>
    </row>
    <row r="51">
      <c r="A51" s="27" t="str">
        <f>IFERROR(__xludf.DUMMYFUNCTION("""COMPUTED_VALUE"""),"The Lion King")</f>
        <v>The Lion King</v>
      </c>
      <c r="B51" s="27">
        <f>IFERROR(__xludf.DUMMYFUNCTION("""COMPUTED_VALUE"""),88.0)</f>
        <v>88</v>
      </c>
      <c r="C51" s="27">
        <f>IFERROR(__xludf.DUMMYFUNCTION("""COMPUTED_VALUE"""),8.5)</f>
        <v>8.5</v>
      </c>
    </row>
    <row r="52">
      <c r="A52" s="27" t="str">
        <f>IFERROR(__xludf.DUMMYFUNCTION("""COMPUTED_VALUE"""),"Terminator 2: Judgment Day")</f>
        <v>Terminator 2: Judgment Day</v>
      </c>
      <c r="B52" s="27">
        <f>IFERROR(__xludf.DUMMYFUNCTION("""COMPUTED_VALUE"""),137.0)</f>
        <v>137</v>
      </c>
      <c r="C52" s="27">
        <f>IFERROR(__xludf.DUMMYFUNCTION("""COMPUTED_VALUE"""),8.5)</f>
        <v>8.5</v>
      </c>
    </row>
    <row r="53">
      <c r="A53" s="27" t="str">
        <f>IFERROR(__xludf.DUMMYFUNCTION("""COMPUTED_VALUE"""),"Cinema Paradiso")</f>
        <v>Cinema Paradiso</v>
      </c>
      <c r="B53" s="27">
        <f>IFERROR(__xludf.DUMMYFUNCTION("""COMPUTED_VALUE"""),155.0)</f>
        <v>155</v>
      </c>
      <c r="C53" s="27">
        <f>IFERROR(__xludf.DUMMYFUNCTION("""COMPUTED_VALUE"""),8.5)</f>
        <v>8.5</v>
      </c>
    </row>
    <row r="54">
      <c r="A54" s="27" t="str">
        <f>IFERROR(__xludf.DUMMYFUNCTION("""COMPUTED_VALUE"""),"Grave of the Fireflies")</f>
        <v>Grave of the Fireflies</v>
      </c>
      <c r="B54" s="27">
        <f>IFERROR(__xludf.DUMMYFUNCTION("""COMPUTED_VALUE"""),89.0)</f>
        <v>89</v>
      </c>
      <c r="C54" s="27">
        <f>IFERROR(__xludf.DUMMYFUNCTION("""COMPUTED_VALUE"""),8.5)</f>
        <v>8.5</v>
      </c>
    </row>
    <row r="55">
      <c r="A55" s="27" t="str">
        <f>IFERROR(__xludf.DUMMYFUNCTION("""COMPUTED_VALUE"""),"Back to the Future")</f>
        <v>Back to the Future</v>
      </c>
      <c r="B55" s="27">
        <f>IFERROR(__xludf.DUMMYFUNCTION("""COMPUTED_VALUE"""),116.0)</f>
        <v>116</v>
      </c>
      <c r="C55" s="27">
        <f>IFERROR(__xludf.DUMMYFUNCTION("""COMPUTED_VALUE"""),8.5)</f>
        <v>8.5</v>
      </c>
    </row>
    <row r="56">
      <c r="A56" s="27" t="str">
        <f>IFERROR(__xludf.DUMMYFUNCTION("""COMPUTED_VALUE"""),"Anand")</f>
        <v>Anand</v>
      </c>
      <c r="B56" s="27">
        <f>IFERROR(__xludf.DUMMYFUNCTION("""COMPUTED_VALUE"""),122.0)</f>
        <v>122</v>
      </c>
      <c r="C56" s="27">
        <f>IFERROR(__xludf.DUMMYFUNCTION("""COMPUTED_VALUE"""),8.5)</f>
        <v>8.5</v>
      </c>
    </row>
    <row r="57">
      <c r="A57" s="27" t="str">
        <f>IFERROR(__xludf.DUMMYFUNCTION("""COMPUTED_VALUE"""),"Once Upon a Time in the West")</f>
        <v>Once Upon a Time in the West</v>
      </c>
      <c r="B57" s="27">
        <f>IFERROR(__xludf.DUMMYFUNCTION("""COMPUTED_VALUE"""),165.0)</f>
        <v>165</v>
      </c>
      <c r="C57" s="27">
        <f>IFERROR(__xludf.DUMMYFUNCTION("""COMPUTED_VALUE"""),8.5)</f>
        <v>8.5</v>
      </c>
    </row>
    <row r="58">
      <c r="A58" s="27" t="str">
        <f>IFERROR(__xludf.DUMMYFUNCTION("""COMPUTED_VALUE"""),"Psycho")</f>
        <v>Psycho</v>
      </c>
      <c r="B58" s="27">
        <f>IFERROR(__xludf.DUMMYFUNCTION("""COMPUTED_VALUE"""),109.0)</f>
        <v>109</v>
      </c>
      <c r="C58" s="27">
        <f>IFERROR(__xludf.DUMMYFUNCTION("""COMPUTED_VALUE"""),8.5)</f>
        <v>8.5</v>
      </c>
    </row>
    <row r="59">
      <c r="A59" s="27" t="str">
        <f>IFERROR(__xludf.DUMMYFUNCTION("""COMPUTED_VALUE"""),"Casablanca")</f>
        <v>Casablanca</v>
      </c>
      <c r="B59" s="27">
        <f>IFERROR(__xludf.DUMMYFUNCTION("""COMPUTED_VALUE"""),102.0)</f>
        <v>102</v>
      </c>
      <c r="C59" s="27">
        <f>IFERROR(__xludf.DUMMYFUNCTION("""COMPUTED_VALUE"""),8.5)</f>
        <v>8.5</v>
      </c>
    </row>
    <row r="60">
      <c r="A60" s="27" t="str">
        <f>IFERROR(__xludf.DUMMYFUNCTION("""COMPUTED_VALUE"""),"Modern Times")</f>
        <v>Modern Times</v>
      </c>
      <c r="B60" s="27">
        <f>IFERROR(__xludf.DUMMYFUNCTION("""COMPUTED_VALUE"""),87.0)</f>
        <v>87</v>
      </c>
      <c r="C60" s="27">
        <f>IFERROR(__xludf.DUMMYFUNCTION("""COMPUTED_VALUE"""),8.5)</f>
        <v>8.5</v>
      </c>
    </row>
    <row r="61">
      <c r="A61" s="27" t="str">
        <f>IFERROR(__xludf.DUMMYFUNCTION("""COMPUTED_VALUE"""),"City Lights")</f>
        <v>City Lights</v>
      </c>
      <c r="B61" s="27">
        <f>IFERROR(__xludf.DUMMYFUNCTION("""COMPUTED_VALUE"""),87.0)</f>
        <v>87</v>
      </c>
      <c r="C61" s="27">
        <f>IFERROR(__xludf.DUMMYFUNCTION("""COMPUTED_VALUE"""),8.5)</f>
        <v>8.5</v>
      </c>
    </row>
    <row r="62">
      <c r="A62" s="27" t="str">
        <f>IFERROR(__xludf.DUMMYFUNCTION("""COMPUTED_VALUE"""),"Capharnaüm")</f>
        <v>Capharnaüm</v>
      </c>
      <c r="B62" s="27">
        <f>IFERROR(__xludf.DUMMYFUNCTION("""COMPUTED_VALUE"""),126.0)</f>
        <v>126</v>
      </c>
      <c r="C62" s="27">
        <f>IFERROR(__xludf.DUMMYFUNCTION("""COMPUTED_VALUE"""),8.4)</f>
        <v>8.4</v>
      </c>
    </row>
    <row r="63">
      <c r="A63" s="27" t="str">
        <f>IFERROR(__xludf.DUMMYFUNCTION("""COMPUTED_VALUE"""),"Ayla: The Daughter of War")</f>
        <v>Ayla: The Daughter of War</v>
      </c>
      <c r="B63" s="27">
        <f>IFERROR(__xludf.DUMMYFUNCTION("""COMPUTED_VALUE"""),125.0)</f>
        <v>125</v>
      </c>
      <c r="C63" s="27">
        <f>IFERROR(__xludf.DUMMYFUNCTION("""COMPUTED_VALUE"""),8.4)</f>
        <v>8.4</v>
      </c>
    </row>
    <row r="64">
      <c r="A64" s="27" t="str">
        <f>IFERROR(__xludf.DUMMYFUNCTION("""COMPUTED_VALUE"""),"Your Name.")</f>
        <v>Your Name.</v>
      </c>
      <c r="B64" s="27">
        <f>IFERROR(__xludf.DUMMYFUNCTION("""COMPUTED_VALUE"""),106.0)</f>
        <v>106</v>
      </c>
      <c r="C64" s="27">
        <f>IFERROR(__xludf.DUMMYFUNCTION("""COMPUTED_VALUE"""),8.4)</f>
        <v>8.4</v>
      </c>
    </row>
    <row r="65">
      <c r="A65" s="27" t="str">
        <f>IFERROR(__xludf.DUMMYFUNCTION("""COMPUTED_VALUE"""),"Dangal")</f>
        <v>Dangal</v>
      </c>
      <c r="B65" s="27">
        <f>IFERROR(__xludf.DUMMYFUNCTION("""COMPUTED_VALUE"""),161.0)</f>
        <v>161</v>
      </c>
      <c r="C65" s="27">
        <f>IFERROR(__xludf.DUMMYFUNCTION("""COMPUTED_VALUE"""),8.4)</f>
        <v>8.4</v>
      </c>
    </row>
    <row r="66">
      <c r="A66" s="27" t="str">
        <f>IFERROR(__xludf.DUMMYFUNCTION("""COMPUTED_VALUE"""),"Spider-Man: Into the Spider-Verse")</f>
        <v>Spider-Man: Into the Spider-Verse</v>
      </c>
      <c r="B66" s="27">
        <f>IFERROR(__xludf.DUMMYFUNCTION("""COMPUTED_VALUE"""),117.0)</f>
        <v>117</v>
      </c>
      <c r="C66" s="27">
        <f>IFERROR(__xludf.DUMMYFUNCTION("""COMPUTED_VALUE"""),8.4)</f>
        <v>8.4</v>
      </c>
    </row>
    <row r="67">
      <c r="A67" s="27" t="str">
        <f>IFERROR(__xludf.DUMMYFUNCTION("""COMPUTED_VALUE"""),"Avengers: Endgame")</f>
        <v>Avengers: Endgame</v>
      </c>
      <c r="B67" s="27">
        <f>IFERROR(__xludf.DUMMYFUNCTION("""COMPUTED_VALUE"""),181.0)</f>
        <v>181</v>
      </c>
      <c r="C67" s="27">
        <f>IFERROR(__xludf.DUMMYFUNCTION("""COMPUTED_VALUE"""),8.4)</f>
        <v>8.4</v>
      </c>
    </row>
    <row r="68">
      <c r="A68" s="27" t="str">
        <f>IFERROR(__xludf.DUMMYFUNCTION("""COMPUTED_VALUE"""),"Avengers: Infinity War")</f>
        <v>Avengers: Infinity War</v>
      </c>
      <c r="B68" s="27">
        <f>IFERROR(__xludf.DUMMYFUNCTION("""COMPUTED_VALUE"""),149.0)</f>
        <v>149</v>
      </c>
      <c r="C68" s="27">
        <f>IFERROR(__xludf.DUMMYFUNCTION("""COMPUTED_VALUE"""),8.4)</f>
        <v>8.4</v>
      </c>
    </row>
    <row r="69">
      <c r="A69" s="27" t="str">
        <f>IFERROR(__xludf.DUMMYFUNCTION("""COMPUTED_VALUE"""),"Coco")</f>
        <v>Coco</v>
      </c>
      <c r="B69" s="27">
        <f>IFERROR(__xludf.DUMMYFUNCTION("""COMPUTED_VALUE"""),105.0)</f>
        <v>105</v>
      </c>
      <c r="C69" s="27">
        <f>IFERROR(__xludf.DUMMYFUNCTION("""COMPUTED_VALUE"""),8.4)</f>
        <v>8.4</v>
      </c>
    </row>
    <row r="70">
      <c r="A70" s="27" t="str">
        <f>IFERROR(__xludf.DUMMYFUNCTION("""COMPUTED_VALUE"""),"Django Unchained")</f>
        <v>Django Unchained</v>
      </c>
      <c r="B70" s="27">
        <f>IFERROR(__xludf.DUMMYFUNCTION("""COMPUTED_VALUE"""),165.0)</f>
        <v>165</v>
      </c>
      <c r="C70" s="27">
        <f>IFERROR(__xludf.DUMMYFUNCTION("""COMPUTED_VALUE"""),8.4)</f>
        <v>8.4</v>
      </c>
    </row>
    <row r="71">
      <c r="A71" s="27" t="str">
        <f>IFERROR(__xludf.DUMMYFUNCTION("""COMPUTED_VALUE"""),"The Dark Knight Rises")</f>
        <v>The Dark Knight Rises</v>
      </c>
      <c r="B71" s="27">
        <f>IFERROR(__xludf.DUMMYFUNCTION("""COMPUTED_VALUE"""),164.0)</f>
        <v>164</v>
      </c>
      <c r="C71" s="27">
        <f>IFERROR(__xludf.DUMMYFUNCTION("""COMPUTED_VALUE"""),8.4)</f>
        <v>8.4</v>
      </c>
    </row>
    <row r="72">
      <c r="A72" s="27" t="str">
        <f>IFERROR(__xludf.DUMMYFUNCTION("""COMPUTED_VALUE"""),"3 Idiots")</f>
        <v>3 Idiots</v>
      </c>
      <c r="B72" s="27">
        <f>IFERROR(__xludf.DUMMYFUNCTION("""COMPUTED_VALUE"""),170.0)</f>
        <v>170</v>
      </c>
      <c r="C72" s="27">
        <f>IFERROR(__xludf.DUMMYFUNCTION("""COMPUTED_VALUE"""),8.4)</f>
        <v>8.4</v>
      </c>
    </row>
    <row r="73">
      <c r="A73" s="27" t="str">
        <f>IFERROR(__xludf.DUMMYFUNCTION("""COMPUTED_VALUE"""),"Taare Zameen Par")</f>
        <v>Taare Zameen Par</v>
      </c>
      <c r="B73" s="27">
        <f>IFERROR(__xludf.DUMMYFUNCTION("""COMPUTED_VALUE"""),165.0)</f>
        <v>165</v>
      </c>
      <c r="C73" s="27">
        <f>IFERROR(__xludf.DUMMYFUNCTION("""COMPUTED_VALUE"""),8.4)</f>
        <v>8.4</v>
      </c>
    </row>
    <row r="74">
      <c r="A74" s="27" t="str">
        <f>IFERROR(__xludf.DUMMYFUNCTION("""COMPUTED_VALUE"""),"WALL·E")</f>
        <v>WALL·E</v>
      </c>
      <c r="B74" s="27">
        <f>IFERROR(__xludf.DUMMYFUNCTION("""COMPUTED_VALUE"""),98.0)</f>
        <v>98</v>
      </c>
      <c r="C74" s="27">
        <f>IFERROR(__xludf.DUMMYFUNCTION("""COMPUTED_VALUE"""),8.4)</f>
        <v>8.4</v>
      </c>
    </row>
    <row r="75">
      <c r="A75" s="27" t="str">
        <f>IFERROR(__xludf.DUMMYFUNCTION("""COMPUTED_VALUE"""),"The Lives of Others")</f>
        <v>The Lives of Others</v>
      </c>
      <c r="B75" s="27">
        <f>IFERROR(__xludf.DUMMYFUNCTION("""COMPUTED_VALUE"""),137.0)</f>
        <v>137</v>
      </c>
      <c r="C75" s="27">
        <f>IFERROR(__xludf.DUMMYFUNCTION("""COMPUTED_VALUE"""),8.4)</f>
        <v>8.4</v>
      </c>
    </row>
    <row r="76">
      <c r="A76" s="27" t="str">
        <f>IFERROR(__xludf.DUMMYFUNCTION("""COMPUTED_VALUE"""),"Oldboy")</f>
        <v>Oldboy</v>
      </c>
      <c r="B76" s="27">
        <f>IFERROR(__xludf.DUMMYFUNCTION("""COMPUTED_VALUE"""),120.0)</f>
        <v>120</v>
      </c>
      <c r="C76" s="27">
        <f>IFERROR(__xludf.DUMMYFUNCTION("""COMPUTED_VALUE"""),8.4)</f>
        <v>8.4</v>
      </c>
    </row>
    <row r="77">
      <c r="A77" s="27" t="str">
        <f>IFERROR(__xludf.DUMMYFUNCTION("""COMPUTED_VALUE"""),"Memento")</f>
        <v>Memento</v>
      </c>
      <c r="B77" s="27">
        <f>IFERROR(__xludf.DUMMYFUNCTION("""COMPUTED_VALUE"""),113.0)</f>
        <v>113</v>
      </c>
      <c r="C77" s="27">
        <f>IFERROR(__xludf.DUMMYFUNCTION("""COMPUTED_VALUE"""),8.4)</f>
        <v>8.4</v>
      </c>
    </row>
    <row r="78">
      <c r="A78" s="27" t="str">
        <f>IFERROR(__xludf.DUMMYFUNCTION("""COMPUTED_VALUE"""),"Princess Mononoke")</f>
        <v>Princess Mononoke</v>
      </c>
      <c r="B78" s="27">
        <f>IFERROR(__xludf.DUMMYFUNCTION("""COMPUTED_VALUE"""),134.0)</f>
        <v>134</v>
      </c>
      <c r="C78" s="27">
        <f>IFERROR(__xludf.DUMMYFUNCTION("""COMPUTED_VALUE"""),8.4)</f>
        <v>8.4</v>
      </c>
    </row>
    <row r="79">
      <c r="A79" s="27" t="str">
        <f>IFERROR(__xludf.DUMMYFUNCTION("""COMPUTED_VALUE"""),"Once Upon a Time in America")</f>
        <v>Once Upon a Time in America</v>
      </c>
      <c r="B79" s="27">
        <f>IFERROR(__xludf.DUMMYFUNCTION("""COMPUTED_VALUE"""),229.0)</f>
        <v>229</v>
      </c>
      <c r="C79" s="27">
        <f>IFERROR(__xludf.DUMMYFUNCTION("""COMPUTED_VALUE"""),8.4)</f>
        <v>8.4</v>
      </c>
    </row>
    <row r="80">
      <c r="A80" s="27" t="str">
        <f>IFERROR(__xludf.DUMMYFUNCTION("""COMPUTED_VALUE"""),"Raiders of the Lost Ark")</f>
        <v>Raiders of the Lost Ark</v>
      </c>
      <c r="B80" s="27">
        <f>IFERROR(__xludf.DUMMYFUNCTION("""COMPUTED_VALUE"""),115.0)</f>
        <v>115</v>
      </c>
      <c r="C80" s="27">
        <f>IFERROR(__xludf.DUMMYFUNCTION("""COMPUTED_VALUE"""),8.4)</f>
        <v>8.4</v>
      </c>
    </row>
    <row r="81">
      <c r="A81" s="27" t="str">
        <f>IFERROR(__xludf.DUMMYFUNCTION("""COMPUTED_VALUE"""),"The Shining")</f>
        <v>The Shining</v>
      </c>
      <c r="B81" s="27">
        <f>IFERROR(__xludf.DUMMYFUNCTION("""COMPUTED_VALUE"""),146.0)</f>
        <v>146</v>
      </c>
      <c r="C81" s="27">
        <f>IFERROR(__xludf.DUMMYFUNCTION("""COMPUTED_VALUE"""),8.4)</f>
        <v>8.4</v>
      </c>
    </row>
    <row r="82">
      <c r="A82" s="27" t="str">
        <f>IFERROR(__xludf.DUMMYFUNCTION("""COMPUTED_VALUE"""),"Apocalypse Now")</f>
        <v>Apocalypse Now</v>
      </c>
      <c r="B82" s="27">
        <f>IFERROR(__xludf.DUMMYFUNCTION("""COMPUTED_VALUE"""),147.0)</f>
        <v>147</v>
      </c>
      <c r="C82" s="27">
        <f>IFERROR(__xludf.DUMMYFUNCTION("""COMPUTED_VALUE"""),8.4)</f>
        <v>8.4</v>
      </c>
    </row>
    <row r="83">
      <c r="A83" s="27" t="str">
        <f>IFERROR(__xludf.DUMMYFUNCTION("""COMPUTED_VALUE"""),"Alien")</f>
        <v>Alien</v>
      </c>
      <c r="B83" s="27">
        <f>IFERROR(__xludf.DUMMYFUNCTION("""COMPUTED_VALUE"""),117.0)</f>
        <v>117</v>
      </c>
      <c r="C83" s="27">
        <f>IFERROR(__xludf.DUMMYFUNCTION("""COMPUTED_VALUE"""),8.4)</f>
        <v>8.4</v>
      </c>
    </row>
    <row r="84">
      <c r="A84" s="27" t="str">
        <f>IFERROR(__xludf.DUMMYFUNCTION("""COMPUTED_VALUE"""),"High and Low")</f>
        <v>High and Low</v>
      </c>
      <c r="B84" s="27">
        <f>IFERROR(__xludf.DUMMYFUNCTION("""COMPUTED_VALUE"""),143.0)</f>
        <v>143</v>
      </c>
      <c r="C84" s="27">
        <f>IFERROR(__xludf.DUMMYFUNCTION("""COMPUTED_VALUE"""),8.4)</f>
        <v>8.4</v>
      </c>
    </row>
    <row r="85">
      <c r="A85" s="27" t="str">
        <f>IFERROR(__xludf.DUMMYFUNCTION("""COMPUTED_VALUE"""),"Dr. Strangelove or: How I Learned to Stop Worrying and Love the Bomb")</f>
        <v>Dr. Strangelove or: How I Learned to Stop Worrying and Love the Bomb</v>
      </c>
      <c r="B85" s="27">
        <f>IFERROR(__xludf.DUMMYFUNCTION("""COMPUTED_VALUE"""),95.0)</f>
        <v>95</v>
      </c>
      <c r="C85" s="27">
        <f>IFERROR(__xludf.DUMMYFUNCTION("""COMPUTED_VALUE"""),8.4)</f>
        <v>8.4</v>
      </c>
    </row>
    <row r="86">
      <c r="A86" s="27" t="str">
        <f>IFERROR(__xludf.DUMMYFUNCTION("""COMPUTED_VALUE"""),"Witness for the Prosecution")</f>
        <v>Witness for the Prosecution</v>
      </c>
      <c r="B86" s="27">
        <f>IFERROR(__xludf.DUMMYFUNCTION("""COMPUTED_VALUE"""),116.0)</f>
        <v>116</v>
      </c>
      <c r="C86" s="27">
        <f>IFERROR(__xludf.DUMMYFUNCTION("""COMPUTED_VALUE"""),8.4)</f>
        <v>8.4</v>
      </c>
    </row>
    <row r="87">
      <c r="A87" s="27" t="str">
        <f>IFERROR(__xludf.DUMMYFUNCTION("""COMPUTED_VALUE"""),"Paths of Glory")</f>
        <v>Paths of Glory</v>
      </c>
      <c r="B87" s="27">
        <f>IFERROR(__xludf.DUMMYFUNCTION("""COMPUTED_VALUE"""),88.0)</f>
        <v>88</v>
      </c>
      <c r="C87" s="27">
        <f>IFERROR(__xludf.DUMMYFUNCTION("""COMPUTED_VALUE"""),8.4)</f>
        <v>8.4</v>
      </c>
    </row>
    <row r="88">
      <c r="A88" s="27" t="str">
        <f>IFERROR(__xludf.DUMMYFUNCTION("""COMPUTED_VALUE"""),"Rear Window")</f>
        <v>Rear Window</v>
      </c>
      <c r="B88" s="27">
        <f>IFERROR(__xludf.DUMMYFUNCTION("""COMPUTED_VALUE"""),112.0)</f>
        <v>112</v>
      </c>
      <c r="C88" s="27">
        <f>IFERROR(__xludf.DUMMYFUNCTION("""COMPUTED_VALUE"""),8.4)</f>
        <v>8.4</v>
      </c>
    </row>
    <row r="89">
      <c r="A89" s="27" t="str">
        <f>IFERROR(__xludf.DUMMYFUNCTION("""COMPUTED_VALUE"""),"Sunset Blvd.")</f>
        <v>Sunset Blvd.</v>
      </c>
      <c r="B89" s="27">
        <f>IFERROR(__xludf.DUMMYFUNCTION("""COMPUTED_VALUE"""),110.0)</f>
        <v>110</v>
      </c>
      <c r="C89" s="27">
        <f>IFERROR(__xludf.DUMMYFUNCTION("""COMPUTED_VALUE"""),8.4)</f>
        <v>8.4</v>
      </c>
    </row>
    <row r="90">
      <c r="A90" s="27" t="str">
        <f>IFERROR(__xludf.DUMMYFUNCTION("""COMPUTED_VALUE"""),"The Great Dictator")</f>
        <v>The Great Dictator</v>
      </c>
      <c r="B90" s="27">
        <f>IFERROR(__xludf.DUMMYFUNCTION("""COMPUTED_VALUE"""),125.0)</f>
        <v>125</v>
      </c>
      <c r="C90" s="27">
        <f>IFERROR(__xludf.DUMMYFUNCTION("""COMPUTED_VALUE"""),8.4)</f>
        <v>8.4</v>
      </c>
    </row>
    <row r="91">
      <c r="A91" s="27" t="str">
        <f>IFERROR(__xludf.DUMMYFUNCTION("""COMPUTED_VALUE"""),"1917")</f>
        <v>1917</v>
      </c>
      <c r="B91" s="27">
        <f>IFERROR(__xludf.DUMMYFUNCTION("""COMPUTED_VALUE"""),119.0)</f>
        <v>119</v>
      </c>
      <c r="C91" s="27">
        <f>IFERROR(__xludf.DUMMYFUNCTION("""COMPUTED_VALUE"""),8.3)</f>
        <v>8.3</v>
      </c>
    </row>
    <row r="92">
      <c r="A92" s="27" t="str">
        <f>IFERROR(__xludf.DUMMYFUNCTION("""COMPUTED_VALUE"""),"Uri: The Surgical Strike")</f>
        <v>Uri: The Surgical Strike</v>
      </c>
      <c r="B92" s="27">
        <f>IFERROR(__xludf.DUMMYFUNCTION("""COMPUTED_VALUE"""),138.0)</f>
        <v>138</v>
      </c>
      <c r="C92" s="27">
        <f>IFERROR(__xludf.DUMMYFUNCTION("""COMPUTED_VALUE"""),8.3)</f>
        <v>8.3</v>
      </c>
    </row>
    <row r="93">
      <c r="A93" s="27" t="str">
        <f>IFERROR(__xludf.DUMMYFUNCTION("""COMPUTED_VALUE"""),"Tumbbad")</f>
        <v>Tumbbad</v>
      </c>
      <c r="B93" s="27">
        <f>IFERROR(__xludf.DUMMYFUNCTION("""COMPUTED_VALUE"""),104.0)</f>
        <v>104</v>
      </c>
      <c r="C93" s="27">
        <f>IFERROR(__xludf.DUMMYFUNCTION("""COMPUTED_VALUE"""),8.3)</f>
        <v>8.3</v>
      </c>
    </row>
    <row r="94">
      <c r="A94" s="27" t="str">
        <f>IFERROR(__xludf.DUMMYFUNCTION("""COMPUTED_VALUE"""),"Andhadhun")</f>
        <v>Andhadhun</v>
      </c>
      <c r="B94" s="27">
        <f>IFERROR(__xludf.DUMMYFUNCTION("""COMPUTED_VALUE"""),139.0)</f>
        <v>139</v>
      </c>
      <c r="C94" s="27">
        <f>IFERROR(__xludf.DUMMYFUNCTION("""COMPUTED_VALUE"""),8.3)</f>
        <v>8.3</v>
      </c>
    </row>
    <row r="95">
      <c r="A95" s="27" t="str">
        <f>IFERROR(__xludf.DUMMYFUNCTION("""COMPUTED_VALUE"""),"Drishyam")</f>
        <v>Drishyam</v>
      </c>
      <c r="B95" s="27">
        <f>IFERROR(__xludf.DUMMYFUNCTION("""COMPUTED_VALUE"""),160.0)</f>
        <v>160</v>
      </c>
      <c r="C95" s="27">
        <f>IFERROR(__xludf.DUMMYFUNCTION("""COMPUTED_VALUE"""),8.3)</f>
        <v>8.3</v>
      </c>
    </row>
    <row r="96">
      <c r="A96" s="27" t="str">
        <f>IFERROR(__xludf.DUMMYFUNCTION("""COMPUTED_VALUE"""),"The Hunt")</f>
        <v>The Hunt</v>
      </c>
      <c r="B96" s="27">
        <f>IFERROR(__xludf.DUMMYFUNCTION("""COMPUTED_VALUE"""),115.0)</f>
        <v>115</v>
      </c>
      <c r="C96" s="27">
        <f>IFERROR(__xludf.DUMMYFUNCTION("""COMPUTED_VALUE"""),8.3)</f>
        <v>8.3</v>
      </c>
    </row>
    <row r="97">
      <c r="A97" s="27" t="str">
        <f>IFERROR(__xludf.DUMMYFUNCTION("""COMPUTED_VALUE"""),"A Separation")</f>
        <v>A Separation</v>
      </c>
      <c r="B97" s="27">
        <f>IFERROR(__xludf.DUMMYFUNCTION("""COMPUTED_VALUE"""),123.0)</f>
        <v>123</v>
      </c>
      <c r="C97" s="27">
        <f>IFERROR(__xludf.DUMMYFUNCTION("""COMPUTED_VALUE"""),8.3)</f>
        <v>8.3</v>
      </c>
    </row>
    <row r="98">
      <c r="A98" s="27" t="str">
        <f>IFERROR(__xludf.DUMMYFUNCTION("""COMPUTED_VALUE"""),"Incendies")</f>
        <v>Incendies</v>
      </c>
      <c r="B98" s="27">
        <f>IFERROR(__xludf.DUMMYFUNCTION("""COMPUTED_VALUE"""),131.0)</f>
        <v>131</v>
      </c>
      <c r="C98" s="27">
        <f>IFERROR(__xludf.DUMMYFUNCTION("""COMPUTED_VALUE"""),8.3)</f>
        <v>8.3</v>
      </c>
    </row>
    <row r="99">
      <c r="A99" s="27" t="str">
        <f>IFERROR(__xludf.DUMMYFUNCTION("""COMPUTED_VALUE"""),"Yedinci Kogustaki Mucize")</f>
        <v>Yedinci Kogustaki Mucize</v>
      </c>
      <c r="B99" s="27">
        <f>IFERROR(__xludf.DUMMYFUNCTION("""COMPUTED_VALUE"""),132.0)</f>
        <v>132</v>
      </c>
      <c r="C99" s="27">
        <f>IFERROR(__xludf.DUMMYFUNCTION("""COMPUTED_VALUE"""),8.3)</f>
        <v>8.3</v>
      </c>
    </row>
    <row r="100">
      <c r="A100" s="27" t="str">
        <f>IFERROR(__xludf.DUMMYFUNCTION("""COMPUTED_VALUE"""),"Babam ve Oglum")</f>
        <v>Babam ve Oglum</v>
      </c>
      <c r="B100" s="27">
        <f>IFERROR(__xludf.DUMMYFUNCTION("""COMPUTED_VALUE"""),112.0)</f>
        <v>112</v>
      </c>
      <c r="C100" s="27">
        <f>IFERROR(__xludf.DUMMYFUNCTION("""COMPUTED_VALUE"""),8.3)</f>
        <v>8.3</v>
      </c>
    </row>
    <row r="101">
      <c r="A101" s="27" t="str">
        <f>IFERROR(__xludf.DUMMYFUNCTION("""COMPUTED_VALUE"""),"Toy Story 3")</f>
        <v>Toy Story 3</v>
      </c>
      <c r="B101" s="27">
        <f>IFERROR(__xludf.DUMMYFUNCTION("""COMPUTED_VALUE"""),103.0)</f>
        <v>103</v>
      </c>
      <c r="C101" s="27">
        <f>IFERROR(__xludf.DUMMYFUNCTION("""COMPUTED_VALUE"""),8.3)</f>
        <v>8.3</v>
      </c>
    </row>
    <row r="102">
      <c r="A102" s="27" t="str">
        <f>IFERROR(__xludf.DUMMYFUNCTION("""COMPUTED_VALUE"""),"Inglourious Basterds")</f>
        <v>Inglourious Basterds</v>
      </c>
      <c r="B102" s="27">
        <f>IFERROR(__xludf.DUMMYFUNCTION("""COMPUTED_VALUE"""),153.0)</f>
        <v>153</v>
      </c>
      <c r="C102" s="27">
        <f>IFERROR(__xludf.DUMMYFUNCTION("""COMPUTED_VALUE"""),8.3)</f>
        <v>8.3</v>
      </c>
    </row>
    <row r="103">
      <c r="A103" s="27" t="str">
        <f>IFERROR(__xludf.DUMMYFUNCTION("""COMPUTED_VALUE"""),"Eternal Sunshine of the Spotless Mind")</f>
        <v>Eternal Sunshine of the Spotless Mind</v>
      </c>
      <c r="B103" s="27">
        <f>IFERROR(__xludf.DUMMYFUNCTION("""COMPUTED_VALUE"""),108.0)</f>
        <v>108</v>
      </c>
      <c r="C103" s="27">
        <f>IFERROR(__xludf.DUMMYFUNCTION("""COMPUTED_VALUE"""),8.3)</f>
        <v>8.3</v>
      </c>
    </row>
    <row r="104">
      <c r="A104" s="27" t="str">
        <f>IFERROR(__xludf.DUMMYFUNCTION("""COMPUTED_VALUE"""),"Amélie")</f>
        <v>Amélie</v>
      </c>
      <c r="B104" s="27">
        <f>IFERROR(__xludf.DUMMYFUNCTION("""COMPUTED_VALUE"""),122.0)</f>
        <v>122</v>
      </c>
      <c r="C104" s="27">
        <f>IFERROR(__xludf.DUMMYFUNCTION("""COMPUTED_VALUE"""),8.3)</f>
        <v>8.3</v>
      </c>
    </row>
    <row r="105">
      <c r="A105" s="27" t="str">
        <f>IFERROR(__xludf.DUMMYFUNCTION("""COMPUTED_VALUE"""),"Snatch")</f>
        <v>Snatch</v>
      </c>
      <c r="B105" s="27">
        <f>IFERROR(__xludf.DUMMYFUNCTION("""COMPUTED_VALUE"""),102.0)</f>
        <v>102</v>
      </c>
      <c r="C105" s="27">
        <f>IFERROR(__xludf.DUMMYFUNCTION("""COMPUTED_VALUE"""),8.3)</f>
        <v>8.3</v>
      </c>
    </row>
    <row r="106">
      <c r="A106" s="27" t="str">
        <f>IFERROR(__xludf.DUMMYFUNCTION("""COMPUTED_VALUE"""),"Requiem for a Dream")</f>
        <v>Requiem for a Dream</v>
      </c>
      <c r="B106" s="27">
        <f>IFERROR(__xludf.DUMMYFUNCTION("""COMPUTED_VALUE"""),102.0)</f>
        <v>102</v>
      </c>
      <c r="C106" s="27">
        <f>IFERROR(__xludf.DUMMYFUNCTION("""COMPUTED_VALUE"""),8.3)</f>
        <v>8.3</v>
      </c>
    </row>
    <row r="107">
      <c r="A107" s="27" t="str">
        <f>IFERROR(__xludf.DUMMYFUNCTION("""COMPUTED_VALUE"""),"American Beauty")</f>
        <v>American Beauty</v>
      </c>
      <c r="B107" s="27">
        <f>IFERROR(__xludf.DUMMYFUNCTION("""COMPUTED_VALUE"""),122.0)</f>
        <v>122</v>
      </c>
      <c r="C107" s="27">
        <f>IFERROR(__xludf.DUMMYFUNCTION("""COMPUTED_VALUE"""),8.3)</f>
        <v>8.3</v>
      </c>
    </row>
    <row r="108">
      <c r="A108" s="27" t="str">
        <f>IFERROR(__xludf.DUMMYFUNCTION("""COMPUTED_VALUE"""),"Good Will Hunting")</f>
        <v>Good Will Hunting</v>
      </c>
      <c r="B108" s="27">
        <f>IFERROR(__xludf.DUMMYFUNCTION("""COMPUTED_VALUE"""),126.0)</f>
        <v>126</v>
      </c>
      <c r="C108" s="27">
        <f>IFERROR(__xludf.DUMMYFUNCTION("""COMPUTED_VALUE"""),8.3)</f>
        <v>8.3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8" t="s">
        <v>23</v>
      </c>
      <c r="B1" s="28" t="s">
        <v>24</v>
      </c>
      <c r="C1" s="28" t="s">
        <v>25</v>
      </c>
      <c r="D1" s="28" t="s">
        <v>26</v>
      </c>
      <c r="E1" s="28" t="s">
        <v>27</v>
      </c>
      <c r="F1" s="28" t="s">
        <v>28</v>
      </c>
      <c r="G1" s="28" t="s">
        <v>29</v>
      </c>
    </row>
    <row r="2">
      <c r="A2" s="29">
        <v>1.0</v>
      </c>
      <c r="B2" s="29" t="s">
        <v>30</v>
      </c>
      <c r="C2" s="29">
        <v>1994.0</v>
      </c>
      <c r="D2" s="29" t="s">
        <v>31</v>
      </c>
      <c r="E2" s="29">
        <v>142.0</v>
      </c>
      <c r="F2" s="29" t="s">
        <v>32</v>
      </c>
      <c r="G2" s="29">
        <v>9.3</v>
      </c>
    </row>
    <row r="3">
      <c r="A3" s="29">
        <v>2.0</v>
      </c>
      <c r="B3" s="29" t="s">
        <v>33</v>
      </c>
      <c r="C3" s="29">
        <v>1972.0</v>
      </c>
      <c r="D3" s="29" t="s">
        <v>31</v>
      </c>
      <c r="E3" s="29">
        <v>175.0</v>
      </c>
      <c r="F3" s="29" t="s">
        <v>34</v>
      </c>
      <c r="G3" s="29">
        <v>9.2</v>
      </c>
    </row>
    <row r="4">
      <c r="A4" s="29">
        <v>3.0</v>
      </c>
      <c r="B4" s="29" t="s">
        <v>35</v>
      </c>
      <c r="C4" s="29">
        <v>2008.0</v>
      </c>
      <c r="D4" s="29" t="s">
        <v>36</v>
      </c>
      <c r="E4" s="29">
        <v>152.0</v>
      </c>
      <c r="F4" s="29" t="s">
        <v>37</v>
      </c>
      <c r="G4" s="29">
        <v>9.0</v>
      </c>
    </row>
    <row r="5">
      <c r="A5" s="29">
        <v>4.0</v>
      </c>
      <c r="B5" s="29" t="s">
        <v>38</v>
      </c>
      <c r="C5" s="29">
        <v>1974.0</v>
      </c>
      <c r="D5" s="29" t="s">
        <v>31</v>
      </c>
      <c r="E5" s="29">
        <v>202.0</v>
      </c>
      <c r="F5" s="29" t="s">
        <v>34</v>
      </c>
      <c r="G5" s="29">
        <v>9.0</v>
      </c>
    </row>
    <row r="6">
      <c r="A6" s="29">
        <v>5.0</v>
      </c>
      <c r="B6" s="29" t="s">
        <v>39</v>
      </c>
      <c r="C6" s="29">
        <v>2003.0</v>
      </c>
      <c r="D6" s="29" t="s">
        <v>36</v>
      </c>
      <c r="E6" s="29">
        <v>201.0</v>
      </c>
      <c r="F6" s="29" t="s">
        <v>40</v>
      </c>
      <c r="G6" s="29">
        <v>8.9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8" t="s">
        <v>23</v>
      </c>
      <c r="B1" s="28" t="s">
        <v>24</v>
      </c>
      <c r="C1" s="28" t="s">
        <v>25</v>
      </c>
      <c r="D1" s="28" t="s">
        <v>26</v>
      </c>
      <c r="E1" s="28" t="s">
        <v>27</v>
      </c>
      <c r="F1" s="28" t="s">
        <v>28</v>
      </c>
      <c r="G1" s="28" t="s">
        <v>29</v>
      </c>
    </row>
    <row r="2">
      <c r="A2" s="29">
        <v>1.0</v>
      </c>
      <c r="B2" s="29" t="s">
        <v>30</v>
      </c>
      <c r="C2" s="29">
        <v>1994.0</v>
      </c>
      <c r="D2" s="29" t="s">
        <v>31</v>
      </c>
      <c r="E2" s="29">
        <v>142.0</v>
      </c>
      <c r="F2" s="29" t="s">
        <v>32</v>
      </c>
      <c r="G2" s="29">
        <v>9.3</v>
      </c>
    </row>
    <row r="3">
      <c r="A3" s="29">
        <v>2.0</v>
      </c>
      <c r="B3" s="29" t="s">
        <v>33</v>
      </c>
      <c r="C3" s="29">
        <v>1972.0</v>
      </c>
      <c r="D3" s="29" t="s">
        <v>31</v>
      </c>
      <c r="E3" s="29">
        <v>175.0</v>
      </c>
      <c r="F3" s="29" t="s">
        <v>34</v>
      </c>
      <c r="G3" s="29">
        <v>9.2</v>
      </c>
    </row>
    <row r="4">
      <c r="A4" s="29">
        <v>3.0</v>
      </c>
      <c r="B4" s="29" t="s">
        <v>35</v>
      </c>
      <c r="C4" s="29">
        <v>2008.0</v>
      </c>
      <c r="D4" s="29" t="s">
        <v>36</v>
      </c>
      <c r="E4" s="29">
        <v>152.0</v>
      </c>
      <c r="F4" s="29" t="s">
        <v>37</v>
      </c>
      <c r="G4" s="29">
        <v>9.0</v>
      </c>
    </row>
    <row r="5">
      <c r="A5" s="29">
        <v>4.0</v>
      </c>
      <c r="B5" s="29" t="s">
        <v>38</v>
      </c>
      <c r="C5" s="29">
        <v>1974.0</v>
      </c>
      <c r="D5" s="29" t="s">
        <v>31</v>
      </c>
      <c r="E5" s="29">
        <v>202.0</v>
      </c>
      <c r="F5" s="29" t="s">
        <v>34</v>
      </c>
      <c r="G5" s="29">
        <v>9.0</v>
      </c>
    </row>
    <row r="6">
      <c r="A6" s="29">
        <v>5.0</v>
      </c>
      <c r="B6" s="29" t="s">
        <v>39</v>
      </c>
      <c r="C6" s="29">
        <v>2003.0</v>
      </c>
      <c r="D6" s="29" t="s">
        <v>36</v>
      </c>
      <c r="E6" s="29">
        <v>201.0</v>
      </c>
      <c r="F6" s="29" t="s">
        <v>40</v>
      </c>
      <c r="G6" s="29">
        <v>8.9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303</v>
      </c>
    </row>
    <row r="2">
      <c r="A2" s="16" t="s">
        <v>304</v>
      </c>
      <c r="B2" s="68" t="s">
        <v>305</v>
      </c>
      <c r="I2" s="26" t="s">
        <v>306</v>
      </c>
      <c r="J2" s="69" t="s">
        <v>307</v>
      </c>
    </row>
    <row r="4">
      <c r="A4" s="27" t="str">
        <f>IFERROR(__xludf.DUMMYFUNCTION("IMPORTDATA(""https://gist.githubusercontent.com/seankross/a412dfbd88b3db70b74b/raw/5f23f993cd87c283ce766e7ac6b329ee7cc2e1d1/mtcars.csv"")"),"model")</f>
        <v>model</v>
      </c>
      <c r="B4" s="27" t="str">
        <f>IFERROR(__xludf.DUMMYFUNCTION("""COMPUTED_VALUE"""),"mpg")</f>
        <v>mpg</v>
      </c>
      <c r="C4" s="27" t="str">
        <f>IFERROR(__xludf.DUMMYFUNCTION("""COMPUTED_VALUE"""),"cyl")</f>
        <v>cyl</v>
      </c>
      <c r="D4" s="27" t="str">
        <f>IFERROR(__xludf.DUMMYFUNCTION("""COMPUTED_VALUE"""),"disp")</f>
        <v>disp</v>
      </c>
      <c r="E4" s="27" t="str">
        <f>IFERROR(__xludf.DUMMYFUNCTION("""COMPUTED_VALUE"""),"hp")</f>
        <v>hp</v>
      </c>
      <c r="F4" s="27" t="str">
        <f>IFERROR(__xludf.DUMMYFUNCTION("""COMPUTED_VALUE"""),"drat")</f>
        <v>drat</v>
      </c>
      <c r="G4" s="27" t="str">
        <f>IFERROR(__xludf.DUMMYFUNCTION("""COMPUTED_VALUE"""),"wt")</f>
        <v>wt</v>
      </c>
      <c r="H4" s="27" t="str">
        <f>IFERROR(__xludf.DUMMYFUNCTION("""COMPUTED_VALUE"""),"qsec")</f>
        <v>qsec</v>
      </c>
      <c r="I4" s="27" t="str">
        <f>IFERROR(__xludf.DUMMYFUNCTION("""COMPUTED_VALUE"""),"vs")</f>
        <v>vs</v>
      </c>
      <c r="J4" s="27" t="str">
        <f>IFERROR(__xludf.DUMMYFUNCTION("""COMPUTED_VALUE"""),"am")</f>
        <v>am</v>
      </c>
      <c r="K4" s="27" t="str">
        <f>IFERROR(__xludf.DUMMYFUNCTION("""COMPUTED_VALUE"""),"gear")</f>
        <v>gear</v>
      </c>
      <c r="L4" s="27" t="str">
        <f>IFERROR(__xludf.DUMMYFUNCTION("""COMPUTED_VALUE"""),"carb")</f>
        <v>carb</v>
      </c>
    </row>
    <row r="5">
      <c r="A5" s="27" t="str">
        <f>IFERROR(__xludf.DUMMYFUNCTION("""COMPUTED_VALUE"""),"Mazda RX4")</f>
        <v>Mazda RX4</v>
      </c>
      <c r="B5" s="27">
        <f>IFERROR(__xludf.DUMMYFUNCTION("""COMPUTED_VALUE"""),21.0)</f>
        <v>21</v>
      </c>
      <c r="C5" s="27">
        <f>IFERROR(__xludf.DUMMYFUNCTION("""COMPUTED_VALUE"""),6.0)</f>
        <v>6</v>
      </c>
      <c r="D5" s="27">
        <f>IFERROR(__xludf.DUMMYFUNCTION("""COMPUTED_VALUE"""),160.0)</f>
        <v>160</v>
      </c>
      <c r="E5" s="27">
        <f>IFERROR(__xludf.DUMMYFUNCTION("""COMPUTED_VALUE"""),110.0)</f>
        <v>110</v>
      </c>
      <c r="F5" s="27">
        <f>IFERROR(__xludf.DUMMYFUNCTION("""COMPUTED_VALUE"""),3.9)</f>
        <v>3.9</v>
      </c>
      <c r="G5" s="27">
        <f>IFERROR(__xludf.DUMMYFUNCTION("""COMPUTED_VALUE"""),2.62)</f>
        <v>2.62</v>
      </c>
      <c r="H5" s="27">
        <f>IFERROR(__xludf.DUMMYFUNCTION("""COMPUTED_VALUE"""),16.46)</f>
        <v>16.46</v>
      </c>
      <c r="I5" s="27">
        <f>IFERROR(__xludf.DUMMYFUNCTION("""COMPUTED_VALUE"""),0.0)</f>
        <v>0</v>
      </c>
      <c r="J5" s="27">
        <f>IFERROR(__xludf.DUMMYFUNCTION("""COMPUTED_VALUE"""),1.0)</f>
        <v>1</v>
      </c>
      <c r="K5" s="27">
        <f>IFERROR(__xludf.DUMMYFUNCTION("""COMPUTED_VALUE"""),4.0)</f>
        <v>4</v>
      </c>
      <c r="L5" s="27">
        <f>IFERROR(__xludf.DUMMYFUNCTION("""COMPUTED_VALUE"""),4.0)</f>
        <v>4</v>
      </c>
    </row>
    <row r="6">
      <c r="A6" s="27" t="str">
        <f>IFERROR(__xludf.DUMMYFUNCTION("""COMPUTED_VALUE"""),"Mazda RX4 Wag")</f>
        <v>Mazda RX4 Wag</v>
      </c>
      <c r="B6" s="27">
        <f>IFERROR(__xludf.DUMMYFUNCTION("""COMPUTED_VALUE"""),21.0)</f>
        <v>21</v>
      </c>
      <c r="C6" s="27">
        <f>IFERROR(__xludf.DUMMYFUNCTION("""COMPUTED_VALUE"""),6.0)</f>
        <v>6</v>
      </c>
      <c r="D6" s="27">
        <f>IFERROR(__xludf.DUMMYFUNCTION("""COMPUTED_VALUE"""),160.0)</f>
        <v>160</v>
      </c>
      <c r="E6" s="27">
        <f>IFERROR(__xludf.DUMMYFUNCTION("""COMPUTED_VALUE"""),110.0)</f>
        <v>110</v>
      </c>
      <c r="F6" s="27">
        <f>IFERROR(__xludf.DUMMYFUNCTION("""COMPUTED_VALUE"""),3.9)</f>
        <v>3.9</v>
      </c>
      <c r="G6" s="27">
        <f>IFERROR(__xludf.DUMMYFUNCTION("""COMPUTED_VALUE"""),2.875)</f>
        <v>2.875</v>
      </c>
      <c r="H6" s="27">
        <f>IFERROR(__xludf.DUMMYFUNCTION("""COMPUTED_VALUE"""),17.02)</f>
        <v>17.02</v>
      </c>
      <c r="I6" s="27">
        <f>IFERROR(__xludf.DUMMYFUNCTION("""COMPUTED_VALUE"""),0.0)</f>
        <v>0</v>
      </c>
      <c r="J6" s="27">
        <f>IFERROR(__xludf.DUMMYFUNCTION("""COMPUTED_VALUE"""),1.0)</f>
        <v>1</v>
      </c>
      <c r="K6" s="27">
        <f>IFERROR(__xludf.DUMMYFUNCTION("""COMPUTED_VALUE"""),4.0)</f>
        <v>4</v>
      </c>
      <c r="L6" s="27">
        <f>IFERROR(__xludf.DUMMYFUNCTION("""COMPUTED_VALUE"""),4.0)</f>
        <v>4</v>
      </c>
    </row>
    <row r="7">
      <c r="A7" s="27" t="str">
        <f>IFERROR(__xludf.DUMMYFUNCTION("""COMPUTED_VALUE"""),"Datsun 710")</f>
        <v>Datsun 710</v>
      </c>
      <c r="B7" s="27">
        <f>IFERROR(__xludf.DUMMYFUNCTION("""COMPUTED_VALUE"""),22.8)</f>
        <v>22.8</v>
      </c>
      <c r="C7" s="27">
        <f>IFERROR(__xludf.DUMMYFUNCTION("""COMPUTED_VALUE"""),4.0)</f>
        <v>4</v>
      </c>
      <c r="D7" s="27">
        <f>IFERROR(__xludf.DUMMYFUNCTION("""COMPUTED_VALUE"""),108.0)</f>
        <v>108</v>
      </c>
      <c r="E7" s="27">
        <f>IFERROR(__xludf.DUMMYFUNCTION("""COMPUTED_VALUE"""),93.0)</f>
        <v>93</v>
      </c>
      <c r="F7" s="27">
        <f>IFERROR(__xludf.DUMMYFUNCTION("""COMPUTED_VALUE"""),3.85)</f>
        <v>3.85</v>
      </c>
      <c r="G7" s="27">
        <f>IFERROR(__xludf.DUMMYFUNCTION("""COMPUTED_VALUE"""),2.32)</f>
        <v>2.32</v>
      </c>
      <c r="H7" s="27">
        <f>IFERROR(__xludf.DUMMYFUNCTION("""COMPUTED_VALUE"""),18.61)</f>
        <v>18.61</v>
      </c>
      <c r="I7" s="27">
        <f>IFERROR(__xludf.DUMMYFUNCTION("""COMPUTED_VALUE"""),1.0)</f>
        <v>1</v>
      </c>
      <c r="J7" s="27">
        <f>IFERROR(__xludf.DUMMYFUNCTION("""COMPUTED_VALUE"""),1.0)</f>
        <v>1</v>
      </c>
      <c r="K7" s="27">
        <f>IFERROR(__xludf.DUMMYFUNCTION("""COMPUTED_VALUE"""),4.0)</f>
        <v>4</v>
      </c>
      <c r="L7" s="27">
        <f>IFERROR(__xludf.DUMMYFUNCTION("""COMPUTED_VALUE"""),1.0)</f>
        <v>1</v>
      </c>
    </row>
    <row r="8">
      <c r="A8" s="27" t="str">
        <f>IFERROR(__xludf.DUMMYFUNCTION("""COMPUTED_VALUE"""),"Hornet 4 Drive")</f>
        <v>Hornet 4 Drive</v>
      </c>
      <c r="B8" s="27">
        <f>IFERROR(__xludf.DUMMYFUNCTION("""COMPUTED_VALUE"""),21.4)</f>
        <v>21.4</v>
      </c>
      <c r="C8" s="27">
        <f>IFERROR(__xludf.DUMMYFUNCTION("""COMPUTED_VALUE"""),6.0)</f>
        <v>6</v>
      </c>
      <c r="D8" s="27">
        <f>IFERROR(__xludf.DUMMYFUNCTION("""COMPUTED_VALUE"""),258.0)</f>
        <v>258</v>
      </c>
      <c r="E8" s="27">
        <f>IFERROR(__xludf.DUMMYFUNCTION("""COMPUTED_VALUE"""),110.0)</f>
        <v>110</v>
      </c>
      <c r="F8" s="27">
        <f>IFERROR(__xludf.DUMMYFUNCTION("""COMPUTED_VALUE"""),3.08)</f>
        <v>3.08</v>
      </c>
      <c r="G8" s="27">
        <f>IFERROR(__xludf.DUMMYFUNCTION("""COMPUTED_VALUE"""),3.215)</f>
        <v>3.215</v>
      </c>
      <c r="H8" s="27">
        <f>IFERROR(__xludf.DUMMYFUNCTION("""COMPUTED_VALUE"""),19.44)</f>
        <v>19.44</v>
      </c>
      <c r="I8" s="27">
        <f>IFERROR(__xludf.DUMMYFUNCTION("""COMPUTED_VALUE"""),1.0)</f>
        <v>1</v>
      </c>
      <c r="J8" s="27">
        <f>IFERROR(__xludf.DUMMYFUNCTION("""COMPUTED_VALUE"""),0.0)</f>
        <v>0</v>
      </c>
      <c r="K8" s="27">
        <f>IFERROR(__xludf.DUMMYFUNCTION("""COMPUTED_VALUE"""),3.0)</f>
        <v>3</v>
      </c>
      <c r="L8" s="27">
        <f>IFERROR(__xludf.DUMMYFUNCTION("""COMPUTED_VALUE"""),1.0)</f>
        <v>1</v>
      </c>
    </row>
    <row r="9">
      <c r="A9" s="27" t="str">
        <f>IFERROR(__xludf.DUMMYFUNCTION("""COMPUTED_VALUE"""),"Hornet Sportabout")</f>
        <v>Hornet Sportabout</v>
      </c>
      <c r="B9" s="27">
        <f>IFERROR(__xludf.DUMMYFUNCTION("""COMPUTED_VALUE"""),18.7)</f>
        <v>18.7</v>
      </c>
      <c r="C9" s="27">
        <f>IFERROR(__xludf.DUMMYFUNCTION("""COMPUTED_VALUE"""),8.0)</f>
        <v>8</v>
      </c>
      <c r="D9" s="27">
        <f>IFERROR(__xludf.DUMMYFUNCTION("""COMPUTED_VALUE"""),360.0)</f>
        <v>360</v>
      </c>
      <c r="E9" s="27">
        <f>IFERROR(__xludf.DUMMYFUNCTION("""COMPUTED_VALUE"""),175.0)</f>
        <v>175</v>
      </c>
      <c r="F9" s="27">
        <f>IFERROR(__xludf.DUMMYFUNCTION("""COMPUTED_VALUE"""),3.15)</f>
        <v>3.15</v>
      </c>
      <c r="G9" s="27">
        <f>IFERROR(__xludf.DUMMYFUNCTION("""COMPUTED_VALUE"""),3.44)</f>
        <v>3.44</v>
      </c>
      <c r="H9" s="27">
        <f>IFERROR(__xludf.DUMMYFUNCTION("""COMPUTED_VALUE"""),17.02)</f>
        <v>17.02</v>
      </c>
      <c r="I9" s="27">
        <f>IFERROR(__xludf.DUMMYFUNCTION("""COMPUTED_VALUE"""),0.0)</f>
        <v>0</v>
      </c>
      <c r="J9" s="27">
        <f>IFERROR(__xludf.DUMMYFUNCTION("""COMPUTED_VALUE"""),0.0)</f>
        <v>0</v>
      </c>
      <c r="K9" s="27">
        <f>IFERROR(__xludf.DUMMYFUNCTION("""COMPUTED_VALUE"""),3.0)</f>
        <v>3</v>
      </c>
      <c r="L9" s="27">
        <f>IFERROR(__xludf.DUMMYFUNCTION("""COMPUTED_VALUE"""),2.0)</f>
        <v>2</v>
      </c>
    </row>
    <row r="10">
      <c r="A10" s="27" t="str">
        <f>IFERROR(__xludf.DUMMYFUNCTION("""COMPUTED_VALUE"""),"Valiant")</f>
        <v>Valiant</v>
      </c>
      <c r="B10" s="27">
        <f>IFERROR(__xludf.DUMMYFUNCTION("""COMPUTED_VALUE"""),18.1)</f>
        <v>18.1</v>
      </c>
      <c r="C10" s="27">
        <f>IFERROR(__xludf.DUMMYFUNCTION("""COMPUTED_VALUE"""),6.0)</f>
        <v>6</v>
      </c>
      <c r="D10" s="27">
        <f>IFERROR(__xludf.DUMMYFUNCTION("""COMPUTED_VALUE"""),225.0)</f>
        <v>225</v>
      </c>
      <c r="E10" s="27">
        <f>IFERROR(__xludf.DUMMYFUNCTION("""COMPUTED_VALUE"""),105.0)</f>
        <v>105</v>
      </c>
      <c r="F10" s="27">
        <f>IFERROR(__xludf.DUMMYFUNCTION("""COMPUTED_VALUE"""),2.76)</f>
        <v>2.76</v>
      </c>
      <c r="G10" s="27">
        <f>IFERROR(__xludf.DUMMYFUNCTION("""COMPUTED_VALUE"""),3.46)</f>
        <v>3.46</v>
      </c>
      <c r="H10" s="27">
        <f>IFERROR(__xludf.DUMMYFUNCTION("""COMPUTED_VALUE"""),20.22)</f>
        <v>20.22</v>
      </c>
      <c r="I10" s="27">
        <f>IFERROR(__xludf.DUMMYFUNCTION("""COMPUTED_VALUE"""),1.0)</f>
        <v>1</v>
      </c>
      <c r="J10" s="27">
        <f>IFERROR(__xludf.DUMMYFUNCTION("""COMPUTED_VALUE"""),0.0)</f>
        <v>0</v>
      </c>
      <c r="K10" s="27">
        <f>IFERROR(__xludf.DUMMYFUNCTION("""COMPUTED_VALUE"""),3.0)</f>
        <v>3</v>
      </c>
      <c r="L10" s="27">
        <f>IFERROR(__xludf.DUMMYFUNCTION("""COMPUTED_VALUE"""),1.0)</f>
        <v>1</v>
      </c>
    </row>
    <row r="11">
      <c r="A11" s="27" t="str">
        <f>IFERROR(__xludf.DUMMYFUNCTION("""COMPUTED_VALUE"""),"Duster 360")</f>
        <v>Duster 360</v>
      </c>
      <c r="B11" s="27">
        <f>IFERROR(__xludf.DUMMYFUNCTION("""COMPUTED_VALUE"""),14.3)</f>
        <v>14.3</v>
      </c>
      <c r="C11" s="27">
        <f>IFERROR(__xludf.DUMMYFUNCTION("""COMPUTED_VALUE"""),8.0)</f>
        <v>8</v>
      </c>
      <c r="D11" s="27">
        <f>IFERROR(__xludf.DUMMYFUNCTION("""COMPUTED_VALUE"""),360.0)</f>
        <v>360</v>
      </c>
      <c r="E11" s="27">
        <f>IFERROR(__xludf.DUMMYFUNCTION("""COMPUTED_VALUE"""),245.0)</f>
        <v>245</v>
      </c>
      <c r="F11" s="27">
        <f>IFERROR(__xludf.DUMMYFUNCTION("""COMPUTED_VALUE"""),3.21)</f>
        <v>3.21</v>
      </c>
      <c r="G11" s="27">
        <f>IFERROR(__xludf.DUMMYFUNCTION("""COMPUTED_VALUE"""),3.57)</f>
        <v>3.57</v>
      </c>
      <c r="H11" s="27">
        <f>IFERROR(__xludf.DUMMYFUNCTION("""COMPUTED_VALUE"""),15.84)</f>
        <v>15.84</v>
      </c>
      <c r="I11" s="27">
        <f>IFERROR(__xludf.DUMMYFUNCTION("""COMPUTED_VALUE"""),0.0)</f>
        <v>0</v>
      </c>
      <c r="J11" s="27">
        <f>IFERROR(__xludf.DUMMYFUNCTION("""COMPUTED_VALUE"""),0.0)</f>
        <v>0</v>
      </c>
      <c r="K11" s="27">
        <f>IFERROR(__xludf.DUMMYFUNCTION("""COMPUTED_VALUE"""),3.0)</f>
        <v>3</v>
      </c>
      <c r="L11" s="27">
        <f>IFERROR(__xludf.DUMMYFUNCTION("""COMPUTED_VALUE"""),4.0)</f>
        <v>4</v>
      </c>
    </row>
    <row r="12">
      <c r="A12" s="27" t="str">
        <f>IFERROR(__xludf.DUMMYFUNCTION("""COMPUTED_VALUE"""),"Merc 240D")</f>
        <v>Merc 240D</v>
      </c>
      <c r="B12" s="27">
        <f>IFERROR(__xludf.DUMMYFUNCTION("""COMPUTED_VALUE"""),24.4)</f>
        <v>24.4</v>
      </c>
      <c r="C12" s="27">
        <f>IFERROR(__xludf.DUMMYFUNCTION("""COMPUTED_VALUE"""),4.0)</f>
        <v>4</v>
      </c>
      <c r="D12" s="27">
        <f>IFERROR(__xludf.DUMMYFUNCTION("""COMPUTED_VALUE"""),146.7)</f>
        <v>146.7</v>
      </c>
      <c r="E12" s="27">
        <f>IFERROR(__xludf.DUMMYFUNCTION("""COMPUTED_VALUE"""),62.0)</f>
        <v>62</v>
      </c>
      <c r="F12" s="27">
        <f>IFERROR(__xludf.DUMMYFUNCTION("""COMPUTED_VALUE"""),3.69)</f>
        <v>3.69</v>
      </c>
      <c r="G12" s="27">
        <f>IFERROR(__xludf.DUMMYFUNCTION("""COMPUTED_VALUE"""),3.19)</f>
        <v>3.19</v>
      </c>
      <c r="H12" s="27">
        <f>IFERROR(__xludf.DUMMYFUNCTION("""COMPUTED_VALUE"""),20.0)</f>
        <v>20</v>
      </c>
      <c r="I12" s="27">
        <f>IFERROR(__xludf.DUMMYFUNCTION("""COMPUTED_VALUE"""),1.0)</f>
        <v>1</v>
      </c>
      <c r="J12" s="27">
        <f>IFERROR(__xludf.DUMMYFUNCTION("""COMPUTED_VALUE"""),0.0)</f>
        <v>0</v>
      </c>
      <c r="K12" s="27">
        <f>IFERROR(__xludf.DUMMYFUNCTION("""COMPUTED_VALUE"""),4.0)</f>
        <v>4</v>
      </c>
      <c r="L12" s="27">
        <f>IFERROR(__xludf.DUMMYFUNCTION("""COMPUTED_VALUE"""),2.0)</f>
        <v>2</v>
      </c>
    </row>
    <row r="13">
      <c r="A13" s="27" t="str">
        <f>IFERROR(__xludf.DUMMYFUNCTION("""COMPUTED_VALUE"""),"Merc 230")</f>
        <v>Merc 230</v>
      </c>
      <c r="B13" s="27">
        <f>IFERROR(__xludf.DUMMYFUNCTION("""COMPUTED_VALUE"""),22.8)</f>
        <v>22.8</v>
      </c>
      <c r="C13" s="27">
        <f>IFERROR(__xludf.DUMMYFUNCTION("""COMPUTED_VALUE"""),4.0)</f>
        <v>4</v>
      </c>
      <c r="D13" s="27">
        <f>IFERROR(__xludf.DUMMYFUNCTION("""COMPUTED_VALUE"""),140.8)</f>
        <v>140.8</v>
      </c>
      <c r="E13" s="27">
        <f>IFERROR(__xludf.DUMMYFUNCTION("""COMPUTED_VALUE"""),95.0)</f>
        <v>95</v>
      </c>
      <c r="F13" s="27">
        <f>IFERROR(__xludf.DUMMYFUNCTION("""COMPUTED_VALUE"""),3.92)</f>
        <v>3.92</v>
      </c>
      <c r="G13" s="27">
        <f>IFERROR(__xludf.DUMMYFUNCTION("""COMPUTED_VALUE"""),3.15)</f>
        <v>3.15</v>
      </c>
      <c r="H13" s="27">
        <f>IFERROR(__xludf.DUMMYFUNCTION("""COMPUTED_VALUE"""),22.9)</f>
        <v>22.9</v>
      </c>
      <c r="I13" s="27">
        <f>IFERROR(__xludf.DUMMYFUNCTION("""COMPUTED_VALUE"""),1.0)</f>
        <v>1</v>
      </c>
      <c r="J13" s="27">
        <f>IFERROR(__xludf.DUMMYFUNCTION("""COMPUTED_VALUE"""),0.0)</f>
        <v>0</v>
      </c>
      <c r="K13" s="27">
        <f>IFERROR(__xludf.DUMMYFUNCTION("""COMPUTED_VALUE"""),4.0)</f>
        <v>4</v>
      </c>
      <c r="L13" s="27">
        <f>IFERROR(__xludf.DUMMYFUNCTION("""COMPUTED_VALUE"""),2.0)</f>
        <v>2</v>
      </c>
    </row>
    <row r="14">
      <c r="A14" s="27" t="str">
        <f>IFERROR(__xludf.DUMMYFUNCTION("""COMPUTED_VALUE"""),"Merc 280")</f>
        <v>Merc 280</v>
      </c>
      <c r="B14" s="27">
        <f>IFERROR(__xludf.DUMMYFUNCTION("""COMPUTED_VALUE"""),19.2)</f>
        <v>19.2</v>
      </c>
      <c r="C14" s="27">
        <f>IFERROR(__xludf.DUMMYFUNCTION("""COMPUTED_VALUE"""),6.0)</f>
        <v>6</v>
      </c>
      <c r="D14" s="27">
        <f>IFERROR(__xludf.DUMMYFUNCTION("""COMPUTED_VALUE"""),167.6)</f>
        <v>167.6</v>
      </c>
      <c r="E14" s="27">
        <f>IFERROR(__xludf.DUMMYFUNCTION("""COMPUTED_VALUE"""),123.0)</f>
        <v>123</v>
      </c>
      <c r="F14" s="27">
        <f>IFERROR(__xludf.DUMMYFUNCTION("""COMPUTED_VALUE"""),3.92)</f>
        <v>3.92</v>
      </c>
      <c r="G14" s="27">
        <f>IFERROR(__xludf.DUMMYFUNCTION("""COMPUTED_VALUE"""),3.44)</f>
        <v>3.44</v>
      </c>
      <c r="H14" s="27">
        <f>IFERROR(__xludf.DUMMYFUNCTION("""COMPUTED_VALUE"""),18.3)</f>
        <v>18.3</v>
      </c>
      <c r="I14" s="27">
        <f>IFERROR(__xludf.DUMMYFUNCTION("""COMPUTED_VALUE"""),1.0)</f>
        <v>1</v>
      </c>
      <c r="J14" s="27">
        <f>IFERROR(__xludf.DUMMYFUNCTION("""COMPUTED_VALUE"""),0.0)</f>
        <v>0</v>
      </c>
      <c r="K14" s="27">
        <f>IFERROR(__xludf.DUMMYFUNCTION("""COMPUTED_VALUE"""),4.0)</f>
        <v>4</v>
      </c>
      <c r="L14" s="27">
        <f>IFERROR(__xludf.DUMMYFUNCTION("""COMPUTED_VALUE"""),4.0)</f>
        <v>4</v>
      </c>
    </row>
    <row r="15">
      <c r="A15" s="27" t="str">
        <f>IFERROR(__xludf.DUMMYFUNCTION("""COMPUTED_VALUE"""),"Merc 280C")</f>
        <v>Merc 280C</v>
      </c>
      <c r="B15" s="27">
        <f>IFERROR(__xludf.DUMMYFUNCTION("""COMPUTED_VALUE"""),17.8)</f>
        <v>17.8</v>
      </c>
      <c r="C15" s="27">
        <f>IFERROR(__xludf.DUMMYFUNCTION("""COMPUTED_VALUE"""),6.0)</f>
        <v>6</v>
      </c>
      <c r="D15" s="27">
        <f>IFERROR(__xludf.DUMMYFUNCTION("""COMPUTED_VALUE"""),167.6)</f>
        <v>167.6</v>
      </c>
      <c r="E15" s="27">
        <f>IFERROR(__xludf.DUMMYFUNCTION("""COMPUTED_VALUE"""),123.0)</f>
        <v>123</v>
      </c>
      <c r="F15" s="27">
        <f>IFERROR(__xludf.DUMMYFUNCTION("""COMPUTED_VALUE"""),3.92)</f>
        <v>3.92</v>
      </c>
      <c r="G15" s="27">
        <f>IFERROR(__xludf.DUMMYFUNCTION("""COMPUTED_VALUE"""),3.44)</f>
        <v>3.44</v>
      </c>
      <c r="H15" s="27">
        <f>IFERROR(__xludf.DUMMYFUNCTION("""COMPUTED_VALUE"""),18.9)</f>
        <v>18.9</v>
      </c>
      <c r="I15" s="27">
        <f>IFERROR(__xludf.DUMMYFUNCTION("""COMPUTED_VALUE"""),1.0)</f>
        <v>1</v>
      </c>
      <c r="J15" s="27">
        <f>IFERROR(__xludf.DUMMYFUNCTION("""COMPUTED_VALUE"""),0.0)</f>
        <v>0</v>
      </c>
      <c r="K15" s="27">
        <f>IFERROR(__xludf.DUMMYFUNCTION("""COMPUTED_VALUE"""),4.0)</f>
        <v>4</v>
      </c>
      <c r="L15" s="27">
        <f>IFERROR(__xludf.DUMMYFUNCTION("""COMPUTED_VALUE"""),4.0)</f>
        <v>4</v>
      </c>
    </row>
    <row r="16">
      <c r="A16" s="27" t="str">
        <f>IFERROR(__xludf.DUMMYFUNCTION("""COMPUTED_VALUE"""),"Merc 450SE")</f>
        <v>Merc 450SE</v>
      </c>
      <c r="B16" s="27">
        <f>IFERROR(__xludf.DUMMYFUNCTION("""COMPUTED_VALUE"""),16.4)</f>
        <v>16.4</v>
      </c>
      <c r="C16" s="27">
        <f>IFERROR(__xludf.DUMMYFUNCTION("""COMPUTED_VALUE"""),8.0)</f>
        <v>8</v>
      </c>
      <c r="D16" s="27">
        <f>IFERROR(__xludf.DUMMYFUNCTION("""COMPUTED_VALUE"""),275.8)</f>
        <v>275.8</v>
      </c>
      <c r="E16" s="27">
        <f>IFERROR(__xludf.DUMMYFUNCTION("""COMPUTED_VALUE"""),180.0)</f>
        <v>180</v>
      </c>
      <c r="F16" s="27">
        <f>IFERROR(__xludf.DUMMYFUNCTION("""COMPUTED_VALUE"""),3.07)</f>
        <v>3.07</v>
      </c>
      <c r="G16" s="27">
        <f>IFERROR(__xludf.DUMMYFUNCTION("""COMPUTED_VALUE"""),4.07)</f>
        <v>4.07</v>
      </c>
      <c r="H16" s="27">
        <f>IFERROR(__xludf.DUMMYFUNCTION("""COMPUTED_VALUE"""),17.4)</f>
        <v>17.4</v>
      </c>
      <c r="I16" s="27">
        <f>IFERROR(__xludf.DUMMYFUNCTION("""COMPUTED_VALUE"""),0.0)</f>
        <v>0</v>
      </c>
      <c r="J16" s="27">
        <f>IFERROR(__xludf.DUMMYFUNCTION("""COMPUTED_VALUE"""),0.0)</f>
        <v>0</v>
      </c>
      <c r="K16" s="27">
        <f>IFERROR(__xludf.DUMMYFUNCTION("""COMPUTED_VALUE"""),3.0)</f>
        <v>3</v>
      </c>
      <c r="L16" s="27">
        <f>IFERROR(__xludf.DUMMYFUNCTION("""COMPUTED_VALUE"""),3.0)</f>
        <v>3</v>
      </c>
    </row>
    <row r="17">
      <c r="A17" s="27" t="str">
        <f>IFERROR(__xludf.DUMMYFUNCTION("""COMPUTED_VALUE"""),"Merc 450SL")</f>
        <v>Merc 450SL</v>
      </c>
      <c r="B17" s="27">
        <f>IFERROR(__xludf.DUMMYFUNCTION("""COMPUTED_VALUE"""),17.3)</f>
        <v>17.3</v>
      </c>
      <c r="C17" s="27">
        <f>IFERROR(__xludf.DUMMYFUNCTION("""COMPUTED_VALUE"""),8.0)</f>
        <v>8</v>
      </c>
      <c r="D17" s="27">
        <f>IFERROR(__xludf.DUMMYFUNCTION("""COMPUTED_VALUE"""),275.8)</f>
        <v>275.8</v>
      </c>
      <c r="E17" s="27">
        <f>IFERROR(__xludf.DUMMYFUNCTION("""COMPUTED_VALUE"""),180.0)</f>
        <v>180</v>
      </c>
      <c r="F17" s="27">
        <f>IFERROR(__xludf.DUMMYFUNCTION("""COMPUTED_VALUE"""),3.07)</f>
        <v>3.07</v>
      </c>
      <c r="G17" s="27">
        <f>IFERROR(__xludf.DUMMYFUNCTION("""COMPUTED_VALUE"""),3.73)</f>
        <v>3.73</v>
      </c>
      <c r="H17" s="27">
        <f>IFERROR(__xludf.DUMMYFUNCTION("""COMPUTED_VALUE"""),17.6)</f>
        <v>17.6</v>
      </c>
      <c r="I17" s="27">
        <f>IFERROR(__xludf.DUMMYFUNCTION("""COMPUTED_VALUE"""),0.0)</f>
        <v>0</v>
      </c>
      <c r="J17" s="27">
        <f>IFERROR(__xludf.DUMMYFUNCTION("""COMPUTED_VALUE"""),0.0)</f>
        <v>0</v>
      </c>
      <c r="K17" s="27">
        <f>IFERROR(__xludf.DUMMYFUNCTION("""COMPUTED_VALUE"""),3.0)</f>
        <v>3</v>
      </c>
      <c r="L17" s="27">
        <f>IFERROR(__xludf.DUMMYFUNCTION("""COMPUTED_VALUE"""),3.0)</f>
        <v>3</v>
      </c>
    </row>
    <row r="18">
      <c r="A18" s="27" t="str">
        <f>IFERROR(__xludf.DUMMYFUNCTION("""COMPUTED_VALUE"""),"Merc 450SLC")</f>
        <v>Merc 450SLC</v>
      </c>
      <c r="B18" s="27">
        <f>IFERROR(__xludf.DUMMYFUNCTION("""COMPUTED_VALUE"""),15.2)</f>
        <v>15.2</v>
      </c>
      <c r="C18" s="27">
        <f>IFERROR(__xludf.DUMMYFUNCTION("""COMPUTED_VALUE"""),8.0)</f>
        <v>8</v>
      </c>
      <c r="D18" s="27">
        <f>IFERROR(__xludf.DUMMYFUNCTION("""COMPUTED_VALUE"""),275.8)</f>
        <v>275.8</v>
      </c>
      <c r="E18" s="27">
        <f>IFERROR(__xludf.DUMMYFUNCTION("""COMPUTED_VALUE"""),180.0)</f>
        <v>180</v>
      </c>
      <c r="F18" s="27">
        <f>IFERROR(__xludf.DUMMYFUNCTION("""COMPUTED_VALUE"""),3.07)</f>
        <v>3.07</v>
      </c>
      <c r="G18" s="27">
        <f>IFERROR(__xludf.DUMMYFUNCTION("""COMPUTED_VALUE"""),3.78)</f>
        <v>3.78</v>
      </c>
      <c r="H18" s="27">
        <f>IFERROR(__xludf.DUMMYFUNCTION("""COMPUTED_VALUE"""),18.0)</f>
        <v>18</v>
      </c>
      <c r="I18" s="27">
        <f>IFERROR(__xludf.DUMMYFUNCTION("""COMPUTED_VALUE"""),0.0)</f>
        <v>0</v>
      </c>
      <c r="J18" s="27">
        <f>IFERROR(__xludf.DUMMYFUNCTION("""COMPUTED_VALUE"""),0.0)</f>
        <v>0</v>
      </c>
      <c r="K18" s="27">
        <f>IFERROR(__xludf.DUMMYFUNCTION("""COMPUTED_VALUE"""),3.0)</f>
        <v>3</v>
      </c>
      <c r="L18" s="27">
        <f>IFERROR(__xludf.DUMMYFUNCTION("""COMPUTED_VALUE"""),3.0)</f>
        <v>3</v>
      </c>
    </row>
    <row r="19">
      <c r="A19" s="27" t="str">
        <f>IFERROR(__xludf.DUMMYFUNCTION("""COMPUTED_VALUE"""),"Cadillac Fleetwood")</f>
        <v>Cadillac Fleetwood</v>
      </c>
      <c r="B19" s="27">
        <f>IFERROR(__xludf.DUMMYFUNCTION("""COMPUTED_VALUE"""),10.4)</f>
        <v>10.4</v>
      </c>
      <c r="C19" s="27">
        <f>IFERROR(__xludf.DUMMYFUNCTION("""COMPUTED_VALUE"""),8.0)</f>
        <v>8</v>
      </c>
      <c r="D19" s="27">
        <f>IFERROR(__xludf.DUMMYFUNCTION("""COMPUTED_VALUE"""),472.0)</f>
        <v>472</v>
      </c>
      <c r="E19" s="27">
        <f>IFERROR(__xludf.DUMMYFUNCTION("""COMPUTED_VALUE"""),205.0)</f>
        <v>205</v>
      </c>
      <c r="F19" s="27">
        <f>IFERROR(__xludf.DUMMYFUNCTION("""COMPUTED_VALUE"""),2.93)</f>
        <v>2.93</v>
      </c>
      <c r="G19" s="27">
        <f>IFERROR(__xludf.DUMMYFUNCTION("""COMPUTED_VALUE"""),5.25)</f>
        <v>5.25</v>
      </c>
      <c r="H19" s="27">
        <f>IFERROR(__xludf.DUMMYFUNCTION("""COMPUTED_VALUE"""),17.98)</f>
        <v>17.98</v>
      </c>
      <c r="I19" s="27">
        <f>IFERROR(__xludf.DUMMYFUNCTION("""COMPUTED_VALUE"""),0.0)</f>
        <v>0</v>
      </c>
      <c r="J19" s="27">
        <f>IFERROR(__xludf.DUMMYFUNCTION("""COMPUTED_VALUE"""),0.0)</f>
        <v>0</v>
      </c>
      <c r="K19" s="27">
        <f>IFERROR(__xludf.DUMMYFUNCTION("""COMPUTED_VALUE"""),3.0)</f>
        <v>3</v>
      </c>
      <c r="L19" s="27">
        <f>IFERROR(__xludf.DUMMYFUNCTION("""COMPUTED_VALUE"""),4.0)</f>
        <v>4</v>
      </c>
    </row>
    <row r="20">
      <c r="A20" s="27" t="str">
        <f>IFERROR(__xludf.DUMMYFUNCTION("""COMPUTED_VALUE"""),"Lincoln Continental")</f>
        <v>Lincoln Continental</v>
      </c>
      <c r="B20" s="27">
        <f>IFERROR(__xludf.DUMMYFUNCTION("""COMPUTED_VALUE"""),10.4)</f>
        <v>10.4</v>
      </c>
      <c r="C20" s="27">
        <f>IFERROR(__xludf.DUMMYFUNCTION("""COMPUTED_VALUE"""),8.0)</f>
        <v>8</v>
      </c>
      <c r="D20" s="27">
        <f>IFERROR(__xludf.DUMMYFUNCTION("""COMPUTED_VALUE"""),460.0)</f>
        <v>460</v>
      </c>
      <c r="E20" s="27">
        <f>IFERROR(__xludf.DUMMYFUNCTION("""COMPUTED_VALUE"""),215.0)</f>
        <v>215</v>
      </c>
      <c r="F20" s="27">
        <f>IFERROR(__xludf.DUMMYFUNCTION("""COMPUTED_VALUE"""),3.0)</f>
        <v>3</v>
      </c>
      <c r="G20" s="27">
        <f>IFERROR(__xludf.DUMMYFUNCTION("""COMPUTED_VALUE"""),5.424)</f>
        <v>5.424</v>
      </c>
      <c r="H20" s="27">
        <f>IFERROR(__xludf.DUMMYFUNCTION("""COMPUTED_VALUE"""),17.82)</f>
        <v>17.82</v>
      </c>
      <c r="I20" s="27">
        <f>IFERROR(__xludf.DUMMYFUNCTION("""COMPUTED_VALUE"""),0.0)</f>
        <v>0</v>
      </c>
      <c r="J20" s="27">
        <f>IFERROR(__xludf.DUMMYFUNCTION("""COMPUTED_VALUE"""),0.0)</f>
        <v>0</v>
      </c>
      <c r="K20" s="27">
        <f>IFERROR(__xludf.DUMMYFUNCTION("""COMPUTED_VALUE"""),3.0)</f>
        <v>3</v>
      </c>
      <c r="L20" s="27">
        <f>IFERROR(__xludf.DUMMYFUNCTION("""COMPUTED_VALUE"""),4.0)</f>
        <v>4</v>
      </c>
    </row>
    <row r="21">
      <c r="A21" s="27" t="str">
        <f>IFERROR(__xludf.DUMMYFUNCTION("""COMPUTED_VALUE"""),"Chrysler Imperial")</f>
        <v>Chrysler Imperial</v>
      </c>
      <c r="B21" s="27">
        <f>IFERROR(__xludf.DUMMYFUNCTION("""COMPUTED_VALUE"""),14.7)</f>
        <v>14.7</v>
      </c>
      <c r="C21" s="27">
        <f>IFERROR(__xludf.DUMMYFUNCTION("""COMPUTED_VALUE"""),8.0)</f>
        <v>8</v>
      </c>
      <c r="D21" s="27">
        <f>IFERROR(__xludf.DUMMYFUNCTION("""COMPUTED_VALUE"""),440.0)</f>
        <v>440</v>
      </c>
      <c r="E21" s="27">
        <f>IFERROR(__xludf.DUMMYFUNCTION("""COMPUTED_VALUE"""),230.0)</f>
        <v>230</v>
      </c>
      <c r="F21" s="27">
        <f>IFERROR(__xludf.DUMMYFUNCTION("""COMPUTED_VALUE"""),3.23)</f>
        <v>3.23</v>
      </c>
      <c r="G21" s="27">
        <f>IFERROR(__xludf.DUMMYFUNCTION("""COMPUTED_VALUE"""),5.345)</f>
        <v>5.345</v>
      </c>
      <c r="H21" s="27">
        <f>IFERROR(__xludf.DUMMYFUNCTION("""COMPUTED_VALUE"""),17.42)</f>
        <v>17.42</v>
      </c>
      <c r="I21" s="27">
        <f>IFERROR(__xludf.DUMMYFUNCTION("""COMPUTED_VALUE"""),0.0)</f>
        <v>0</v>
      </c>
      <c r="J21" s="27">
        <f>IFERROR(__xludf.DUMMYFUNCTION("""COMPUTED_VALUE"""),0.0)</f>
        <v>0</v>
      </c>
      <c r="K21" s="27">
        <f>IFERROR(__xludf.DUMMYFUNCTION("""COMPUTED_VALUE"""),3.0)</f>
        <v>3</v>
      </c>
      <c r="L21" s="27">
        <f>IFERROR(__xludf.DUMMYFUNCTION("""COMPUTED_VALUE"""),4.0)</f>
        <v>4</v>
      </c>
    </row>
    <row r="22">
      <c r="A22" s="27" t="str">
        <f>IFERROR(__xludf.DUMMYFUNCTION("""COMPUTED_VALUE"""),"Fiat 128")</f>
        <v>Fiat 128</v>
      </c>
      <c r="B22" s="27">
        <f>IFERROR(__xludf.DUMMYFUNCTION("""COMPUTED_VALUE"""),32.4)</f>
        <v>32.4</v>
      </c>
      <c r="C22" s="27">
        <f>IFERROR(__xludf.DUMMYFUNCTION("""COMPUTED_VALUE"""),4.0)</f>
        <v>4</v>
      </c>
      <c r="D22" s="27">
        <f>IFERROR(__xludf.DUMMYFUNCTION("""COMPUTED_VALUE"""),78.7)</f>
        <v>78.7</v>
      </c>
      <c r="E22" s="27">
        <f>IFERROR(__xludf.DUMMYFUNCTION("""COMPUTED_VALUE"""),66.0)</f>
        <v>66</v>
      </c>
      <c r="F22" s="27">
        <f>IFERROR(__xludf.DUMMYFUNCTION("""COMPUTED_VALUE"""),4.08)</f>
        <v>4.08</v>
      </c>
      <c r="G22" s="27">
        <f>IFERROR(__xludf.DUMMYFUNCTION("""COMPUTED_VALUE"""),2.2)</f>
        <v>2.2</v>
      </c>
      <c r="H22" s="27">
        <f>IFERROR(__xludf.DUMMYFUNCTION("""COMPUTED_VALUE"""),19.47)</f>
        <v>19.47</v>
      </c>
      <c r="I22" s="27">
        <f>IFERROR(__xludf.DUMMYFUNCTION("""COMPUTED_VALUE"""),1.0)</f>
        <v>1</v>
      </c>
      <c r="J22" s="27">
        <f>IFERROR(__xludf.DUMMYFUNCTION("""COMPUTED_VALUE"""),1.0)</f>
        <v>1</v>
      </c>
      <c r="K22" s="27">
        <f>IFERROR(__xludf.DUMMYFUNCTION("""COMPUTED_VALUE"""),4.0)</f>
        <v>4</v>
      </c>
      <c r="L22" s="27">
        <f>IFERROR(__xludf.DUMMYFUNCTION("""COMPUTED_VALUE"""),1.0)</f>
        <v>1</v>
      </c>
    </row>
    <row r="23">
      <c r="A23" s="27" t="str">
        <f>IFERROR(__xludf.DUMMYFUNCTION("""COMPUTED_VALUE"""),"Honda Civic")</f>
        <v>Honda Civic</v>
      </c>
      <c r="B23" s="27">
        <f>IFERROR(__xludf.DUMMYFUNCTION("""COMPUTED_VALUE"""),30.4)</f>
        <v>30.4</v>
      </c>
      <c r="C23" s="27">
        <f>IFERROR(__xludf.DUMMYFUNCTION("""COMPUTED_VALUE"""),4.0)</f>
        <v>4</v>
      </c>
      <c r="D23" s="27">
        <f>IFERROR(__xludf.DUMMYFUNCTION("""COMPUTED_VALUE"""),75.7)</f>
        <v>75.7</v>
      </c>
      <c r="E23" s="27">
        <f>IFERROR(__xludf.DUMMYFUNCTION("""COMPUTED_VALUE"""),52.0)</f>
        <v>52</v>
      </c>
      <c r="F23" s="27">
        <f>IFERROR(__xludf.DUMMYFUNCTION("""COMPUTED_VALUE"""),4.93)</f>
        <v>4.93</v>
      </c>
      <c r="G23" s="27">
        <f>IFERROR(__xludf.DUMMYFUNCTION("""COMPUTED_VALUE"""),1.615)</f>
        <v>1.615</v>
      </c>
      <c r="H23" s="27">
        <f>IFERROR(__xludf.DUMMYFUNCTION("""COMPUTED_VALUE"""),18.52)</f>
        <v>18.52</v>
      </c>
      <c r="I23" s="27">
        <f>IFERROR(__xludf.DUMMYFUNCTION("""COMPUTED_VALUE"""),1.0)</f>
        <v>1</v>
      </c>
      <c r="J23" s="27">
        <f>IFERROR(__xludf.DUMMYFUNCTION("""COMPUTED_VALUE"""),1.0)</f>
        <v>1</v>
      </c>
      <c r="K23" s="27">
        <f>IFERROR(__xludf.DUMMYFUNCTION("""COMPUTED_VALUE"""),4.0)</f>
        <v>4</v>
      </c>
      <c r="L23" s="27">
        <f>IFERROR(__xludf.DUMMYFUNCTION("""COMPUTED_VALUE"""),2.0)</f>
        <v>2</v>
      </c>
    </row>
    <row r="24">
      <c r="A24" s="27" t="str">
        <f>IFERROR(__xludf.DUMMYFUNCTION("""COMPUTED_VALUE"""),"Toyota Corolla")</f>
        <v>Toyota Corolla</v>
      </c>
      <c r="B24" s="27">
        <f>IFERROR(__xludf.DUMMYFUNCTION("""COMPUTED_VALUE"""),33.9)</f>
        <v>33.9</v>
      </c>
      <c r="C24" s="27">
        <f>IFERROR(__xludf.DUMMYFUNCTION("""COMPUTED_VALUE"""),4.0)</f>
        <v>4</v>
      </c>
      <c r="D24" s="27">
        <f>IFERROR(__xludf.DUMMYFUNCTION("""COMPUTED_VALUE"""),71.1)</f>
        <v>71.1</v>
      </c>
      <c r="E24" s="27">
        <f>IFERROR(__xludf.DUMMYFUNCTION("""COMPUTED_VALUE"""),65.0)</f>
        <v>65</v>
      </c>
      <c r="F24" s="27">
        <f>IFERROR(__xludf.DUMMYFUNCTION("""COMPUTED_VALUE"""),4.22)</f>
        <v>4.22</v>
      </c>
      <c r="G24" s="27">
        <f>IFERROR(__xludf.DUMMYFUNCTION("""COMPUTED_VALUE"""),1.835)</f>
        <v>1.835</v>
      </c>
      <c r="H24" s="27">
        <f>IFERROR(__xludf.DUMMYFUNCTION("""COMPUTED_VALUE"""),19.9)</f>
        <v>19.9</v>
      </c>
      <c r="I24" s="27">
        <f>IFERROR(__xludf.DUMMYFUNCTION("""COMPUTED_VALUE"""),1.0)</f>
        <v>1</v>
      </c>
      <c r="J24" s="27">
        <f>IFERROR(__xludf.DUMMYFUNCTION("""COMPUTED_VALUE"""),1.0)</f>
        <v>1</v>
      </c>
      <c r="K24" s="27">
        <f>IFERROR(__xludf.DUMMYFUNCTION("""COMPUTED_VALUE"""),4.0)</f>
        <v>4</v>
      </c>
      <c r="L24" s="27">
        <f>IFERROR(__xludf.DUMMYFUNCTION("""COMPUTED_VALUE"""),1.0)</f>
        <v>1</v>
      </c>
    </row>
    <row r="25">
      <c r="A25" s="27" t="str">
        <f>IFERROR(__xludf.DUMMYFUNCTION("""COMPUTED_VALUE"""),"Toyota Corona")</f>
        <v>Toyota Corona</v>
      </c>
      <c r="B25" s="27">
        <f>IFERROR(__xludf.DUMMYFUNCTION("""COMPUTED_VALUE"""),21.5)</f>
        <v>21.5</v>
      </c>
      <c r="C25" s="27">
        <f>IFERROR(__xludf.DUMMYFUNCTION("""COMPUTED_VALUE"""),4.0)</f>
        <v>4</v>
      </c>
      <c r="D25" s="27">
        <f>IFERROR(__xludf.DUMMYFUNCTION("""COMPUTED_VALUE"""),120.1)</f>
        <v>120.1</v>
      </c>
      <c r="E25" s="27">
        <f>IFERROR(__xludf.DUMMYFUNCTION("""COMPUTED_VALUE"""),97.0)</f>
        <v>97</v>
      </c>
      <c r="F25" s="27">
        <f>IFERROR(__xludf.DUMMYFUNCTION("""COMPUTED_VALUE"""),3.7)</f>
        <v>3.7</v>
      </c>
      <c r="G25" s="27">
        <f>IFERROR(__xludf.DUMMYFUNCTION("""COMPUTED_VALUE"""),2.465)</f>
        <v>2.465</v>
      </c>
      <c r="H25" s="27">
        <f>IFERROR(__xludf.DUMMYFUNCTION("""COMPUTED_VALUE"""),20.01)</f>
        <v>20.01</v>
      </c>
      <c r="I25" s="27">
        <f>IFERROR(__xludf.DUMMYFUNCTION("""COMPUTED_VALUE"""),1.0)</f>
        <v>1</v>
      </c>
      <c r="J25" s="27">
        <f>IFERROR(__xludf.DUMMYFUNCTION("""COMPUTED_VALUE"""),0.0)</f>
        <v>0</v>
      </c>
      <c r="K25" s="27">
        <f>IFERROR(__xludf.DUMMYFUNCTION("""COMPUTED_VALUE"""),3.0)</f>
        <v>3</v>
      </c>
      <c r="L25" s="27">
        <f>IFERROR(__xludf.DUMMYFUNCTION("""COMPUTED_VALUE"""),1.0)</f>
        <v>1</v>
      </c>
    </row>
    <row r="26">
      <c r="A26" s="27" t="str">
        <f>IFERROR(__xludf.DUMMYFUNCTION("""COMPUTED_VALUE"""),"Dodge Challenger")</f>
        <v>Dodge Challenger</v>
      </c>
      <c r="B26" s="27">
        <f>IFERROR(__xludf.DUMMYFUNCTION("""COMPUTED_VALUE"""),15.5)</f>
        <v>15.5</v>
      </c>
      <c r="C26" s="27">
        <f>IFERROR(__xludf.DUMMYFUNCTION("""COMPUTED_VALUE"""),8.0)</f>
        <v>8</v>
      </c>
      <c r="D26" s="27">
        <f>IFERROR(__xludf.DUMMYFUNCTION("""COMPUTED_VALUE"""),318.0)</f>
        <v>318</v>
      </c>
      <c r="E26" s="27">
        <f>IFERROR(__xludf.DUMMYFUNCTION("""COMPUTED_VALUE"""),150.0)</f>
        <v>150</v>
      </c>
      <c r="F26" s="27">
        <f>IFERROR(__xludf.DUMMYFUNCTION("""COMPUTED_VALUE"""),2.76)</f>
        <v>2.76</v>
      </c>
      <c r="G26" s="27">
        <f>IFERROR(__xludf.DUMMYFUNCTION("""COMPUTED_VALUE"""),3.52)</f>
        <v>3.52</v>
      </c>
      <c r="H26" s="27">
        <f>IFERROR(__xludf.DUMMYFUNCTION("""COMPUTED_VALUE"""),16.87)</f>
        <v>16.87</v>
      </c>
      <c r="I26" s="27">
        <f>IFERROR(__xludf.DUMMYFUNCTION("""COMPUTED_VALUE"""),0.0)</f>
        <v>0</v>
      </c>
      <c r="J26" s="27">
        <f>IFERROR(__xludf.DUMMYFUNCTION("""COMPUTED_VALUE"""),0.0)</f>
        <v>0</v>
      </c>
      <c r="K26" s="27">
        <f>IFERROR(__xludf.DUMMYFUNCTION("""COMPUTED_VALUE"""),3.0)</f>
        <v>3</v>
      </c>
      <c r="L26" s="27">
        <f>IFERROR(__xludf.DUMMYFUNCTION("""COMPUTED_VALUE"""),2.0)</f>
        <v>2</v>
      </c>
    </row>
    <row r="27">
      <c r="A27" s="27" t="str">
        <f>IFERROR(__xludf.DUMMYFUNCTION("""COMPUTED_VALUE"""),"AMC Javelin")</f>
        <v>AMC Javelin</v>
      </c>
      <c r="B27" s="27">
        <f>IFERROR(__xludf.DUMMYFUNCTION("""COMPUTED_VALUE"""),15.2)</f>
        <v>15.2</v>
      </c>
      <c r="C27" s="27">
        <f>IFERROR(__xludf.DUMMYFUNCTION("""COMPUTED_VALUE"""),8.0)</f>
        <v>8</v>
      </c>
      <c r="D27" s="27">
        <f>IFERROR(__xludf.DUMMYFUNCTION("""COMPUTED_VALUE"""),304.0)</f>
        <v>304</v>
      </c>
      <c r="E27" s="27">
        <f>IFERROR(__xludf.DUMMYFUNCTION("""COMPUTED_VALUE"""),150.0)</f>
        <v>150</v>
      </c>
      <c r="F27" s="27">
        <f>IFERROR(__xludf.DUMMYFUNCTION("""COMPUTED_VALUE"""),3.15)</f>
        <v>3.15</v>
      </c>
      <c r="G27" s="27">
        <f>IFERROR(__xludf.DUMMYFUNCTION("""COMPUTED_VALUE"""),3.435)</f>
        <v>3.435</v>
      </c>
      <c r="H27" s="27">
        <f>IFERROR(__xludf.DUMMYFUNCTION("""COMPUTED_VALUE"""),17.3)</f>
        <v>17.3</v>
      </c>
      <c r="I27" s="27">
        <f>IFERROR(__xludf.DUMMYFUNCTION("""COMPUTED_VALUE"""),0.0)</f>
        <v>0</v>
      </c>
      <c r="J27" s="27">
        <f>IFERROR(__xludf.DUMMYFUNCTION("""COMPUTED_VALUE"""),0.0)</f>
        <v>0</v>
      </c>
      <c r="K27" s="27">
        <f>IFERROR(__xludf.DUMMYFUNCTION("""COMPUTED_VALUE"""),3.0)</f>
        <v>3</v>
      </c>
      <c r="L27" s="27">
        <f>IFERROR(__xludf.DUMMYFUNCTION("""COMPUTED_VALUE"""),2.0)</f>
        <v>2</v>
      </c>
    </row>
    <row r="28">
      <c r="A28" s="27" t="str">
        <f>IFERROR(__xludf.DUMMYFUNCTION("""COMPUTED_VALUE"""),"Camaro Z28")</f>
        <v>Camaro Z28</v>
      </c>
      <c r="B28" s="27">
        <f>IFERROR(__xludf.DUMMYFUNCTION("""COMPUTED_VALUE"""),13.3)</f>
        <v>13.3</v>
      </c>
      <c r="C28" s="27">
        <f>IFERROR(__xludf.DUMMYFUNCTION("""COMPUTED_VALUE"""),8.0)</f>
        <v>8</v>
      </c>
      <c r="D28" s="27">
        <f>IFERROR(__xludf.DUMMYFUNCTION("""COMPUTED_VALUE"""),350.0)</f>
        <v>350</v>
      </c>
      <c r="E28" s="27">
        <f>IFERROR(__xludf.DUMMYFUNCTION("""COMPUTED_VALUE"""),245.0)</f>
        <v>245</v>
      </c>
      <c r="F28" s="27">
        <f>IFERROR(__xludf.DUMMYFUNCTION("""COMPUTED_VALUE"""),3.73)</f>
        <v>3.73</v>
      </c>
      <c r="G28" s="27">
        <f>IFERROR(__xludf.DUMMYFUNCTION("""COMPUTED_VALUE"""),3.84)</f>
        <v>3.84</v>
      </c>
      <c r="H28" s="27">
        <f>IFERROR(__xludf.DUMMYFUNCTION("""COMPUTED_VALUE"""),15.41)</f>
        <v>15.41</v>
      </c>
      <c r="I28" s="27">
        <f>IFERROR(__xludf.DUMMYFUNCTION("""COMPUTED_VALUE"""),0.0)</f>
        <v>0</v>
      </c>
      <c r="J28" s="27">
        <f>IFERROR(__xludf.DUMMYFUNCTION("""COMPUTED_VALUE"""),0.0)</f>
        <v>0</v>
      </c>
      <c r="K28" s="27">
        <f>IFERROR(__xludf.DUMMYFUNCTION("""COMPUTED_VALUE"""),3.0)</f>
        <v>3</v>
      </c>
      <c r="L28" s="27">
        <f>IFERROR(__xludf.DUMMYFUNCTION("""COMPUTED_VALUE"""),4.0)</f>
        <v>4</v>
      </c>
    </row>
    <row r="29">
      <c r="A29" s="27" t="str">
        <f>IFERROR(__xludf.DUMMYFUNCTION("""COMPUTED_VALUE"""),"Pontiac Firebird")</f>
        <v>Pontiac Firebird</v>
      </c>
      <c r="B29" s="27">
        <f>IFERROR(__xludf.DUMMYFUNCTION("""COMPUTED_VALUE"""),19.2)</f>
        <v>19.2</v>
      </c>
      <c r="C29" s="27">
        <f>IFERROR(__xludf.DUMMYFUNCTION("""COMPUTED_VALUE"""),8.0)</f>
        <v>8</v>
      </c>
      <c r="D29" s="27">
        <f>IFERROR(__xludf.DUMMYFUNCTION("""COMPUTED_VALUE"""),400.0)</f>
        <v>400</v>
      </c>
      <c r="E29" s="27">
        <f>IFERROR(__xludf.DUMMYFUNCTION("""COMPUTED_VALUE"""),175.0)</f>
        <v>175</v>
      </c>
      <c r="F29" s="27">
        <f>IFERROR(__xludf.DUMMYFUNCTION("""COMPUTED_VALUE"""),3.08)</f>
        <v>3.08</v>
      </c>
      <c r="G29" s="27">
        <f>IFERROR(__xludf.DUMMYFUNCTION("""COMPUTED_VALUE"""),3.845)</f>
        <v>3.845</v>
      </c>
      <c r="H29" s="27">
        <f>IFERROR(__xludf.DUMMYFUNCTION("""COMPUTED_VALUE"""),17.05)</f>
        <v>17.05</v>
      </c>
      <c r="I29" s="27">
        <f>IFERROR(__xludf.DUMMYFUNCTION("""COMPUTED_VALUE"""),0.0)</f>
        <v>0</v>
      </c>
      <c r="J29" s="27">
        <f>IFERROR(__xludf.DUMMYFUNCTION("""COMPUTED_VALUE"""),0.0)</f>
        <v>0</v>
      </c>
      <c r="K29" s="27">
        <f>IFERROR(__xludf.DUMMYFUNCTION("""COMPUTED_VALUE"""),3.0)</f>
        <v>3</v>
      </c>
      <c r="L29" s="27">
        <f>IFERROR(__xludf.DUMMYFUNCTION("""COMPUTED_VALUE"""),2.0)</f>
        <v>2</v>
      </c>
    </row>
    <row r="30">
      <c r="A30" s="27" t="str">
        <f>IFERROR(__xludf.DUMMYFUNCTION("""COMPUTED_VALUE"""),"Fiat X1-9")</f>
        <v>Fiat X1-9</v>
      </c>
      <c r="B30" s="27">
        <f>IFERROR(__xludf.DUMMYFUNCTION("""COMPUTED_VALUE"""),27.3)</f>
        <v>27.3</v>
      </c>
      <c r="C30" s="27">
        <f>IFERROR(__xludf.DUMMYFUNCTION("""COMPUTED_VALUE"""),4.0)</f>
        <v>4</v>
      </c>
      <c r="D30" s="27">
        <f>IFERROR(__xludf.DUMMYFUNCTION("""COMPUTED_VALUE"""),79.0)</f>
        <v>79</v>
      </c>
      <c r="E30" s="27">
        <f>IFERROR(__xludf.DUMMYFUNCTION("""COMPUTED_VALUE"""),66.0)</f>
        <v>66</v>
      </c>
      <c r="F30" s="27">
        <f>IFERROR(__xludf.DUMMYFUNCTION("""COMPUTED_VALUE"""),4.08)</f>
        <v>4.08</v>
      </c>
      <c r="G30" s="27">
        <f>IFERROR(__xludf.DUMMYFUNCTION("""COMPUTED_VALUE"""),1.935)</f>
        <v>1.935</v>
      </c>
      <c r="H30" s="27">
        <f>IFERROR(__xludf.DUMMYFUNCTION("""COMPUTED_VALUE"""),18.9)</f>
        <v>18.9</v>
      </c>
      <c r="I30" s="27">
        <f>IFERROR(__xludf.DUMMYFUNCTION("""COMPUTED_VALUE"""),1.0)</f>
        <v>1</v>
      </c>
      <c r="J30" s="27">
        <f>IFERROR(__xludf.DUMMYFUNCTION("""COMPUTED_VALUE"""),1.0)</f>
        <v>1</v>
      </c>
      <c r="K30" s="27">
        <f>IFERROR(__xludf.DUMMYFUNCTION("""COMPUTED_VALUE"""),4.0)</f>
        <v>4</v>
      </c>
      <c r="L30" s="27">
        <f>IFERROR(__xludf.DUMMYFUNCTION("""COMPUTED_VALUE"""),1.0)</f>
        <v>1</v>
      </c>
    </row>
    <row r="31">
      <c r="A31" s="27" t="str">
        <f>IFERROR(__xludf.DUMMYFUNCTION("""COMPUTED_VALUE"""),"Porsche 914-2")</f>
        <v>Porsche 914-2</v>
      </c>
      <c r="B31" s="27">
        <f>IFERROR(__xludf.DUMMYFUNCTION("""COMPUTED_VALUE"""),26.0)</f>
        <v>26</v>
      </c>
      <c r="C31" s="27">
        <f>IFERROR(__xludf.DUMMYFUNCTION("""COMPUTED_VALUE"""),4.0)</f>
        <v>4</v>
      </c>
      <c r="D31" s="27">
        <f>IFERROR(__xludf.DUMMYFUNCTION("""COMPUTED_VALUE"""),120.3)</f>
        <v>120.3</v>
      </c>
      <c r="E31" s="27">
        <f>IFERROR(__xludf.DUMMYFUNCTION("""COMPUTED_VALUE"""),91.0)</f>
        <v>91</v>
      </c>
      <c r="F31" s="27">
        <f>IFERROR(__xludf.DUMMYFUNCTION("""COMPUTED_VALUE"""),4.43)</f>
        <v>4.43</v>
      </c>
      <c r="G31" s="27">
        <f>IFERROR(__xludf.DUMMYFUNCTION("""COMPUTED_VALUE"""),2.14)</f>
        <v>2.14</v>
      </c>
      <c r="H31" s="27">
        <f>IFERROR(__xludf.DUMMYFUNCTION("""COMPUTED_VALUE"""),16.7)</f>
        <v>16.7</v>
      </c>
      <c r="I31" s="27">
        <f>IFERROR(__xludf.DUMMYFUNCTION("""COMPUTED_VALUE"""),0.0)</f>
        <v>0</v>
      </c>
      <c r="J31" s="27">
        <f>IFERROR(__xludf.DUMMYFUNCTION("""COMPUTED_VALUE"""),1.0)</f>
        <v>1</v>
      </c>
      <c r="K31" s="27">
        <f>IFERROR(__xludf.DUMMYFUNCTION("""COMPUTED_VALUE"""),5.0)</f>
        <v>5</v>
      </c>
      <c r="L31" s="27">
        <f>IFERROR(__xludf.DUMMYFUNCTION("""COMPUTED_VALUE"""),2.0)</f>
        <v>2</v>
      </c>
    </row>
    <row r="32">
      <c r="A32" s="27" t="str">
        <f>IFERROR(__xludf.DUMMYFUNCTION("""COMPUTED_VALUE"""),"Lotus Europa")</f>
        <v>Lotus Europa</v>
      </c>
      <c r="B32" s="27">
        <f>IFERROR(__xludf.DUMMYFUNCTION("""COMPUTED_VALUE"""),30.4)</f>
        <v>30.4</v>
      </c>
      <c r="C32" s="27">
        <f>IFERROR(__xludf.DUMMYFUNCTION("""COMPUTED_VALUE"""),4.0)</f>
        <v>4</v>
      </c>
      <c r="D32" s="27">
        <f>IFERROR(__xludf.DUMMYFUNCTION("""COMPUTED_VALUE"""),95.1)</f>
        <v>95.1</v>
      </c>
      <c r="E32" s="27">
        <f>IFERROR(__xludf.DUMMYFUNCTION("""COMPUTED_VALUE"""),113.0)</f>
        <v>113</v>
      </c>
      <c r="F32" s="27">
        <f>IFERROR(__xludf.DUMMYFUNCTION("""COMPUTED_VALUE"""),3.77)</f>
        <v>3.77</v>
      </c>
      <c r="G32" s="27">
        <f>IFERROR(__xludf.DUMMYFUNCTION("""COMPUTED_VALUE"""),1.513)</f>
        <v>1.513</v>
      </c>
      <c r="H32" s="27">
        <f>IFERROR(__xludf.DUMMYFUNCTION("""COMPUTED_VALUE"""),16.9)</f>
        <v>16.9</v>
      </c>
      <c r="I32" s="27">
        <f>IFERROR(__xludf.DUMMYFUNCTION("""COMPUTED_VALUE"""),1.0)</f>
        <v>1</v>
      </c>
      <c r="J32" s="27">
        <f>IFERROR(__xludf.DUMMYFUNCTION("""COMPUTED_VALUE"""),1.0)</f>
        <v>1</v>
      </c>
      <c r="K32" s="27">
        <f>IFERROR(__xludf.DUMMYFUNCTION("""COMPUTED_VALUE"""),5.0)</f>
        <v>5</v>
      </c>
      <c r="L32" s="27">
        <f>IFERROR(__xludf.DUMMYFUNCTION("""COMPUTED_VALUE"""),2.0)</f>
        <v>2</v>
      </c>
    </row>
    <row r="33">
      <c r="A33" s="27" t="str">
        <f>IFERROR(__xludf.DUMMYFUNCTION("""COMPUTED_VALUE"""),"Ford Pantera L")</f>
        <v>Ford Pantera L</v>
      </c>
      <c r="B33" s="27">
        <f>IFERROR(__xludf.DUMMYFUNCTION("""COMPUTED_VALUE"""),15.8)</f>
        <v>15.8</v>
      </c>
      <c r="C33" s="27">
        <f>IFERROR(__xludf.DUMMYFUNCTION("""COMPUTED_VALUE"""),8.0)</f>
        <v>8</v>
      </c>
      <c r="D33" s="27">
        <f>IFERROR(__xludf.DUMMYFUNCTION("""COMPUTED_VALUE"""),351.0)</f>
        <v>351</v>
      </c>
      <c r="E33" s="27">
        <f>IFERROR(__xludf.DUMMYFUNCTION("""COMPUTED_VALUE"""),264.0)</f>
        <v>264</v>
      </c>
      <c r="F33" s="27">
        <f>IFERROR(__xludf.DUMMYFUNCTION("""COMPUTED_VALUE"""),4.22)</f>
        <v>4.22</v>
      </c>
      <c r="G33" s="27">
        <f>IFERROR(__xludf.DUMMYFUNCTION("""COMPUTED_VALUE"""),3.17)</f>
        <v>3.17</v>
      </c>
      <c r="H33" s="27">
        <f>IFERROR(__xludf.DUMMYFUNCTION("""COMPUTED_VALUE"""),14.5)</f>
        <v>14.5</v>
      </c>
      <c r="I33" s="27">
        <f>IFERROR(__xludf.DUMMYFUNCTION("""COMPUTED_VALUE"""),0.0)</f>
        <v>0</v>
      </c>
      <c r="J33" s="27">
        <f>IFERROR(__xludf.DUMMYFUNCTION("""COMPUTED_VALUE"""),1.0)</f>
        <v>1</v>
      </c>
      <c r="K33" s="27">
        <f>IFERROR(__xludf.DUMMYFUNCTION("""COMPUTED_VALUE"""),5.0)</f>
        <v>5</v>
      </c>
      <c r="L33" s="27">
        <f>IFERROR(__xludf.DUMMYFUNCTION("""COMPUTED_VALUE"""),4.0)</f>
        <v>4</v>
      </c>
    </row>
    <row r="34">
      <c r="A34" s="27" t="str">
        <f>IFERROR(__xludf.DUMMYFUNCTION("""COMPUTED_VALUE"""),"Ferrari Dino")</f>
        <v>Ferrari Dino</v>
      </c>
      <c r="B34" s="27">
        <f>IFERROR(__xludf.DUMMYFUNCTION("""COMPUTED_VALUE"""),19.7)</f>
        <v>19.7</v>
      </c>
      <c r="C34" s="27">
        <f>IFERROR(__xludf.DUMMYFUNCTION("""COMPUTED_VALUE"""),6.0)</f>
        <v>6</v>
      </c>
      <c r="D34" s="27">
        <f>IFERROR(__xludf.DUMMYFUNCTION("""COMPUTED_VALUE"""),145.0)</f>
        <v>145</v>
      </c>
      <c r="E34" s="27">
        <f>IFERROR(__xludf.DUMMYFUNCTION("""COMPUTED_VALUE"""),175.0)</f>
        <v>175</v>
      </c>
      <c r="F34" s="27">
        <f>IFERROR(__xludf.DUMMYFUNCTION("""COMPUTED_VALUE"""),3.62)</f>
        <v>3.62</v>
      </c>
      <c r="G34" s="27">
        <f>IFERROR(__xludf.DUMMYFUNCTION("""COMPUTED_VALUE"""),2.77)</f>
        <v>2.77</v>
      </c>
      <c r="H34" s="27">
        <f>IFERROR(__xludf.DUMMYFUNCTION("""COMPUTED_VALUE"""),15.5)</f>
        <v>15.5</v>
      </c>
      <c r="I34" s="27">
        <f>IFERROR(__xludf.DUMMYFUNCTION("""COMPUTED_VALUE"""),0.0)</f>
        <v>0</v>
      </c>
      <c r="J34" s="27">
        <f>IFERROR(__xludf.DUMMYFUNCTION("""COMPUTED_VALUE"""),1.0)</f>
        <v>1</v>
      </c>
      <c r="K34" s="27">
        <f>IFERROR(__xludf.DUMMYFUNCTION("""COMPUTED_VALUE"""),5.0)</f>
        <v>5</v>
      </c>
      <c r="L34" s="27">
        <f>IFERROR(__xludf.DUMMYFUNCTION("""COMPUTED_VALUE"""),6.0)</f>
        <v>6</v>
      </c>
    </row>
    <row r="35">
      <c r="A35" s="27" t="str">
        <f>IFERROR(__xludf.DUMMYFUNCTION("""COMPUTED_VALUE"""),"Maserati Bora")</f>
        <v>Maserati Bora</v>
      </c>
      <c r="B35" s="27">
        <f>IFERROR(__xludf.DUMMYFUNCTION("""COMPUTED_VALUE"""),15.0)</f>
        <v>15</v>
      </c>
      <c r="C35" s="27">
        <f>IFERROR(__xludf.DUMMYFUNCTION("""COMPUTED_VALUE"""),8.0)</f>
        <v>8</v>
      </c>
      <c r="D35" s="27">
        <f>IFERROR(__xludf.DUMMYFUNCTION("""COMPUTED_VALUE"""),301.0)</f>
        <v>301</v>
      </c>
      <c r="E35" s="27">
        <f>IFERROR(__xludf.DUMMYFUNCTION("""COMPUTED_VALUE"""),335.0)</f>
        <v>335</v>
      </c>
      <c r="F35" s="27">
        <f>IFERROR(__xludf.DUMMYFUNCTION("""COMPUTED_VALUE"""),3.54)</f>
        <v>3.54</v>
      </c>
      <c r="G35" s="27">
        <f>IFERROR(__xludf.DUMMYFUNCTION("""COMPUTED_VALUE"""),3.57)</f>
        <v>3.57</v>
      </c>
      <c r="H35" s="27">
        <f>IFERROR(__xludf.DUMMYFUNCTION("""COMPUTED_VALUE"""),14.6)</f>
        <v>14.6</v>
      </c>
      <c r="I35" s="27">
        <f>IFERROR(__xludf.DUMMYFUNCTION("""COMPUTED_VALUE"""),0.0)</f>
        <v>0</v>
      </c>
      <c r="J35" s="27">
        <f>IFERROR(__xludf.DUMMYFUNCTION("""COMPUTED_VALUE"""),1.0)</f>
        <v>1</v>
      </c>
      <c r="K35" s="27">
        <f>IFERROR(__xludf.DUMMYFUNCTION("""COMPUTED_VALUE"""),5.0)</f>
        <v>5</v>
      </c>
      <c r="L35" s="27">
        <f>IFERROR(__xludf.DUMMYFUNCTION("""COMPUTED_VALUE"""),8.0)</f>
        <v>8</v>
      </c>
    </row>
    <row r="36">
      <c r="A36" s="27" t="str">
        <f>IFERROR(__xludf.DUMMYFUNCTION("""COMPUTED_VALUE"""),"Volvo 142E")</f>
        <v>Volvo 142E</v>
      </c>
      <c r="B36" s="27">
        <f>IFERROR(__xludf.DUMMYFUNCTION("""COMPUTED_VALUE"""),21.4)</f>
        <v>21.4</v>
      </c>
      <c r="C36" s="27">
        <f>IFERROR(__xludf.DUMMYFUNCTION("""COMPUTED_VALUE"""),4.0)</f>
        <v>4</v>
      </c>
      <c r="D36" s="27">
        <f>IFERROR(__xludf.DUMMYFUNCTION("""COMPUTED_VALUE"""),121.0)</f>
        <v>121</v>
      </c>
      <c r="E36" s="27">
        <f>IFERROR(__xludf.DUMMYFUNCTION("""COMPUTED_VALUE"""),109.0)</f>
        <v>109</v>
      </c>
      <c r="F36" s="27">
        <f>IFERROR(__xludf.DUMMYFUNCTION("""COMPUTED_VALUE"""),4.11)</f>
        <v>4.11</v>
      </c>
      <c r="G36" s="27">
        <f>IFERROR(__xludf.DUMMYFUNCTION("""COMPUTED_VALUE"""),2.78)</f>
        <v>2.78</v>
      </c>
      <c r="H36" s="27">
        <f>IFERROR(__xludf.DUMMYFUNCTION("""COMPUTED_VALUE"""),18.6)</f>
        <v>18.6</v>
      </c>
      <c r="I36" s="27">
        <f>IFERROR(__xludf.DUMMYFUNCTION("""COMPUTED_VALUE"""),1.0)</f>
        <v>1</v>
      </c>
      <c r="J36" s="27">
        <f>IFERROR(__xludf.DUMMYFUNCTION("""COMPUTED_VALUE"""),1.0)</f>
        <v>1</v>
      </c>
      <c r="K36" s="27">
        <f>IFERROR(__xludf.DUMMYFUNCTION("""COMPUTED_VALUE"""),4.0)</f>
        <v>4</v>
      </c>
      <c r="L36" s="27">
        <f>IFERROR(__xludf.DUMMYFUNCTION("""COMPUTED_VALUE"""),2.0)</f>
        <v>2</v>
      </c>
    </row>
  </sheetData>
  <hyperlinks>
    <hyperlink r:id="rId1" ref="B2"/>
    <hyperlink r:id="rId2" ref="J2"/>
  </hyperlinks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4.0"/>
  </cols>
  <sheetData>
    <row r="1">
      <c r="A1" s="4" t="s">
        <v>12</v>
      </c>
      <c r="B1" s="2"/>
      <c r="C1" s="1" t="s">
        <v>308</v>
      </c>
      <c r="E1" s="2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309</v>
      </c>
      <c r="B2" s="2"/>
      <c r="C2" s="2"/>
      <c r="D2" s="1" t="s">
        <v>310</v>
      </c>
      <c r="E2" s="70">
        <v>300.0</v>
      </c>
      <c r="F2" s="70">
        <v>270.0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311</v>
      </c>
      <c r="B3" s="2"/>
      <c r="C3" s="2"/>
      <c r="D3" s="1" t="s">
        <v>312</v>
      </c>
      <c r="E3" s="34">
        <v>5.0</v>
      </c>
      <c r="F3" s="34">
        <v>4.0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6" t="s">
        <v>313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1" t="s">
        <v>314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3" t="s">
        <v>315</v>
      </c>
      <c r="F7" s="3" t="s">
        <v>316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1">
        <v>1.0</v>
      </c>
      <c r="E8" s="71">
        <v>292.3992612782244</v>
      </c>
      <c r="F8" s="72">
        <v>274.72827415735213</v>
      </c>
      <c r="G8" s="2"/>
      <c r="H8" s="1" t="s">
        <v>317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1">
        <v>2.0</v>
      </c>
      <c r="E9" s="71">
        <v>299.4515023729015</v>
      </c>
      <c r="F9" s="72">
        <v>270.0168328200409</v>
      </c>
      <c r="G9" s="2"/>
      <c r="H9" s="1" t="s">
        <v>318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1">
        <v>3.0</v>
      </c>
      <c r="E10" s="71">
        <v>307.2804466958146</v>
      </c>
      <c r="F10" s="72">
        <v>277.51799558708257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1">
        <v>4.0</v>
      </c>
      <c r="E11" s="71">
        <v>293.1273636140029</v>
      </c>
      <c r="F11" s="72">
        <v>268.97137470895365</v>
      </c>
      <c r="G11" s="2"/>
      <c r="H11" s="2"/>
      <c r="I11" s="1" t="s">
        <v>234</v>
      </c>
      <c r="J11" s="1" t="s">
        <v>202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1">
        <v>5.0</v>
      </c>
      <c r="E12" s="71">
        <v>301.71677396974</v>
      </c>
      <c r="F12" s="72">
        <v>270.29214041314043</v>
      </c>
      <c r="G12" s="2"/>
      <c r="H12" s="1" t="s">
        <v>315</v>
      </c>
      <c r="I12" s="73">
        <f>AVERAGE(E8:E107)</f>
        <v>299.8254584</v>
      </c>
      <c r="J12" s="74">
        <f>_xlfn.VAR.S(E8:E107)</f>
        <v>25.64514681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1">
        <v>6.0</v>
      </c>
      <c r="E13" s="71">
        <v>290.5635131070196</v>
      </c>
      <c r="F13" s="72">
        <v>266.7708047415496</v>
      </c>
      <c r="G13" s="2"/>
      <c r="H13" s="1" t="s">
        <v>316</v>
      </c>
      <c r="I13" s="73">
        <f>AVERAGE(F9:F108)</f>
        <v>270.6887683</v>
      </c>
      <c r="J13" s="74">
        <f>_xlfn.VAR.S(F8:F107)</f>
        <v>15.36501375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1">
        <v>7.0</v>
      </c>
      <c r="E14" s="71">
        <v>301.97269172321734</v>
      </c>
      <c r="F14" s="72">
        <v>268.313623031389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1">
        <v>8.0</v>
      </c>
      <c r="E15" s="71">
        <v>297.66098971219134</v>
      </c>
      <c r="F15" s="72">
        <v>264.0491225847197</v>
      </c>
      <c r="G15" s="2"/>
      <c r="H15" s="26" t="s">
        <v>319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1">
        <v>9.0</v>
      </c>
      <c r="E16" s="71">
        <v>300.7851001890865</v>
      </c>
      <c r="F16" s="72">
        <v>265.2942768408712</v>
      </c>
      <c r="G16" s="2"/>
      <c r="H16" s="75">
        <f>_xlfn.F.TEST(E8:E107,F8:F107)</f>
        <v>0.01145904632</v>
      </c>
      <c r="I16" s="1" t="b">
        <v>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1">
        <v>10.0</v>
      </c>
      <c r="E17" s="71">
        <v>303.5131782506099</v>
      </c>
      <c r="F17" s="72">
        <v>278.41085066704704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1">
        <v>11.0</v>
      </c>
      <c r="E18" s="71">
        <v>300.9144198031332</v>
      </c>
      <c r="F18" s="72">
        <v>273.7691146997715</v>
      </c>
      <c r="G18" s="2"/>
      <c r="H18" s="26" t="s">
        <v>320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1">
        <v>12.0</v>
      </c>
      <c r="E19" s="71">
        <v>301.41970675228373</v>
      </c>
      <c r="F19" s="72">
        <v>273.63328330917005</v>
      </c>
      <c r="G19" s="2"/>
      <c r="H19" s="4" t="s">
        <v>321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1">
        <v>13.0</v>
      </c>
      <c r="E20" s="71">
        <v>305.29760744989886</v>
      </c>
      <c r="F20" s="72">
        <v>270.3269036572846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1">
        <v>14.0</v>
      </c>
      <c r="E21" s="71">
        <v>301.88850876308896</v>
      </c>
      <c r="F21" s="72">
        <v>269.4808114864682</v>
      </c>
      <c r="G21" s="2"/>
      <c r="H21" s="1" t="s">
        <v>322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1">
        <v>15.0</v>
      </c>
      <c r="E22" s="71">
        <v>297.3728580376455</v>
      </c>
      <c r="F22" s="72">
        <v>271.8524291704305</v>
      </c>
      <c r="G22" s="2"/>
      <c r="H22" s="76">
        <f>_xlfn.T.TEST(E8:E107,F8:F107,2,3)</f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1">
        <v>16.0</v>
      </c>
      <c r="E23" s="71">
        <v>295.61536522350684</v>
      </c>
      <c r="F23" s="72">
        <v>277.9541680206279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1">
        <v>17.0</v>
      </c>
      <c r="E24" s="71">
        <v>301.0733135468286</v>
      </c>
      <c r="F24" s="72">
        <v>271.23190738220603</v>
      </c>
      <c r="G24" s="2"/>
      <c r="H24" s="1" t="s">
        <v>323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1">
        <v>18.0</v>
      </c>
      <c r="E25" s="71">
        <v>298.34107002410263</v>
      </c>
      <c r="F25" s="72">
        <v>268.0409618882635</v>
      </c>
      <c r="G25" s="2"/>
      <c r="H25" s="4" t="s">
        <v>324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1">
        <v>19.0</v>
      </c>
      <c r="E26" s="71">
        <v>300.43635283754355</v>
      </c>
      <c r="F26" s="72">
        <v>275.54619601721646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1">
        <v>20.0</v>
      </c>
      <c r="E27" s="71">
        <v>288.68130951759696</v>
      </c>
      <c r="F27" s="72">
        <v>274.4019220294785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1">
        <v>21.0</v>
      </c>
      <c r="E28" s="71">
        <v>299.5997543630274</v>
      </c>
      <c r="F28" s="72">
        <v>277.1504235456678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1">
        <v>22.0</v>
      </c>
      <c r="E29" s="71">
        <v>296.7842375597651</v>
      </c>
      <c r="F29" s="72">
        <v>267.9314723829068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1">
        <v>23.0</v>
      </c>
      <c r="E30" s="71">
        <v>305.60466781402357</v>
      </c>
      <c r="F30" s="72">
        <v>273.779899224473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1">
        <v>24.0</v>
      </c>
      <c r="E31" s="71">
        <v>292.56450420902536</v>
      </c>
      <c r="F31" s="72">
        <v>271.29064169278047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1">
        <v>25.0</v>
      </c>
      <c r="E32" s="71">
        <v>306.3149993907948</v>
      </c>
      <c r="F32" s="72">
        <v>273.4962540411751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1">
        <v>26.0</v>
      </c>
      <c r="E33" s="71">
        <v>307.33473186428785</v>
      </c>
      <c r="F33" s="72">
        <v>275.22560248551883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1">
        <v>27.0</v>
      </c>
      <c r="E34" s="71">
        <v>302.0202870916314</v>
      </c>
      <c r="F34" s="72">
        <v>265.2737501209457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1">
        <v>28.0</v>
      </c>
      <c r="E35" s="71">
        <v>297.97911551020917</v>
      </c>
      <c r="F35" s="72">
        <v>263.62883331283683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1">
        <v>29.0</v>
      </c>
      <c r="E36" s="71">
        <v>298.5430470121212</v>
      </c>
      <c r="F36" s="72">
        <v>269.9876342988631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1">
        <v>30.0</v>
      </c>
      <c r="E37" s="71">
        <v>299.9244004218618</v>
      </c>
      <c r="F37" s="72">
        <v>274.0368153980128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1">
        <v>31.0</v>
      </c>
      <c r="E38" s="71">
        <v>303.92017879056164</v>
      </c>
      <c r="F38" s="72">
        <v>271.28889926294266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1">
        <v>32.0</v>
      </c>
      <c r="E39" s="71">
        <v>302.73228814524</v>
      </c>
      <c r="F39" s="72">
        <v>270.3858159958905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1">
        <v>33.0</v>
      </c>
      <c r="E40" s="71">
        <v>296.1179154866509</v>
      </c>
      <c r="F40" s="72">
        <v>264.9251903005887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1">
        <v>34.0</v>
      </c>
      <c r="E41" s="71">
        <v>302.70857052547984</v>
      </c>
      <c r="F41" s="72">
        <v>270.3256500849435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1">
        <v>35.0</v>
      </c>
      <c r="E42" s="71">
        <v>304.0205054312185</v>
      </c>
      <c r="F42" s="72">
        <v>266.4855938334378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1">
        <v>36.0</v>
      </c>
      <c r="E43" s="71">
        <v>297.99701312158794</v>
      </c>
      <c r="F43" s="72">
        <v>276.26337738822303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1">
        <v>37.0</v>
      </c>
      <c r="E44" s="71">
        <v>304.32800450575445</v>
      </c>
      <c r="F44" s="72">
        <v>269.0747376244654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1">
        <v>38.0</v>
      </c>
      <c r="E45" s="71">
        <v>303.3538351435475</v>
      </c>
      <c r="F45" s="72">
        <v>263.9512140239773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1">
        <v>39.0</v>
      </c>
      <c r="E46" s="71">
        <v>305.9055609576907</v>
      </c>
      <c r="F46" s="72">
        <v>270.47745269792966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1">
        <v>40.0</v>
      </c>
      <c r="E47" s="71">
        <v>295.7747638137003</v>
      </c>
      <c r="F47" s="72">
        <v>270.9357918090601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1">
        <v>41.0</v>
      </c>
      <c r="E48" s="71">
        <v>305.97207020382</v>
      </c>
      <c r="F48" s="72">
        <v>271.88573072356024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1">
        <v>42.0</v>
      </c>
      <c r="E49" s="71">
        <v>294.31232252150204</v>
      </c>
      <c r="F49" s="72">
        <v>275.18801881620203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1">
        <v>43.0</v>
      </c>
      <c r="E50" s="71">
        <v>304.2812878575951</v>
      </c>
      <c r="F50" s="72">
        <v>272.2681703078528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1">
        <v>44.0</v>
      </c>
      <c r="E51" s="71">
        <v>300.89390498927935</v>
      </c>
      <c r="F51" s="72">
        <v>270.1558118765323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1">
        <v>45.0</v>
      </c>
      <c r="E52" s="71">
        <v>296.26978810596097</v>
      </c>
      <c r="F52" s="72">
        <v>273.20046031439745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1">
        <v>46.0</v>
      </c>
      <c r="E53" s="71">
        <v>305.19280364176825</v>
      </c>
      <c r="F53" s="72">
        <v>264.3985594178778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1">
        <v>47.0</v>
      </c>
      <c r="E54" s="71">
        <v>298.9780286355559</v>
      </c>
      <c r="F54" s="72">
        <v>268.1639821375242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1">
        <v>48.0</v>
      </c>
      <c r="E55" s="71">
        <v>295.5806574077824</v>
      </c>
      <c r="F55" s="72">
        <v>272.3527275323756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1">
        <v>49.0</v>
      </c>
      <c r="E56" s="71">
        <v>288.37783763600794</v>
      </c>
      <c r="F56" s="72">
        <v>269.08258336494913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1">
        <v>50.0</v>
      </c>
      <c r="E57" s="71">
        <v>292.2317950358763</v>
      </c>
      <c r="F57" s="72">
        <v>271.399630712836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1">
        <v>51.0</v>
      </c>
      <c r="E58" s="71">
        <v>293.64041821624875</v>
      </c>
      <c r="F58" s="72">
        <v>273.8467890807746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1">
        <v>52.0</v>
      </c>
      <c r="E59" s="71">
        <v>290.03880696490097</v>
      </c>
      <c r="F59" s="72">
        <v>271.86030008267664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1">
        <v>53.0</v>
      </c>
      <c r="E60" s="71">
        <v>296.5502372656684</v>
      </c>
      <c r="F60" s="72">
        <v>262.9018786004845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1">
        <v>54.0</v>
      </c>
      <c r="E61" s="71">
        <v>298.47523245404346</v>
      </c>
      <c r="F61" s="72">
        <v>276.98948487972126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1">
        <v>55.0</v>
      </c>
      <c r="E62" s="71">
        <v>303.3974088646111</v>
      </c>
      <c r="F62" s="72">
        <v>268.45267364539353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1">
        <v>56.0</v>
      </c>
      <c r="E63" s="71">
        <v>302.01603360083783</v>
      </c>
      <c r="F63" s="72">
        <v>262.9843193842376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1">
        <v>57.0</v>
      </c>
      <c r="E64" s="71">
        <v>292.08847392792086</v>
      </c>
      <c r="F64" s="72">
        <v>268.93230724420613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1">
        <v>58.0</v>
      </c>
      <c r="E65" s="71">
        <v>300.0136292920983</v>
      </c>
      <c r="F65" s="72">
        <v>276.12340251521107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1">
        <v>59.0</v>
      </c>
      <c r="E66" s="71">
        <v>297.17982370479154</v>
      </c>
      <c r="F66" s="72">
        <v>263.33931809520243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1">
        <v>60.0</v>
      </c>
      <c r="E67" s="71">
        <v>296.2298164122399</v>
      </c>
      <c r="F67" s="72">
        <v>268.279605118385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1">
        <v>61.0</v>
      </c>
      <c r="E68" s="71">
        <v>301.81143184917147</v>
      </c>
      <c r="F68" s="72">
        <v>272.0421666306023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1">
        <v>62.0</v>
      </c>
      <c r="E69" s="71">
        <v>308.26544390236035</v>
      </c>
      <c r="F69" s="72">
        <v>264.89553418889506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1">
        <v>63.0</v>
      </c>
      <c r="E70" s="71">
        <v>310.7913564687314</v>
      </c>
      <c r="F70" s="72">
        <v>273.30558841076197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1">
        <v>64.0</v>
      </c>
      <c r="E71" s="71">
        <v>305.1462369141842</v>
      </c>
      <c r="F71" s="72">
        <v>271.1046939225019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1">
        <v>65.0</v>
      </c>
      <c r="E72" s="71">
        <v>305.78123838927155</v>
      </c>
      <c r="F72" s="72">
        <v>276.046892550601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1">
        <v>66.0</v>
      </c>
      <c r="E73" s="71">
        <v>300.89665261675833</v>
      </c>
      <c r="F73" s="72">
        <v>269.5204595425325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1">
        <v>67.0</v>
      </c>
      <c r="E74" s="71">
        <v>307.5676555304801</v>
      </c>
      <c r="F74" s="72">
        <v>271.9287597980267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1">
        <v>68.0</v>
      </c>
      <c r="E75" s="71">
        <v>308.8670828149507</v>
      </c>
      <c r="F75" s="72">
        <v>276.20002881207506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1">
        <v>69.0</v>
      </c>
      <c r="E76" s="71">
        <v>299.91995378831797</v>
      </c>
      <c r="F76" s="72">
        <v>278.60818092271444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1">
        <v>70.0</v>
      </c>
      <c r="E77" s="71">
        <v>308.22848778924384</v>
      </c>
      <c r="F77" s="72">
        <v>267.7137348838119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1">
        <v>71.0</v>
      </c>
      <c r="E78" s="71">
        <v>294.8915009785576</v>
      </c>
      <c r="F78" s="72">
        <v>270.93153139303445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1">
        <v>72.0</v>
      </c>
      <c r="E79" s="71">
        <v>295.41325409940276</v>
      </c>
      <c r="F79" s="72">
        <v>267.9934146009556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1">
        <v>73.0</v>
      </c>
      <c r="E80" s="71">
        <v>301.5709509936693</v>
      </c>
      <c r="F80" s="72">
        <v>273.75082438404354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1">
        <v>74.0</v>
      </c>
      <c r="E81" s="71">
        <v>308.2620241624968</v>
      </c>
      <c r="F81" s="72">
        <v>265.1737080836433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1">
        <v>75.0</v>
      </c>
      <c r="E82" s="71">
        <v>301.7381171290968</v>
      </c>
      <c r="F82" s="72">
        <v>272.90338758202154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1">
        <v>76.0</v>
      </c>
      <c r="E83" s="71">
        <v>294.2910746927502</v>
      </c>
      <c r="F83" s="72">
        <v>271.21446867612406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1">
        <v>77.0</v>
      </c>
      <c r="E84" s="71">
        <v>297.21455910074917</v>
      </c>
      <c r="F84" s="72">
        <v>272.0889374847637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1">
        <v>78.0</v>
      </c>
      <c r="E85" s="71">
        <v>300.24476139339345</v>
      </c>
      <c r="F85" s="72">
        <v>273.2835478755276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1">
        <v>79.0</v>
      </c>
      <c r="E86" s="71">
        <v>303.0521990160476</v>
      </c>
      <c r="F86" s="72">
        <v>272.3615188074917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1">
        <v>80.0</v>
      </c>
      <c r="E87" s="71">
        <v>295.9043973322717</v>
      </c>
      <c r="F87" s="72">
        <v>270.0537789443157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1">
        <v>81.0</v>
      </c>
      <c r="E88" s="71">
        <v>294.5540692995864</v>
      </c>
      <c r="F88" s="72">
        <v>267.70014670361974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1">
        <v>82.0</v>
      </c>
      <c r="E89" s="71">
        <v>294.95663520432635</v>
      </c>
      <c r="F89" s="72">
        <v>277.1072199930831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1">
        <v>83.0</v>
      </c>
      <c r="E90" s="71">
        <v>302.9770940868627</v>
      </c>
      <c r="F90" s="72">
        <v>268.81797238060324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1">
        <v>84.0</v>
      </c>
      <c r="E91" s="71">
        <v>298.6675567323235</v>
      </c>
      <c r="F91" s="72">
        <v>265.6655179133613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1">
        <v>85.0</v>
      </c>
      <c r="E92" s="71">
        <v>297.20079542248885</v>
      </c>
      <c r="F92" s="72">
        <v>267.66351798225946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1">
        <v>86.0</v>
      </c>
      <c r="E93" s="71">
        <v>304.0237385335426</v>
      </c>
      <c r="F93" s="72">
        <v>267.533383477467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1">
        <v>87.0</v>
      </c>
      <c r="E94" s="71">
        <v>300.00898251515883</v>
      </c>
      <c r="F94" s="72">
        <v>269.98646259606915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1">
        <v>88.0</v>
      </c>
      <c r="E95" s="71">
        <v>311.27334204535026</v>
      </c>
      <c r="F95" s="72">
        <v>269.93606174780825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1">
        <v>89.0</v>
      </c>
      <c r="E96" s="71">
        <v>302.09816471741743</v>
      </c>
      <c r="F96" s="72">
        <v>276.6140882687332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1">
        <v>90.0</v>
      </c>
      <c r="E97" s="71">
        <v>297.4072301961025</v>
      </c>
      <c r="F97" s="72">
        <v>267.08643027356936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1">
        <v>91.0</v>
      </c>
      <c r="E98" s="71">
        <v>298.56221485964795</v>
      </c>
      <c r="F98" s="72">
        <v>274.33327294103435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1">
        <v>92.0</v>
      </c>
      <c r="E99" s="71">
        <v>302.219457094266</v>
      </c>
      <c r="F99" s="72">
        <v>268.45902103439676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1">
        <v>93.0</v>
      </c>
      <c r="E100" s="71">
        <v>301.5941619210407</v>
      </c>
      <c r="F100" s="72">
        <v>266.5614528392438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1">
        <v>94.0</v>
      </c>
      <c r="E101" s="71">
        <v>301.7827581234961</v>
      </c>
      <c r="F101" s="72">
        <v>265.90024181340107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1">
        <v>95.0</v>
      </c>
      <c r="E102" s="71">
        <v>294.49914653121095</v>
      </c>
      <c r="F102" s="72">
        <v>272.5711625765876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1">
        <v>96.0</v>
      </c>
      <c r="E103" s="71">
        <v>299.0366504950489</v>
      </c>
      <c r="F103" s="72">
        <v>275.00640931046905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1">
        <v>97.0</v>
      </c>
      <c r="E104" s="71">
        <v>287.8428143823254</v>
      </c>
      <c r="F104" s="72">
        <v>272.7438780346075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1">
        <v>98.0</v>
      </c>
      <c r="E105" s="71">
        <v>296.4185800003008</v>
      </c>
      <c r="F105" s="72">
        <v>266.94732783965753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1">
        <v>99.0</v>
      </c>
      <c r="E106" s="71">
        <v>292.4807199751195</v>
      </c>
      <c r="F106" s="72">
        <v>267.22713986488463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1">
        <v>100.0</v>
      </c>
      <c r="E107" s="71">
        <v>300.3232533939337</v>
      </c>
      <c r="F107" s="72">
        <v>275.61067390040057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13</v>
      </c>
      <c r="D1" s="1" t="s">
        <v>325</v>
      </c>
    </row>
    <row r="2">
      <c r="A2" s="1" t="s">
        <v>326</v>
      </c>
    </row>
    <row r="3">
      <c r="A3" s="1" t="s">
        <v>327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 t="s">
        <v>328</v>
      </c>
      <c r="B1" s="2"/>
      <c r="C1" s="2"/>
      <c r="D1" s="2"/>
      <c r="E1" s="2"/>
      <c r="F1" s="2"/>
      <c r="G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8" t="s">
        <v>329</v>
      </c>
      <c r="B2" s="2"/>
      <c r="C2" s="2"/>
      <c r="D2" s="2"/>
      <c r="E2" s="2"/>
      <c r="F2" s="2"/>
      <c r="G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8" t="s">
        <v>330</v>
      </c>
      <c r="B3" s="2"/>
      <c r="C3" s="2"/>
      <c r="D3" s="2"/>
      <c r="E3" s="2"/>
      <c r="F3" s="2"/>
      <c r="G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331</v>
      </c>
      <c r="B5" s="2"/>
      <c r="C5" s="2"/>
      <c r="D5" s="2"/>
      <c r="E5" s="2"/>
      <c r="F5" s="2"/>
      <c r="G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79" t="s">
        <v>332</v>
      </c>
      <c r="E7" s="79" t="s">
        <v>333</v>
      </c>
      <c r="F7" s="79" t="s">
        <v>334</v>
      </c>
      <c r="G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80">
        <v>95.0</v>
      </c>
      <c r="E8" s="80">
        <v>83.0</v>
      </c>
      <c r="F8" s="80">
        <v>68.0</v>
      </c>
      <c r="G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80">
        <v>91.0</v>
      </c>
      <c r="E9" s="80">
        <v>89.0</v>
      </c>
      <c r="F9" s="80">
        <v>75.0</v>
      </c>
      <c r="G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80">
        <v>89.0</v>
      </c>
      <c r="E10" s="80">
        <v>85.0</v>
      </c>
      <c r="F10" s="80">
        <v>79.0</v>
      </c>
      <c r="G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80">
        <v>90.0</v>
      </c>
      <c r="E11" s="80">
        <v>89.0</v>
      </c>
      <c r="F11" s="80">
        <v>74.0</v>
      </c>
      <c r="G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80">
        <v>99.0</v>
      </c>
      <c r="E12" s="80">
        <v>81.0</v>
      </c>
      <c r="F12" s="80">
        <v>75.0</v>
      </c>
      <c r="G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80">
        <v>88.0</v>
      </c>
      <c r="E13" s="80">
        <v>89.0</v>
      </c>
      <c r="F13" s="80">
        <v>81.0</v>
      </c>
      <c r="G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80">
        <v>96.0</v>
      </c>
      <c r="E14" s="80">
        <v>90.0</v>
      </c>
      <c r="F14" s="80">
        <v>73.0</v>
      </c>
      <c r="G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80">
        <v>98.0</v>
      </c>
      <c r="E15" s="80">
        <v>82.0</v>
      </c>
      <c r="F15" s="80">
        <v>77.0</v>
      </c>
      <c r="G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80">
        <v>95.0</v>
      </c>
      <c r="E16" s="80">
        <v>84.0</v>
      </c>
      <c r="F16" s="81">
        <v>80.0</v>
      </c>
      <c r="G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81">
        <v>92.0</v>
      </c>
      <c r="E17" s="80">
        <v>80.0</v>
      </c>
      <c r="F17" s="81">
        <v>81.0</v>
      </c>
      <c r="G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1" width="10.63"/>
  </cols>
  <sheetData>
    <row r="1">
      <c r="A1" s="4" t="s">
        <v>15</v>
      </c>
      <c r="B1" s="2"/>
      <c r="C1" s="2"/>
      <c r="D1" s="2"/>
      <c r="E1" s="2"/>
      <c r="F1" s="1" t="s">
        <v>306</v>
      </c>
      <c r="G1" s="82" t="s">
        <v>335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336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337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3"/>
      <c r="B5" s="84" t="s">
        <v>338</v>
      </c>
      <c r="C5" s="85"/>
      <c r="D5" s="85"/>
      <c r="E5" s="85"/>
      <c r="F5" s="2"/>
      <c r="G5" s="83"/>
      <c r="H5" s="84" t="s">
        <v>339</v>
      </c>
      <c r="I5" s="85"/>
      <c r="J5" s="85"/>
      <c r="K5" s="85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3"/>
      <c r="B6" s="86" t="s">
        <v>340</v>
      </c>
      <c r="C6" s="86" t="s">
        <v>341</v>
      </c>
      <c r="D6" s="86" t="s">
        <v>342</v>
      </c>
      <c r="E6" s="86" t="s">
        <v>343</v>
      </c>
      <c r="F6" s="2"/>
      <c r="G6" s="83"/>
      <c r="H6" s="86" t="s">
        <v>340</v>
      </c>
      <c r="I6" s="86" t="s">
        <v>341</v>
      </c>
      <c r="J6" s="86" t="s">
        <v>342</v>
      </c>
      <c r="K6" s="86" t="s">
        <v>343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87" t="s">
        <v>344</v>
      </c>
      <c r="B7" s="86">
        <v>120.0</v>
      </c>
      <c r="C7" s="86">
        <v>90.0</v>
      </c>
      <c r="D7" s="86">
        <v>40.0</v>
      </c>
      <c r="E7" s="86">
        <v>250.0</v>
      </c>
      <c r="F7" s="2"/>
      <c r="G7" s="87" t="s">
        <v>344</v>
      </c>
      <c r="H7" s="88"/>
      <c r="I7" s="88"/>
      <c r="J7" s="88"/>
      <c r="K7" s="86">
        <v>250.0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87" t="s">
        <v>345</v>
      </c>
      <c r="B8" s="86">
        <v>110.0</v>
      </c>
      <c r="C8" s="86">
        <v>95.0</v>
      </c>
      <c r="D8" s="86">
        <v>45.0</v>
      </c>
      <c r="E8" s="86">
        <v>250.0</v>
      </c>
      <c r="F8" s="2"/>
      <c r="G8" s="87" t="s">
        <v>345</v>
      </c>
      <c r="H8" s="88"/>
      <c r="I8" s="88"/>
      <c r="J8" s="88"/>
      <c r="K8" s="86">
        <v>250.0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87" t="s">
        <v>343</v>
      </c>
      <c r="B9" s="86">
        <v>230.0</v>
      </c>
      <c r="C9" s="86">
        <v>185.0</v>
      </c>
      <c r="D9" s="86">
        <v>85.0</v>
      </c>
      <c r="E9" s="86">
        <v>500.0</v>
      </c>
      <c r="F9" s="2"/>
      <c r="G9" s="87" t="s">
        <v>343</v>
      </c>
      <c r="H9" s="86">
        <v>230.0</v>
      </c>
      <c r="I9" s="86">
        <v>185.0</v>
      </c>
      <c r="J9" s="86">
        <v>85.0</v>
      </c>
      <c r="K9" s="86">
        <v>500.0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83"/>
      <c r="B10" s="83"/>
      <c r="C10" s="83"/>
      <c r="D10" s="83"/>
      <c r="E10" s="8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89"/>
      <c r="B11" s="89"/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</row>
    <row r="12">
      <c r="A12" s="83"/>
      <c r="B12" s="83"/>
      <c r="C12" s="83"/>
      <c r="D12" s="83"/>
      <c r="E12" s="8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83"/>
      <c r="B13" s="84" t="s">
        <v>338</v>
      </c>
      <c r="C13" s="85"/>
      <c r="D13" s="85"/>
      <c r="E13" s="83"/>
      <c r="F13" s="2"/>
      <c r="G13" s="83"/>
      <c r="H13" s="84" t="s">
        <v>339</v>
      </c>
      <c r="I13" s="85"/>
      <c r="J13" s="85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83"/>
      <c r="B14" s="86" t="s">
        <v>346</v>
      </c>
      <c r="C14" s="86" t="s">
        <v>347</v>
      </c>
      <c r="D14" s="86" t="s">
        <v>343</v>
      </c>
      <c r="E14" s="83"/>
      <c r="F14" s="2"/>
      <c r="G14" s="83"/>
      <c r="H14" s="86" t="s">
        <v>346</v>
      </c>
      <c r="I14" s="86" t="s">
        <v>347</v>
      </c>
      <c r="J14" s="86" t="s">
        <v>343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87" t="s">
        <v>348</v>
      </c>
      <c r="B15" s="86">
        <v>840.0</v>
      </c>
      <c r="C15" s="86">
        <v>160.0</v>
      </c>
      <c r="D15" s="86">
        <v>1000.0</v>
      </c>
      <c r="E15" s="83"/>
      <c r="F15" s="2"/>
      <c r="G15" s="87" t="s">
        <v>348</v>
      </c>
      <c r="H15" s="88"/>
      <c r="I15" s="88"/>
      <c r="J15" s="86">
        <v>1000.0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87" t="s">
        <v>349</v>
      </c>
      <c r="B16" s="86">
        <v>750.0</v>
      </c>
      <c r="C16" s="86">
        <v>250.0</v>
      </c>
      <c r="D16" s="86">
        <v>1000.0</v>
      </c>
      <c r="E16" s="83"/>
      <c r="F16" s="2"/>
      <c r="G16" s="87" t="s">
        <v>349</v>
      </c>
      <c r="H16" s="88"/>
      <c r="I16" s="88"/>
      <c r="J16" s="86">
        <v>1000.0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87" t="s">
        <v>343</v>
      </c>
      <c r="B17" s="86">
        <v>1590.0</v>
      </c>
      <c r="C17" s="86">
        <v>410.0</v>
      </c>
      <c r="D17" s="86">
        <v>2000.0</v>
      </c>
      <c r="E17" s="83"/>
      <c r="F17" s="2"/>
      <c r="G17" s="87" t="s">
        <v>343</v>
      </c>
      <c r="H17" s="86">
        <v>1590.0</v>
      </c>
      <c r="I17" s="86">
        <v>410.0</v>
      </c>
      <c r="J17" s="86">
        <v>2000.0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</sheetData>
  <mergeCells count="1">
    <mergeCell ref="G1:K1"/>
  </mergeCells>
  <hyperlinks>
    <hyperlink r:id="rId1" ref="G1"/>
  </hyperlin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</cols>
  <sheetData>
    <row r="1">
      <c r="A1" s="22" t="s">
        <v>350</v>
      </c>
      <c r="B1" s="19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9"/>
      <c r="B2" s="19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9" t="s">
        <v>351</v>
      </c>
      <c r="B3" s="19" t="s">
        <v>352</v>
      </c>
      <c r="C3" s="1" t="s">
        <v>353</v>
      </c>
      <c r="D3" s="4" t="s">
        <v>354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90" t="s">
        <v>355</v>
      </c>
      <c r="B4" s="91">
        <v>57.0</v>
      </c>
      <c r="C4" s="89"/>
      <c r="D4" s="92" t="s">
        <v>356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0" t="s">
        <v>357</v>
      </c>
      <c r="B5" s="91">
        <v>84.0</v>
      </c>
      <c r="C5" s="89"/>
      <c r="D5" s="89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0" t="s">
        <v>358</v>
      </c>
      <c r="B6" s="91">
        <v>68.0</v>
      </c>
      <c r="C6" s="89"/>
      <c r="D6" s="89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0" t="s">
        <v>359</v>
      </c>
      <c r="B7" s="91">
        <v>100.0</v>
      </c>
      <c r="C7" s="55">
        <f t="shared" ref="C7:C23" si="1">AVERAGE(B4:B6)</f>
        <v>69.66666667</v>
      </c>
      <c r="D7" s="8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0" t="s">
        <v>360</v>
      </c>
      <c r="B8" s="91">
        <v>63.0</v>
      </c>
      <c r="C8" s="55">
        <f t="shared" si="1"/>
        <v>84</v>
      </c>
      <c r="D8" s="89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0" t="s">
        <v>361</v>
      </c>
      <c r="B9" s="91">
        <v>81.0</v>
      </c>
      <c r="C9" s="55">
        <f t="shared" si="1"/>
        <v>77</v>
      </c>
      <c r="D9" s="2">
        <f t="shared" ref="D9:D23" si="2">AVERAGE(B4:B8)</f>
        <v>74.4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0" t="s">
        <v>362</v>
      </c>
      <c r="B10" s="91">
        <v>73.0</v>
      </c>
      <c r="C10" s="55">
        <f t="shared" si="1"/>
        <v>81.33333333</v>
      </c>
      <c r="D10" s="2">
        <f t="shared" si="2"/>
        <v>79.2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0" t="s">
        <v>363</v>
      </c>
      <c r="B11" s="91">
        <v>110.0</v>
      </c>
      <c r="C11" s="55">
        <f t="shared" si="1"/>
        <v>72.33333333</v>
      </c>
      <c r="D11" s="2">
        <f t="shared" si="2"/>
        <v>77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0" t="s">
        <v>364</v>
      </c>
      <c r="B12" s="91">
        <v>70.0</v>
      </c>
      <c r="C12" s="55">
        <f t="shared" si="1"/>
        <v>88</v>
      </c>
      <c r="D12" s="2">
        <f t="shared" si="2"/>
        <v>85.4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0" t="s">
        <v>365</v>
      </c>
      <c r="B13" s="91">
        <v>87.0</v>
      </c>
      <c r="C13" s="55">
        <f t="shared" si="1"/>
        <v>84.33333333</v>
      </c>
      <c r="D13" s="2">
        <f t="shared" si="2"/>
        <v>79.4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0" t="s">
        <v>366</v>
      </c>
      <c r="B14" s="91">
        <v>75.0</v>
      </c>
      <c r="C14" s="55">
        <f t="shared" si="1"/>
        <v>89</v>
      </c>
      <c r="D14" s="2">
        <f t="shared" si="2"/>
        <v>84.2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0" t="s">
        <v>367</v>
      </c>
      <c r="B15" s="91">
        <v>112.0</v>
      </c>
      <c r="C15" s="55">
        <f t="shared" si="1"/>
        <v>77.33333333</v>
      </c>
      <c r="D15" s="2">
        <f t="shared" si="2"/>
        <v>83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0" t="s">
        <v>368</v>
      </c>
      <c r="B16" s="91">
        <v>78.0</v>
      </c>
      <c r="C16" s="55">
        <f t="shared" si="1"/>
        <v>91.33333333</v>
      </c>
      <c r="D16" s="2">
        <f t="shared" si="2"/>
        <v>90.8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0" t="s">
        <v>369</v>
      </c>
      <c r="B17" s="91">
        <v>95.0</v>
      </c>
      <c r="C17" s="55">
        <f t="shared" si="1"/>
        <v>88.33333333</v>
      </c>
      <c r="D17" s="2">
        <f t="shared" si="2"/>
        <v>84.4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0" t="s">
        <v>370</v>
      </c>
      <c r="B18" s="91">
        <v>88.0</v>
      </c>
      <c r="C18" s="55">
        <f t="shared" si="1"/>
        <v>95</v>
      </c>
      <c r="D18" s="2">
        <f t="shared" si="2"/>
        <v>89.4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0" t="s">
        <v>371</v>
      </c>
      <c r="B19" s="91">
        <v>116.0</v>
      </c>
      <c r="C19" s="55">
        <f t="shared" si="1"/>
        <v>87</v>
      </c>
      <c r="D19" s="2">
        <f t="shared" si="2"/>
        <v>89.6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0" t="s">
        <v>372</v>
      </c>
      <c r="B20" s="91">
        <v>82.0</v>
      </c>
      <c r="C20" s="55">
        <f t="shared" si="1"/>
        <v>99.66666667</v>
      </c>
      <c r="D20" s="2">
        <f t="shared" si="2"/>
        <v>97.8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90" t="s">
        <v>373</v>
      </c>
      <c r="B21" s="91">
        <v>99.0</v>
      </c>
      <c r="C21" s="55">
        <f t="shared" si="1"/>
        <v>95.33333333</v>
      </c>
      <c r="D21" s="2">
        <f t="shared" si="2"/>
        <v>91.8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90" t="s">
        <v>374</v>
      </c>
      <c r="B22" s="91">
        <v>92.0</v>
      </c>
      <c r="C22" s="55">
        <f t="shared" si="1"/>
        <v>99</v>
      </c>
      <c r="D22" s="2">
        <f t="shared" si="2"/>
        <v>96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90" t="s">
        <v>375</v>
      </c>
      <c r="B23" s="91">
        <v>122.0</v>
      </c>
      <c r="C23" s="55">
        <f t="shared" si="1"/>
        <v>91</v>
      </c>
      <c r="D23" s="2">
        <f t="shared" si="2"/>
        <v>95.4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2" t="s">
        <v>376</v>
      </c>
      <c r="B1" s="19"/>
      <c r="C1" s="2"/>
      <c r="D1" s="2"/>
      <c r="E1" s="69" t="s">
        <v>377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9"/>
      <c r="B2" s="19"/>
      <c r="C2" s="2"/>
      <c r="D2" s="2"/>
      <c r="E2" s="1" t="s">
        <v>378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9" t="s">
        <v>351</v>
      </c>
      <c r="B3" s="19" t="s">
        <v>352</v>
      </c>
      <c r="C3" s="4" t="s">
        <v>379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90" t="s">
        <v>355</v>
      </c>
      <c r="B4" s="91">
        <v>57.0</v>
      </c>
      <c r="C4" s="1"/>
      <c r="D4" s="2"/>
      <c r="E4" s="1" t="s">
        <v>380</v>
      </c>
      <c r="F4" s="1">
        <v>0.5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0" t="s">
        <v>357</v>
      </c>
      <c r="B5" s="91">
        <v>84.0</v>
      </c>
      <c r="C5" s="1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0" t="s">
        <v>358</v>
      </c>
      <c r="B6" s="91">
        <v>68.0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0" t="s">
        <v>359</v>
      </c>
      <c r="B7" s="91">
        <v>100.0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0" t="s">
        <v>360</v>
      </c>
      <c r="B8" s="91">
        <v>63.0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0" t="s">
        <v>361</v>
      </c>
      <c r="B9" s="91">
        <v>81.0</v>
      </c>
      <c r="C9" s="2"/>
      <c r="D9" s="2"/>
      <c r="E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0" t="s">
        <v>362</v>
      </c>
      <c r="B10" s="91">
        <v>73.0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0" t="s">
        <v>363</v>
      </c>
      <c r="B11" s="91">
        <v>110.0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0" t="s">
        <v>364</v>
      </c>
      <c r="B12" s="91">
        <v>70.0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0" t="s">
        <v>365</v>
      </c>
      <c r="B13" s="91">
        <v>87.0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0" t="s">
        <v>366</v>
      </c>
      <c r="B14" s="91">
        <v>75.0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0" t="s">
        <v>367</v>
      </c>
      <c r="B15" s="91">
        <v>112.0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0" t="s">
        <v>368</v>
      </c>
      <c r="B16" s="91">
        <v>78.0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0" t="s">
        <v>369</v>
      </c>
      <c r="B17" s="91">
        <v>95.0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0" t="s">
        <v>370</v>
      </c>
      <c r="B18" s="91">
        <v>88.0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0" t="s">
        <v>371</v>
      </c>
      <c r="B19" s="91">
        <v>116.0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0" t="s">
        <v>372</v>
      </c>
      <c r="B20" s="91">
        <v>82.0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90" t="s">
        <v>373</v>
      </c>
      <c r="B21" s="91">
        <v>99.0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90" t="s">
        <v>374</v>
      </c>
      <c r="B22" s="91">
        <v>92.0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90" t="s">
        <v>375</v>
      </c>
      <c r="B23" s="91">
        <v>122.0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</sheetData>
  <hyperlinks>
    <hyperlink r:id="rId1" ref="E1"/>
  </hyperlin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2" t="s">
        <v>381</v>
      </c>
      <c r="B1" s="19"/>
      <c r="C1" s="19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>
      <c r="A2" s="19"/>
      <c r="B2" s="19"/>
      <c r="C2" s="19"/>
      <c r="D2" s="2"/>
      <c r="E2" s="2"/>
      <c r="F2" s="2"/>
      <c r="G2" s="2"/>
      <c r="H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>
      <c r="A3" s="39" t="s">
        <v>351</v>
      </c>
      <c r="B3" s="93" t="s">
        <v>382</v>
      </c>
      <c r="C3" s="39" t="s">
        <v>352</v>
      </c>
      <c r="D3" s="3" t="s">
        <v>379</v>
      </c>
      <c r="E3" s="2"/>
      <c r="F3" s="1" t="s">
        <v>383</v>
      </c>
      <c r="G3" s="2"/>
      <c r="H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>
      <c r="A4" s="90" t="s">
        <v>355</v>
      </c>
      <c r="B4" s="94">
        <v>1.0</v>
      </c>
      <c r="C4" s="95">
        <v>57.0</v>
      </c>
      <c r="D4" s="96">
        <f t="shared" ref="D4:D23" si="1">$G$7+$G$8*B4</f>
        <v>70.77142857</v>
      </c>
      <c r="E4" s="1" t="s">
        <v>356</v>
      </c>
      <c r="F4" s="1" t="s">
        <v>384</v>
      </c>
      <c r="G4" s="2"/>
      <c r="H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>
      <c r="A5" s="90" t="s">
        <v>357</v>
      </c>
      <c r="B5" s="94">
        <v>2.0</v>
      </c>
      <c r="C5" s="95">
        <v>84.0</v>
      </c>
      <c r="D5" s="96">
        <f t="shared" si="1"/>
        <v>72.54285714</v>
      </c>
      <c r="E5" s="2"/>
      <c r="F5" s="1" t="s">
        <v>385</v>
      </c>
      <c r="G5" s="2"/>
      <c r="H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>
      <c r="A6" s="90" t="s">
        <v>358</v>
      </c>
      <c r="B6" s="94">
        <v>3.0</v>
      </c>
      <c r="C6" s="95">
        <v>68.0</v>
      </c>
      <c r="D6" s="96">
        <f t="shared" si="1"/>
        <v>74.31428571</v>
      </c>
      <c r="E6" s="2"/>
      <c r="F6" s="2"/>
      <c r="G6" s="2"/>
      <c r="H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>
      <c r="A7" s="97" t="s">
        <v>359</v>
      </c>
      <c r="B7" s="94">
        <v>4.0</v>
      </c>
      <c r="C7" s="95">
        <v>100.0</v>
      </c>
      <c r="D7" s="96">
        <f t="shared" si="1"/>
        <v>76.08571429</v>
      </c>
      <c r="E7" s="2"/>
      <c r="F7" s="1" t="s">
        <v>386</v>
      </c>
      <c r="G7" s="2">
        <f>INTERCEPT(C4:C23,B4:B23)</f>
        <v>69</v>
      </c>
      <c r="H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>
      <c r="A8" s="90" t="s">
        <v>360</v>
      </c>
      <c r="B8" s="94">
        <v>5.0</v>
      </c>
      <c r="C8" s="95">
        <v>63.0</v>
      </c>
      <c r="D8" s="96">
        <f t="shared" si="1"/>
        <v>77.85714286</v>
      </c>
      <c r="E8" s="2"/>
      <c r="F8" s="1" t="s">
        <v>299</v>
      </c>
      <c r="G8" s="2">
        <f>SLOPE(C4:C23,B4:B23)</f>
        <v>1.771428571</v>
      </c>
      <c r="H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>
      <c r="A9" s="90" t="s">
        <v>361</v>
      </c>
      <c r="B9" s="94">
        <v>6.0</v>
      </c>
      <c r="C9" s="95">
        <v>81.0</v>
      </c>
      <c r="D9" s="96">
        <f t="shared" si="1"/>
        <v>79.62857143</v>
      </c>
      <c r="E9" s="2"/>
      <c r="F9" s="2"/>
      <c r="G9" s="2"/>
      <c r="H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>
      <c r="A10" s="90" t="s">
        <v>362</v>
      </c>
      <c r="B10" s="94">
        <v>7.0</v>
      </c>
      <c r="C10" s="95">
        <v>73.0</v>
      </c>
      <c r="D10" s="96">
        <f t="shared" si="1"/>
        <v>81.4</v>
      </c>
      <c r="E10" s="2"/>
      <c r="F10" s="1" t="s">
        <v>387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>
      <c r="A11" s="97" t="s">
        <v>363</v>
      </c>
      <c r="B11" s="94">
        <v>8.0</v>
      </c>
      <c r="C11" s="95">
        <v>110.0</v>
      </c>
      <c r="D11" s="96">
        <f t="shared" si="1"/>
        <v>83.17142857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>
      <c r="A12" s="90" t="s">
        <v>364</v>
      </c>
      <c r="B12" s="94">
        <v>9.0</v>
      </c>
      <c r="C12" s="95">
        <v>70.0</v>
      </c>
      <c r="D12" s="96">
        <f t="shared" si="1"/>
        <v>84.94285714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>
      <c r="A13" s="90" t="s">
        <v>365</v>
      </c>
      <c r="B13" s="94">
        <v>10.0</v>
      </c>
      <c r="C13" s="95">
        <v>87.0</v>
      </c>
      <c r="D13" s="96">
        <f t="shared" si="1"/>
        <v>86.71428571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>
      <c r="A14" s="90" t="s">
        <v>366</v>
      </c>
      <c r="B14" s="94">
        <v>11.0</v>
      </c>
      <c r="C14" s="95">
        <v>75.0</v>
      </c>
      <c r="D14" s="96">
        <f t="shared" si="1"/>
        <v>88.48571429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>
      <c r="A15" s="97" t="s">
        <v>367</v>
      </c>
      <c r="B15" s="94">
        <v>12.0</v>
      </c>
      <c r="C15" s="95">
        <v>112.0</v>
      </c>
      <c r="D15" s="96">
        <f t="shared" si="1"/>
        <v>90.25714286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>
      <c r="A16" s="90" t="s">
        <v>368</v>
      </c>
      <c r="B16" s="94">
        <v>13.0</v>
      </c>
      <c r="C16" s="95">
        <v>78.0</v>
      </c>
      <c r="D16" s="96">
        <f t="shared" si="1"/>
        <v>92.02857143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>
      <c r="A17" s="90" t="s">
        <v>369</v>
      </c>
      <c r="B17" s="94">
        <v>14.0</v>
      </c>
      <c r="C17" s="95">
        <v>95.0</v>
      </c>
      <c r="D17" s="96">
        <f t="shared" si="1"/>
        <v>93.8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>
      <c r="A18" s="90" t="s">
        <v>370</v>
      </c>
      <c r="B18" s="94">
        <v>15.0</v>
      </c>
      <c r="C18" s="95">
        <v>88.0</v>
      </c>
      <c r="D18" s="96">
        <f t="shared" si="1"/>
        <v>95.57142857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>
      <c r="A19" s="97" t="s">
        <v>371</v>
      </c>
      <c r="B19" s="94">
        <v>16.0</v>
      </c>
      <c r="C19" s="95">
        <v>116.0</v>
      </c>
      <c r="D19" s="96">
        <f t="shared" si="1"/>
        <v>97.34285714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>
      <c r="A20" s="90" t="s">
        <v>372</v>
      </c>
      <c r="B20" s="94">
        <v>17.0</v>
      </c>
      <c r="C20" s="95">
        <v>82.0</v>
      </c>
      <c r="D20" s="96">
        <f t="shared" si="1"/>
        <v>99.11428571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>
      <c r="A21" s="90" t="s">
        <v>373</v>
      </c>
      <c r="B21" s="94">
        <v>18.0</v>
      </c>
      <c r="C21" s="95">
        <v>99.0</v>
      </c>
      <c r="D21" s="96">
        <f t="shared" si="1"/>
        <v>100.8857143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>
      <c r="A22" s="90" t="s">
        <v>374</v>
      </c>
      <c r="B22" s="94">
        <v>19.0</v>
      </c>
      <c r="C22" s="95">
        <v>92.0</v>
      </c>
      <c r="D22" s="96">
        <f t="shared" si="1"/>
        <v>102.6571429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>
      <c r="A23" s="97" t="s">
        <v>375</v>
      </c>
      <c r="B23" s="94">
        <v>20.0</v>
      </c>
      <c r="C23" s="95">
        <v>122.0</v>
      </c>
      <c r="D23" s="96">
        <f t="shared" si="1"/>
        <v>104.4285714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38"/>
  </cols>
  <sheetData>
    <row r="1">
      <c r="A1" s="45" t="s">
        <v>388</v>
      </c>
    </row>
    <row r="3">
      <c r="A3" s="39" t="s">
        <v>351</v>
      </c>
      <c r="B3" s="93" t="s">
        <v>382</v>
      </c>
      <c r="C3" s="93" t="s">
        <v>389</v>
      </c>
      <c r="D3" s="39" t="s">
        <v>352</v>
      </c>
      <c r="E3" s="98" t="s">
        <v>379</v>
      </c>
      <c r="G3" s="26" t="s">
        <v>389</v>
      </c>
      <c r="H3" s="26" t="s">
        <v>390</v>
      </c>
      <c r="I3" s="26" t="s">
        <v>391</v>
      </c>
    </row>
    <row r="4">
      <c r="A4" s="90" t="s">
        <v>355</v>
      </c>
      <c r="B4" s="94">
        <v>1.0</v>
      </c>
      <c r="C4" s="94">
        <v>0.0</v>
      </c>
      <c r="D4" s="95">
        <v>57.0</v>
      </c>
      <c r="E4" s="99">
        <f t="shared" ref="E4:E23" si="1">$I$4+$H$4*B4+$G$4*C4</f>
        <v>66.53435897</v>
      </c>
      <c r="G4" s="99">
        <f t="array" ref="G4:I4">LINEST(D4:D23,B4:C23)</f>
        <v>29.65948718</v>
      </c>
      <c r="H4" s="99">
        <v>1.4369230769230776</v>
      </c>
      <c r="I4" s="99">
        <v>65.09743589743589</v>
      </c>
    </row>
    <row r="5">
      <c r="A5" s="90" t="s">
        <v>357</v>
      </c>
      <c r="B5" s="94">
        <v>2.0</v>
      </c>
      <c r="C5" s="94">
        <v>0.0</v>
      </c>
      <c r="D5" s="95">
        <v>84.0</v>
      </c>
      <c r="E5" s="99">
        <f t="shared" si="1"/>
        <v>67.97128205</v>
      </c>
    </row>
    <row r="6">
      <c r="A6" s="90" t="s">
        <v>358</v>
      </c>
      <c r="B6" s="94">
        <v>3.0</v>
      </c>
      <c r="C6" s="94">
        <v>0.0</v>
      </c>
      <c r="D6" s="95">
        <v>68.0</v>
      </c>
      <c r="E6" s="99">
        <f t="shared" si="1"/>
        <v>69.40820513</v>
      </c>
      <c r="G6" s="26" t="s">
        <v>392</v>
      </c>
    </row>
    <row r="7">
      <c r="A7" s="97" t="s">
        <v>359</v>
      </c>
      <c r="B7" s="94">
        <v>4.0</v>
      </c>
      <c r="C7" s="94">
        <v>1.0</v>
      </c>
      <c r="D7" s="95">
        <v>100.0</v>
      </c>
      <c r="E7" s="99">
        <f t="shared" si="1"/>
        <v>100.5046154</v>
      </c>
    </row>
    <row r="8">
      <c r="A8" s="90" t="s">
        <v>360</v>
      </c>
      <c r="B8" s="94">
        <v>5.0</v>
      </c>
      <c r="C8" s="94">
        <v>0.0</v>
      </c>
      <c r="D8" s="95">
        <v>63.0</v>
      </c>
      <c r="E8" s="99">
        <f t="shared" si="1"/>
        <v>72.28205128</v>
      </c>
    </row>
    <row r="9">
      <c r="A9" s="90" t="s">
        <v>361</v>
      </c>
      <c r="B9" s="94">
        <v>6.0</v>
      </c>
      <c r="C9" s="94">
        <v>0.0</v>
      </c>
      <c r="D9" s="95">
        <v>81.0</v>
      </c>
      <c r="E9" s="99">
        <f t="shared" si="1"/>
        <v>73.71897436</v>
      </c>
    </row>
    <row r="10">
      <c r="A10" s="90" t="s">
        <v>362</v>
      </c>
      <c r="B10" s="94">
        <v>7.0</v>
      </c>
      <c r="C10" s="94">
        <v>0.0</v>
      </c>
      <c r="D10" s="95">
        <v>73.0</v>
      </c>
      <c r="E10" s="99">
        <f t="shared" si="1"/>
        <v>75.15589744</v>
      </c>
    </row>
    <row r="11">
      <c r="A11" s="97" t="s">
        <v>363</v>
      </c>
      <c r="B11" s="94">
        <v>8.0</v>
      </c>
      <c r="C11" s="94">
        <v>1.0</v>
      </c>
      <c r="D11" s="95">
        <v>110.0</v>
      </c>
      <c r="E11" s="99">
        <f t="shared" si="1"/>
        <v>106.2523077</v>
      </c>
    </row>
    <row r="12">
      <c r="A12" s="90" t="s">
        <v>364</v>
      </c>
      <c r="B12" s="94">
        <v>9.0</v>
      </c>
      <c r="C12" s="94">
        <v>0.0</v>
      </c>
      <c r="D12" s="95">
        <v>70.0</v>
      </c>
      <c r="E12" s="99">
        <f t="shared" si="1"/>
        <v>78.02974359</v>
      </c>
    </row>
    <row r="13">
      <c r="A13" s="90" t="s">
        <v>365</v>
      </c>
      <c r="B13" s="94">
        <v>10.0</v>
      </c>
      <c r="C13" s="94">
        <v>0.0</v>
      </c>
      <c r="D13" s="95">
        <v>87.0</v>
      </c>
      <c r="E13" s="99">
        <f t="shared" si="1"/>
        <v>79.46666667</v>
      </c>
    </row>
    <row r="14">
      <c r="A14" s="90" t="s">
        <v>366</v>
      </c>
      <c r="B14" s="94">
        <v>11.0</v>
      </c>
      <c r="C14" s="94">
        <v>0.0</v>
      </c>
      <c r="D14" s="95">
        <v>75.0</v>
      </c>
      <c r="E14" s="99">
        <f t="shared" si="1"/>
        <v>80.90358974</v>
      </c>
    </row>
    <row r="15">
      <c r="A15" s="97" t="s">
        <v>367</v>
      </c>
      <c r="B15" s="94">
        <v>12.0</v>
      </c>
      <c r="C15" s="94">
        <v>1.0</v>
      </c>
      <c r="D15" s="95">
        <v>112.0</v>
      </c>
      <c r="E15" s="99">
        <f t="shared" si="1"/>
        <v>112</v>
      </c>
    </row>
    <row r="16">
      <c r="A16" s="90" t="s">
        <v>368</v>
      </c>
      <c r="B16" s="94">
        <v>13.0</v>
      </c>
      <c r="C16" s="94">
        <v>0.0</v>
      </c>
      <c r="D16" s="95">
        <v>78.0</v>
      </c>
      <c r="E16" s="99">
        <f t="shared" si="1"/>
        <v>83.7774359</v>
      </c>
    </row>
    <row r="17">
      <c r="A17" s="90" t="s">
        <v>369</v>
      </c>
      <c r="B17" s="94">
        <v>14.0</v>
      </c>
      <c r="C17" s="94">
        <v>0.0</v>
      </c>
      <c r="D17" s="95">
        <v>95.0</v>
      </c>
      <c r="E17" s="99">
        <f t="shared" si="1"/>
        <v>85.21435897</v>
      </c>
    </row>
    <row r="18">
      <c r="A18" s="90" t="s">
        <v>370</v>
      </c>
      <c r="B18" s="94">
        <v>15.0</v>
      </c>
      <c r="C18" s="94">
        <v>0.0</v>
      </c>
      <c r="D18" s="95">
        <v>88.0</v>
      </c>
      <c r="E18" s="99">
        <f t="shared" si="1"/>
        <v>86.65128205</v>
      </c>
    </row>
    <row r="19">
      <c r="A19" s="97" t="s">
        <v>371</v>
      </c>
      <c r="B19" s="94">
        <v>16.0</v>
      </c>
      <c r="C19" s="94">
        <v>1.0</v>
      </c>
      <c r="D19" s="95">
        <v>116.0</v>
      </c>
      <c r="E19" s="99">
        <f t="shared" si="1"/>
        <v>117.7476923</v>
      </c>
    </row>
    <row r="20">
      <c r="A20" s="90" t="s">
        <v>372</v>
      </c>
      <c r="B20" s="94">
        <v>17.0</v>
      </c>
      <c r="C20" s="94">
        <v>0.0</v>
      </c>
      <c r="D20" s="95">
        <v>82.0</v>
      </c>
      <c r="E20" s="99">
        <f t="shared" si="1"/>
        <v>89.52512821</v>
      </c>
    </row>
    <row r="21">
      <c r="A21" s="90" t="s">
        <v>373</v>
      </c>
      <c r="B21" s="94">
        <v>18.0</v>
      </c>
      <c r="C21" s="94">
        <v>0.0</v>
      </c>
      <c r="D21" s="95">
        <v>99.0</v>
      </c>
      <c r="E21" s="99">
        <f t="shared" si="1"/>
        <v>90.96205128</v>
      </c>
    </row>
    <row r="22">
      <c r="A22" s="90" t="s">
        <v>374</v>
      </c>
      <c r="B22" s="94">
        <v>19.0</v>
      </c>
      <c r="C22" s="94">
        <v>0.0</v>
      </c>
      <c r="D22" s="95">
        <v>92.0</v>
      </c>
      <c r="E22" s="99">
        <f t="shared" si="1"/>
        <v>92.39897436</v>
      </c>
    </row>
    <row r="23">
      <c r="A23" s="97" t="s">
        <v>375</v>
      </c>
      <c r="B23" s="94">
        <v>20.0</v>
      </c>
      <c r="C23" s="94">
        <v>1.0</v>
      </c>
      <c r="D23" s="95">
        <v>122.0</v>
      </c>
      <c r="E23" s="99">
        <f t="shared" si="1"/>
        <v>123.4953846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0" t="s">
        <v>393</v>
      </c>
      <c r="B1" s="100" t="s">
        <v>394</v>
      </c>
    </row>
    <row r="2">
      <c r="A2" s="101">
        <v>10.0</v>
      </c>
      <c r="B2" s="101">
        <v>0.0</v>
      </c>
    </row>
    <row r="3">
      <c r="A3" s="101">
        <v>8.0</v>
      </c>
      <c r="B3" s="101">
        <v>0.0</v>
      </c>
    </row>
    <row r="4">
      <c r="A4" s="101">
        <v>9.0</v>
      </c>
      <c r="B4" s="101">
        <v>0.0</v>
      </c>
    </row>
    <row r="5">
      <c r="A5" s="101">
        <v>7.0</v>
      </c>
      <c r="B5" s="101">
        <v>0.0</v>
      </c>
    </row>
    <row r="6">
      <c r="A6" s="101">
        <v>8.0</v>
      </c>
      <c r="B6" s="101">
        <v>0.0</v>
      </c>
    </row>
    <row r="7">
      <c r="A7" s="101">
        <v>5.0</v>
      </c>
      <c r="B7" s="101">
        <v>0.0</v>
      </c>
    </row>
    <row r="8">
      <c r="A8" s="101">
        <v>9.0</v>
      </c>
      <c r="B8" s="101">
        <v>0.0</v>
      </c>
    </row>
    <row r="9">
      <c r="A9" s="101">
        <v>6.0</v>
      </c>
      <c r="B9" s="101">
        <v>0.0</v>
      </c>
    </row>
    <row r="10">
      <c r="A10" s="101">
        <v>8.0</v>
      </c>
      <c r="B10" s="101">
        <v>0.0</v>
      </c>
    </row>
    <row r="11">
      <c r="A11" s="101">
        <v>7.0</v>
      </c>
      <c r="B11" s="101">
        <v>0.0</v>
      </c>
    </row>
    <row r="12">
      <c r="A12" s="101">
        <v>1.0</v>
      </c>
      <c r="B12" s="101">
        <v>1.0</v>
      </c>
    </row>
    <row r="13">
      <c r="A13" s="101">
        <v>1.0</v>
      </c>
      <c r="B13" s="101">
        <v>1.0</v>
      </c>
    </row>
    <row r="14">
      <c r="A14" s="101">
        <v>3.0</v>
      </c>
      <c r="B14" s="101">
        <v>1.0</v>
      </c>
    </row>
    <row r="15">
      <c r="A15" s="101">
        <v>1.0</v>
      </c>
      <c r="B15" s="101">
        <v>1.0</v>
      </c>
    </row>
    <row r="16">
      <c r="A16" s="101">
        <v>4.0</v>
      </c>
      <c r="B16" s="101">
        <v>1.0</v>
      </c>
    </row>
    <row r="17">
      <c r="A17" s="101">
        <v>5.0</v>
      </c>
      <c r="B17" s="101">
        <v>1.0</v>
      </c>
    </row>
    <row r="18">
      <c r="A18" s="101">
        <v>6.0</v>
      </c>
      <c r="B18" s="101">
        <v>1.0</v>
      </c>
    </row>
    <row r="19">
      <c r="A19" s="101">
        <v>3.0</v>
      </c>
      <c r="B19" s="101">
        <v>1.0</v>
      </c>
    </row>
    <row r="20">
      <c r="A20" s="101">
        <v>2.0</v>
      </c>
      <c r="B20" s="101">
        <v>1.0</v>
      </c>
    </row>
    <row r="21">
      <c r="A21" s="101">
        <v>0.0</v>
      </c>
      <c r="B21" s="101">
        <v>1.0</v>
      </c>
    </row>
    <row r="24">
      <c r="A24" s="102" t="s">
        <v>395</v>
      </c>
      <c r="B24" s="102" t="s">
        <v>396</v>
      </c>
      <c r="C24" s="102" t="s">
        <v>397</v>
      </c>
      <c r="D24" s="102" t="s">
        <v>398</v>
      </c>
      <c r="E24" s="102" t="s">
        <v>399</v>
      </c>
      <c r="F24" s="103" t="s">
        <v>400</v>
      </c>
    </row>
    <row r="25">
      <c r="A25" s="104">
        <v>1.0</v>
      </c>
      <c r="B25" s="104">
        <v>37.0</v>
      </c>
      <c r="C25" s="104">
        <v>70.47</v>
      </c>
      <c r="D25" s="104" t="s">
        <v>401</v>
      </c>
      <c r="E25" s="104">
        <v>55.79</v>
      </c>
      <c r="F25" s="104" t="s">
        <v>402</v>
      </c>
    </row>
    <row r="26">
      <c r="A26" s="104">
        <v>2.0</v>
      </c>
      <c r="B26" s="104">
        <v>73.0</v>
      </c>
      <c r="C26" s="104">
        <v>50.34</v>
      </c>
      <c r="D26" s="104" t="s">
        <v>403</v>
      </c>
      <c r="E26" s="104">
        <v>35.0</v>
      </c>
      <c r="F26" s="104" t="s">
        <v>402</v>
      </c>
    </row>
    <row r="27">
      <c r="A27" s="104">
        <v>3.0</v>
      </c>
      <c r="B27" s="104">
        <v>46.0</v>
      </c>
      <c r="C27" s="104">
        <v>87.65</v>
      </c>
      <c r="D27" s="104" t="s">
        <v>401</v>
      </c>
      <c r="E27" s="104">
        <v>42.93</v>
      </c>
      <c r="F27" s="104" t="s">
        <v>404</v>
      </c>
    </row>
    <row r="28">
      <c r="A28" s="104">
        <v>4.0</v>
      </c>
      <c r="B28" s="104">
        <v>36.0</v>
      </c>
      <c r="C28" s="104">
        <v>89.8</v>
      </c>
      <c r="D28" s="104" t="s">
        <v>403</v>
      </c>
      <c r="E28" s="104">
        <v>28.3</v>
      </c>
      <c r="F28" s="104" t="s">
        <v>404</v>
      </c>
    </row>
    <row r="29">
      <c r="A29" s="104">
        <v>5.0</v>
      </c>
      <c r="B29" s="104">
        <v>34.0</v>
      </c>
      <c r="C29" s="104">
        <v>103.02</v>
      </c>
      <c r="D29" s="104" t="s">
        <v>401</v>
      </c>
      <c r="E29" s="104">
        <v>40.56</v>
      </c>
      <c r="F29" s="104" t="s">
        <v>402</v>
      </c>
    </row>
    <row r="30">
      <c r="A30" s="104">
        <v>6.0</v>
      </c>
      <c r="B30" s="104">
        <v>39.0</v>
      </c>
      <c r="C30" s="104">
        <v>77.37</v>
      </c>
      <c r="D30" s="104" t="s">
        <v>403</v>
      </c>
      <c r="E30" s="104">
        <v>33.0</v>
      </c>
      <c r="F30" s="104" t="s">
        <v>402</v>
      </c>
    </row>
    <row r="31">
      <c r="A31" s="104">
        <v>7.0</v>
      </c>
      <c r="B31" s="104">
        <v>34.0</v>
      </c>
      <c r="C31" s="104">
        <v>82.48</v>
      </c>
      <c r="D31" s="104" t="s">
        <v>401</v>
      </c>
      <c r="E31" s="104">
        <v>43.48</v>
      </c>
      <c r="F31" s="104" t="s">
        <v>402</v>
      </c>
    </row>
    <row r="32">
      <c r="A32" s="104">
        <v>8.0</v>
      </c>
      <c r="B32" s="104">
        <v>37.0</v>
      </c>
      <c r="C32" s="104">
        <v>75.94</v>
      </c>
      <c r="D32" s="104" t="s">
        <v>403</v>
      </c>
      <c r="E32" s="104">
        <v>30.38</v>
      </c>
      <c r="F32" s="104" t="s">
        <v>402</v>
      </c>
    </row>
    <row r="33">
      <c r="A33" s="104">
        <v>9.0</v>
      </c>
      <c r="B33" s="104">
        <v>35.0</v>
      </c>
      <c r="C33" s="104">
        <v>97.11</v>
      </c>
      <c r="D33" s="104" t="s">
        <v>401</v>
      </c>
      <c r="E33" s="104">
        <v>40.17</v>
      </c>
      <c r="F33" s="104" t="s">
        <v>404</v>
      </c>
    </row>
    <row r="34">
      <c r="A34" s="104">
        <v>10.0</v>
      </c>
      <c r="B34" s="104">
        <v>32.0</v>
      </c>
      <c r="C34" s="104">
        <v>78.42</v>
      </c>
      <c r="D34" s="104" t="s">
        <v>403</v>
      </c>
      <c r="E34" s="104">
        <v>36.01</v>
      </c>
      <c r="F34" s="104" t="s">
        <v>402</v>
      </c>
    </row>
    <row r="35">
      <c r="A35" s="104">
        <v>11.0</v>
      </c>
      <c r="B35" s="104">
        <v>40.0</v>
      </c>
      <c r="C35" s="104">
        <v>88.02</v>
      </c>
      <c r="D35" s="104" t="s">
        <v>401</v>
      </c>
      <c r="E35" s="104">
        <v>44.22</v>
      </c>
      <c r="F35" s="104" t="s">
        <v>404</v>
      </c>
    </row>
    <row r="36">
      <c r="A36" s="104">
        <v>12.0</v>
      </c>
      <c r="B36" s="104">
        <v>55.0</v>
      </c>
      <c r="C36" s="104">
        <v>74.47</v>
      </c>
      <c r="D36" s="104" t="s">
        <v>403</v>
      </c>
      <c r="E36" s="104">
        <v>38.76</v>
      </c>
      <c r="F36" s="104" t="s">
        <v>404</v>
      </c>
    </row>
    <row r="37">
      <c r="A37" s="104">
        <v>13.0</v>
      </c>
      <c r="B37" s="104">
        <v>35.0</v>
      </c>
      <c r="C37" s="104">
        <v>75.98</v>
      </c>
      <c r="D37" s="104" t="s">
        <v>403</v>
      </c>
      <c r="E37" s="104">
        <v>33.09</v>
      </c>
      <c r="F37" s="104" t="s">
        <v>402</v>
      </c>
    </row>
    <row r="38">
      <c r="A38" s="104">
        <v>14.0</v>
      </c>
      <c r="B38" s="104">
        <v>46.0</v>
      </c>
      <c r="C38" s="104">
        <v>58.97</v>
      </c>
      <c r="D38" s="104" t="s">
        <v>403</v>
      </c>
      <c r="E38" s="104">
        <v>44.81</v>
      </c>
      <c r="F38" s="104" t="s">
        <v>402</v>
      </c>
    </row>
    <row r="39">
      <c r="A39" s="104">
        <v>15.0</v>
      </c>
      <c r="B39" s="104">
        <v>33.0</v>
      </c>
      <c r="C39" s="104">
        <v>111.8</v>
      </c>
      <c r="D39" s="104" t="s">
        <v>401</v>
      </c>
      <c r="E39" s="104">
        <v>31.94</v>
      </c>
      <c r="F39" s="104" t="s">
        <v>402</v>
      </c>
    </row>
    <row r="40">
      <c r="A40" s="104">
        <v>16.0</v>
      </c>
      <c r="B40" s="104">
        <v>39.0</v>
      </c>
      <c r="C40" s="104">
        <v>79.81</v>
      </c>
      <c r="D40" s="104" t="s">
        <v>403</v>
      </c>
      <c r="E40" s="104">
        <v>34.48</v>
      </c>
      <c r="F40" s="104" t="s">
        <v>402</v>
      </c>
    </row>
    <row r="41">
      <c r="A41" s="104">
        <v>17.0</v>
      </c>
      <c r="B41" s="104">
        <v>47.0</v>
      </c>
      <c r="C41" s="104">
        <v>56.18</v>
      </c>
      <c r="D41" s="104" t="s">
        <v>401</v>
      </c>
      <c r="E41" s="104">
        <v>47.23</v>
      </c>
      <c r="F41" s="104" t="s">
        <v>404</v>
      </c>
    </row>
    <row r="42">
      <c r="A42" s="104">
        <v>18.0</v>
      </c>
      <c r="B42" s="104">
        <v>40.0</v>
      </c>
      <c r="C42" s="104">
        <v>86.13</v>
      </c>
      <c r="D42" s="104" t="s">
        <v>401</v>
      </c>
      <c r="E42" s="104">
        <v>45.06</v>
      </c>
      <c r="F42" s="104" t="s">
        <v>402</v>
      </c>
    </row>
    <row r="43">
      <c r="A43" s="104">
        <v>19.0</v>
      </c>
      <c r="B43" s="104">
        <v>46.0</v>
      </c>
      <c r="C43" s="104">
        <v>87.3</v>
      </c>
      <c r="D43" s="104" t="s">
        <v>401</v>
      </c>
      <c r="E43" s="104">
        <v>55.12</v>
      </c>
      <c r="F43" s="104" t="s">
        <v>402</v>
      </c>
    </row>
    <row r="44">
      <c r="A44" s="104">
        <v>20.0</v>
      </c>
      <c r="B44" s="104">
        <v>46.0</v>
      </c>
      <c r="C44" s="104">
        <v>88.52</v>
      </c>
      <c r="D44" s="104" t="s">
        <v>401</v>
      </c>
      <c r="E44" s="104">
        <v>45.58</v>
      </c>
      <c r="F44" s="104" t="s">
        <v>404</v>
      </c>
    </row>
    <row r="45">
      <c r="A45" s="104">
        <v>21.0</v>
      </c>
      <c r="B45" s="104">
        <v>36.0</v>
      </c>
      <c r="C45" s="104">
        <v>68.52</v>
      </c>
      <c r="D45" s="104" t="s">
        <v>403</v>
      </c>
      <c r="E45" s="104">
        <v>37.52</v>
      </c>
      <c r="F45" s="104" t="s">
        <v>402</v>
      </c>
    </row>
    <row r="46">
      <c r="A46" s="104">
        <v>22.0</v>
      </c>
      <c r="B46" s="104">
        <v>41.0</v>
      </c>
      <c r="C46" s="104">
        <v>76.7</v>
      </c>
      <c r="D46" s="104" t="s">
        <v>403</v>
      </c>
      <c r="E46" s="104">
        <v>36.27</v>
      </c>
      <c r="F46" s="104" t="s">
        <v>402</v>
      </c>
    </row>
    <row r="47">
      <c r="A47" s="104">
        <v>23.0</v>
      </c>
      <c r="B47" s="104">
        <v>40.0</v>
      </c>
      <c r="C47" s="104">
        <v>62.51</v>
      </c>
      <c r="D47" s="104" t="s">
        <v>401</v>
      </c>
      <c r="E47" s="104">
        <v>62.5</v>
      </c>
      <c r="F47" s="104" t="s">
        <v>402</v>
      </c>
    </row>
    <row r="48">
      <c r="A48" s="104">
        <v>24.0</v>
      </c>
      <c r="B48" s="104">
        <v>34.0</v>
      </c>
      <c r="C48" s="104">
        <v>60.9</v>
      </c>
      <c r="D48" s="104" t="s">
        <v>403</v>
      </c>
      <c r="E48" s="104">
        <v>37.09</v>
      </c>
      <c r="F48" s="104" t="s">
        <v>402</v>
      </c>
    </row>
    <row r="49">
      <c r="A49" s="104">
        <v>25.0</v>
      </c>
      <c r="B49" s="104">
        <v>36.0</v>
      </c>
      <c r="C49" s="104">
        <v>53.43</v>
      </c>
      <c r="D49" s="104" t="s">
        <v>401</v>
      </c>
      <c r="E49" s="104">
        <v>44.27</v>
      </c>
      <c r="F49" s="104" t="s">
        <v>404</v>
      </c>
    </row>
    <row r="50">
      <c r="A50" s="104">
        <v>26.0</v>
      </c>
      <c r="B50" s="104">
        <v>33.0</v>
      </c>
      <c r="C50" s="104">
        <v>68.52</v>
      </c>
      <c r="D50" s="104" t="s">
        <v>403</v>
      </c>
      <c r="E50" s="104">
        <v>40.34</v>
      </c>
      <c r="F50" s="104" t="s">
        <v>402</v>
      </c>
    </row>
    <row r="51">
      <c r="A51" s="104">
        <v>27.0</v>
      </c>
      <c r="B51" s="104">
        <v>55.0</v>
      </c>
      <c r="C51" s="104">
        <v>72.37</v>
      </c>
      <c r="D51" s="104" t="s">
        <v>401</v>
      </c>
      <c r="E51" s="104">
        <v>55.19</v>
      </c>
      <c r="F51" s="104" t="s">
        <v>404</v>
      </c>
    </row>
    <row r="52">
      <c r="A52" s="104">
        <v>28.0</v>
      </c>
      <c r="B52" s="104">
        <v>48.0</v>
      </c>
      <c r="C52" s="104">
        <v>82.16</v>
      </c>
      <c r="D52" s="104" t="s">
        <v>403</v>
      </c>
      <c r="E52" s="104">
        <v>49.87</v>
      </c>
      <c r="F52" s="104" t="s">
        <v>402</v>
      </c>
    </row>
    <row r="53">
      <c r="A53" s="104">
        <v>29.0</v>
      </c>
      <c r="B53" s="104">
        <v>40.0</v>
      </c>
      <c r="C53" s="104">
        <v>90.92</v>
      </c>
      <c r="D53" s="104" t="s">
        <v>401</v>
      </c>
      <c r="E53" s="104">
        <v>38.06</v>
      </c>
      <c r="F53" s="104" t="s">
        <v>404</v>
      </c>
    </row>
    <row r="54">
      <c r="A54" s="104">
        <v>30.0</v>
      </c>
      <c r="B54" s="104">
        <v>31.0</v>
      </c>
      <c r="C54" s="104">
        <v>95.51</v>
      </c>
      <c r="D54" s="104" t="s">
        <v>401</v>
      </c>
      <c r="E54" s="104">
        <v>48.13</v>
      </c>
      <c r="F54" s="104" t="s">
        <v>402</v>
      </c>
    </row>
    <row r="55">
      <c r="A55" s="104">
        <v>31.0</v>
      </c>
      <c r="B55" s="104">
        <v>49.0</v>
      </c>
      <c r="C55" s="104">
        <v>73.14</v>
      </c>
      <c r="D55" s="104" t="s">
        <v>403</v>
      </c>
      <c r="E55" s="104">
        <v>42.42</v>
      </c>
      <c r="F55" s="104" t="s">
        <v>404</v>
      </c>
    </row>
    <row r="56">
      <c r="A56" s="104">
        <v>32.0</v>
      </c>
      <c r="B56" s="104">
        <v>36.0</v>
      </c>
      <c r="C56" s="104">
        <v>62.59</v>
      </c>
      <c r="D56" s="104" t="s">
        <v>401</v>
      </c>
      <c r="E56" s="104">
        <v>48.23</v>
      </c>
      <c r="F56" s="104" t="s">
        <v>404</v>
      </c>
    </row>
    <row r="57">
      <c r="A57" s="104">
        <v>33.0</v>
      </c>
      <c r="B57" s="104">
        <v>38.0</v>
      </c>
      <c r="C57" s="104">
        <v>91.38</v>
      </c>
      <c r="D57" s="104" t="s">
        <v>401</v>
      </c>
      <c r="E57" s="104">
        <v>42.96</v>
      </c>
      <c r="F57" s="104" t="s">
        <v>404</v>
      </c>
    </row>
    <row r="58">
      <c r="A58" s="104">
        <v>34.0</v>
      </c>
      <c r="B58" s="104">
        <v>51.0</v>
      </c>
      <c r="C58" s="104">
        <v>94.29</v>
      </c>
      <c r="D58" s="104" t="s">
        <v>401</v>
      </c>
      <c r="E58" s="104">
        <v>42.53</v>
      </c>
      <c r="F58" s="104" t="s">
        <v>404</v>
      </c>
    </row>
    <row r="59">
      <c r="A59" s="104">
        <v>35.0</v>
      </c>
      <c r="B59" s="104">
        <v>50.0</v>
      </c>
      <c r="C59" s="104">
        <v>58.07</v>
      </c>
      <c r="D59" s="104" t="s">
        <v>401</v>
      </c>
      <c r="E59" s="104">
        <v>40.9</v>
      </c>
      <c r="F59" s="104" t="s">
        <v>402</v>
      </c>
    </row>
    <row r="60">
      <c r="A60" s="104">
        <v>36.0</v>
      </c>
      <c r="B60" s="104">
        <v>35.0</v>
      </c>
      <c r="C60" s="104">
        <v>90.25</v>
      </c>
      <c r="D60" s="104" t="s">
        <v>403</v>
      </c>
      <c r="E60" s="104">
        <v>27.35</v>
      </c>
      <c r="F60" s="104" t="s">
        <v>402</v>
      </c>
    </row>
    <row r="61">
      <c r="A61" s="104">
        <v>37.0</v>
      </c>
      <c r="B61" s="104">
        <v>31.0</v>
      </c>
      <c r="C61" s="104">
        <v>78.45</v>
      </c>
      <c r="D61" s="104" t="s">
        <v>403</v>
      </c>
      <c r="E61" s="104">
        <v>38.7</v>
      </c>
      <c r="F61" s="104" t="s">
        <v>402</v>
      </c>
    </row>
    <row r="62">
      <c r="A62" s="104">
        <v>38.0</v>
      </c>
      <c r="B62" s="104">
        <v>32.0</v>
      </c>
      <c r="C62" s="104">
        <v>74.78</v>
      </c>
      <c r="D62" s="104" t="s">
        <v>401</v>
      </c>
      <c r="E62" s="104">
        <v>62.13</v>
      </c>
      <c r="F62" s="104" t="s">
        <v>402</v>
      </c>
    </row>
    <row r="63">
      <c r="A63" s="104">
        <v>39.0</v>
      </c>
      <c r="B63" s="104">
        <v>43.0</v>
      </c>
      <c r="C63" s="104">
        <v>85.13</v>
      </c>
      <c r="D63" s="104" t="s">
        <v>401</v>
      </c>
      <c r="E63" s="104">
        <v>45.69</v>
      </c>
      <c r="F63" s="104" t="s">
        <v>402</v>
      </c>
    </row>
    <row r="64">
      <c r="A64" s="104">
        <v>40.0</v>
      </c>
      <c r="B64" s="104">
        <v>38.0</v>
      </c>
      <c r="C64" s="104">
        <v>101.25</v>
      </c>
      <c r="D64" s="104" t="s">
        <v>401</v>
      </c>
      <c r="E64" s="104">
        <v>40.73</v>
      </c>
      <c r="F64" s="104" t="s">
        <v>404</v>
      </c>
    </row>
    <row r="65">
      <c r="A65" s="104">
        <v>41.0</v>
      </c>
      <c r="B65" s="104">
        <v>31.0</v>
      </c>
      <c r="C65" s="104">
        <v>58.94</v>
      </c>
      <c r="D65" s="104" t="s">
        <v>401</v>
      </c>
      <c r="E65" s="104">
        <v>41.82</v>
      </c>
      <c r="F65" s="104" t="s">
        <v>402</v>
      </c>
    </row>
    <row r="66">
      <c r="A66" s="104">
        <v>42.0</v>
      </c>
      <c r="B66" s="104">
        <v>47.0</v>
      </c>
      <c r="C66" s="104">
        <v>101.06</v>
      </c>
      <c r="D66" s="104" t="s">
        <v>401</v>
      </c>
      <c r="E66" s="104">
        <v>35.6</v>
      </c>
      <c r="F66" s="104" t="s">
        <v>404</v>
      </c>
    </row>
    <row r="67">
      <c r="A67" s="104">
        <v>43.0</v>
      </c>
      <c r="B67" s="104">
        <v>31.0</v>
      </c>
      <c r="C67" s="104">
        <v>97.75</v>
      </c>
      <c r="D67" s="104" t="s">
        <v>401</v>
      </c>
      <c r="E67" s="104">
        <v>42.2</v>
      </c>
      <c r="F67" s="104" t="s">
        <v>402</v>
      </c>
    </row>
    <row r="68">
      <c r="A68" s="104">
        <v>44.0</v>
      </c>
      <c r="B68" s="104">
        <v>32.0</v>
      </c>
      <c r="C68" s="104">
        <v>72.5</v>
      </c>
      <c r="D68" s="104" t="s">
        <v>401</v>
      </c>
      <c r="E68" s="104">
        <v>45.3</v>
      </c>
      <c r="F68" s="104" t="s">
        <v>402</v>
      </c>
    </row>
    <row r="69">
      <c r="A69" s="104">
        <v>45.0</v>
      </c>
      <c r="B69" s="104">
        <v>37.0</v>
      </c>
      <c r="C69" s="104">
        <v>88.45</v>
      </c>
      <c r="D69" s="104" t="s">
        <v>401</v>
      </c>
      <c r="E69" s="104">
        <v>40.02</v>
      </c>
      <c r="F69" s="104" t="s">
        <v>404</v>
      </c>
    </row>
    <row r="70">
      <c r="A70" s="104">
        <v>46.0</v>
      </c>
      <c r="B70" s="104">
        <v>34.0</v>
      </c>
      <c r="C70" s="104">
        <v>72.29</v>
      </c>
      <c r="D70" s="104" t="s">
        <v>401</v>
      </c>
      <c r="E70" s="104">
        <v>47.17</v>
      </c>
      <c r="F70" s="104" t="s">
        <v>402</v>
      </c>
    </row>
    <row r="71">
      <c r="A71" s="104">
        <v>47.0</v>
      </c>
      <c r="B71" s="104">
        <v>41.0</v>
      </c>
      <c r="C71" s="104">
        <v>94.59</v>
      </c>
      <c r="D71" s="104" t="s">
        <v>401</v>
      </c>
      <c r="E71" s="104">
        <v>44.43</v>
      </c>
      <c r="F71" s="104" t="s">
        <v>404</v>
      </c>
    </row>
    <row r="72">
      <c r="A72" s="104">
        <v>48.0</v>
      </c>
      <c r="B72" s="104">
        <v>38.0</v>
      </c>
      <c r="C72" s="104">
        <v>115.42</v>
      </c>
      <c r="D72" s="104" t="s">
        <v>401</v>
      </c>
      <c r="E72" s="104">
        <v>38.12</v>
      </c>
      <c r="F72" s="104" t="s">
        <v>402</v>
      </c>
    </row>
    <row r="73">
      <c r="A73" s="104">
        <v>49.0</v>
      </c>
      <c r="B73" s="104">
        <v>40.0</v>
      </c>
      <c r="C73" s="104">
        <v>51.96</v>
      </c>
      <c r="D73" s="104" t="s">
        <v>403</v>
      </c>
      <c r="E73" s="104">
        <v>50.05</v>
      </c>
      <c r="F73" s="104" t="s">
        <v>402</v>
      </c>
    </row>
    <row r="74">
      <c r="A74" s="104">
        <v>50.0</v>
      </c>
      <c r="B74" s="104">
        <v>41.0</v>
      </c>
      <c r="C74" s="104">
        <v>89.35</v>
      </c>
      <c r="D74" s="104" t="s">
        <v>401</v>
      </c>
      <c r="E74" s="104">
        <v>48.64</v>
      </c>
      <c r="F74" s="104" t="s">
        <v>402</v>
      </c>
    </row>
    <row r="75">
      <c r="A75" s="104">
        <v>51.0</v>
      </c>
      <c r="B75" s="104">
        <v>43.0</v>
      </c>
      <c r="C75" s="104">
        <v>62.01</v>
      </c>
      <c r="D75" s="104" t="s">
        <v>403</v>
      </c>
      <c r="E75" s="104">
        <v>36.49</v>
      </c>
      <c r="F75" s="104" t="s">
        <v>402</v>
      </c>
    </row>
    <row r="76">
      <c r="A76" s="104">
        <v>52.0</v>
      </c>
      <c r="B76" s="104">
        <v>33.0</v>
      </c>
      <c r="C76" s="104">
        <v>68.03</v>
      </c>
      <c r="D76" s="104" t="s">
        <v>401</v>
      </c>
      <c r="E76" s="104">
        <v>61.71</v>
      </c>
      <c r="F76" s="104" t="s">
        <v>402</v>
      </c>
    </row>
    <row r="77">
      <c r="A77" s="104">
        <v>53.0</v>
      </c>
      <c r="B77" s="104">
        <v>39.0</v>
      </c>
      <c r="C77" s="104">
        <v>79.39</v>
      </c>
      <c r="D77" s="104" t="s">
        <v>403</v>
      </c>
      <c r="E77" s="104">
        <v>33.84</v>
      </c>
      <c r="F77" s="104" t="s">
        <v>402</v>
      </c>
    </row>
    <row r="78">
      <c r="A78" s="104">
        <v>54.0</v>
      </c>
      <c r="B78" s="104">
        <v>35.0</v>
      </c>
      <c r="C78" s="104">
        <v>81.91</v>
      </c>
      <c r="D78" s="104" t="s">
        <v>403</v>
      </c>
      <c r="E78" s="104">
        <v>51.2</v>
      </c>
      <c r="F78" s="104" t="s">
        <v>402</v>
      </c>
    </row>
    <row r="79">
      <c r="A79" s="104">
        <v>55.0</v>
      </c>
      <c r="B79" s="104">
        <v>42.0</v>
      </c>
      <c r="C79" s="104">
        <v>64.0</v>
      </c>
      <c r="D79" s="104" t="s">
        <v>403</v>
      </c>
      <c r="E79" s="104">
        <v>35.0</v>
      </c>
      <c r="F79" s="104" t="s">
        <v>404</v>
      </c>
    </row>
    <row r="80">
      <c r="A80" s="104">
        <v>56.0</v>
      </c>
      <c r="B80" s="104">
        <v>39.0</v>
      </c>
      <c r="C80" s="104">
        <v>59.78</v>
      </c>
      <c r="D80" s="104" t="s">
        <v>403</v>
      </c>
      <c r="E80" s="104">
        <v>47.71</v>
      </c>
      <c r="F80" s="104" t="s">
        <v>402</v>
      </c>
    </row>
    <row r="81">
      <c r="A81" s="104">
        <v>57.0</v>
      </c>
      <c r="B81" s="104">
        <v>31.0</v>
      </c>
      <c r="C81" s="104">
        <v>71.03</v>
      </c>
      <c r="D81" s="104" t="s">
        <v>401</v>
      </c>
      <c r="E81" s="104">
        <v>52.3</v>
      </c>
      <c r="F81" s="104" t="s">
        <v>402</v>
      </c>
    </row>
    <row r="82">
      <c r="A82" s="104">
        <v>58.0</v>
      </c>
      <c r="B82" s="104">
        <v>44.0</v>
      </c>
      <c r="C82" s="104">
        <v>50.0</v>
      </c>
      <c r="D82" s="104" t="s">
        <v>403</v>
      </c>
      <c r="E82" s="104">
        <v>42.0</v>
      </c>
      <c r="F82" s="104" t="s">
        <v>402</v>
      </c>
    </row>
    <row r="83">
      <c r="A83" s="104">
        <v>59.0</v>
      </c>
      <c r="B83" s="104">
        <v>35.0</v>
      </c>
      <c r="C83" s="104">
        <v>80.98</v>
      </c>
      <c r="D83" s="104" t="s">
        <v>401</v>
      </c>
      <c r="E83" s="104">
        <v>55.66</v>
      </c>
      <c r="F83" s="104" t="s">
        <v>404</v>
      </c>
    </row>
    <row r="84">
      <c r="A84" s="104">
        <v>60.0</v>
      </c>
      <c r="B84" s="104">
        <v>41.0</v>
      </c>
      <c r="C84" s="104">
        <v>112.59</v>
      </c>
      <c r="D84" s="104" t="s">
        <v>401</v>
      </c>
      <c r="E84" s="104">
        <v>37.34</v>
      </c>
      <c r="F84" s="104" t="s">
        <v>404</v>
      </c>
    </row>
    <row r="85">
      <c r="A85" s="104">
        <v>61.0</v>
      </c>
      <c r="B85" s="104">
        <v>74.0</v>
      </c>
      <c r="C85" s="104">
        <v>73.38</v>
      </c>
      <c r="D85" s="104" t="s">
        <v>403</v>
      </c>
      <c r="E85" s="104">
        <v>40.58</v>
      </c>
      <c r="F85" s="104" t="s">
        <v>404</v>
      </c>
    </row>
    <row r="86">
      <c r="A86" s="104">
        <v>62.0</v>
      </c>
      <c r="B86" s="104">
        <v>36.0</v>
      </c>
      <c r="C86" s="104">
        <v>62.85</v>
      </c>
      <c r="D86" s="104" t="s">
        <v>401</v>
      </c>
      <c r="E86" s="104">
        <v>60.55</v>
      </c>
      <c r="F86" s="104" t="s">
        <v>402</v>
      </c>
    </row>
    <row r="87">
      <c r="A87" s="104">
        <v>63.0</v>
      </c>
      <c r="B87" s="104">
        <v>55.0</v>
      </c>
      <c r="C87" s="104">
        <v>68.29</v>
      </c>
      <c r="D87" s="104" t="s">
        <v>403</v>
      </c>
      <c r="E87" s="104">
        <v>37.93</v>
      </c>
      <c r="F87" s="104" t="s">
        <v>404</v>
      </c>
    </row>
    <row r="88">
      <c r="A88" s="104">
        <v>64.0</v>
      </c>
      <c r="B88" s="104">
        <v>31.0</v>
      </c>
      <c r="C88" s="104">
        <v>94.68</v>
      </c>
      <c r="D88" s="104" t="s">
        <v>401</v>
      </c>
      <c r="E88" s="104">
        <v>44.94</v>
      </c>
      <c r="F88" s="104" t="s">
        <v>402</v>
      </c>
    </row>
    <row r="89">
      <c r="A89" s="104">
        <v>65.0</v>
      </c>
      <c r="B89" s="104">
        <v>38.0</v>
      </c>
      <c r="C89" s="104">
        <v>103.23</v>
      </c>
      <c r="D89" s="104" t="s">
        <v>401</v>
      </c>
      <c r="E89" s="104">
        <v>35.01</v>
      </c>
      <c r="F89" s="104" t="s">
        <v>404</v>
      </c>
    </row>
    <row r="90">
      <c r="A90" s="104">
        <v>66.0</v>
      </c>
      <c r="B90" s="104">
        <v>55.0</v>
      </c>
      <c r="C90" s="104">
        <v>81.01</v>
      </c>
      <c r="D90" s="104" t="s">
        <v>401</v>
      </c>
      <c r="E90" s="104">
        <v>45.57</v>
      </c>
      <c r="F90" s="104" t="s">
        <v>402</v>
      </c>
    </row>
    <row r="91">
      <c r="A91" s="104">
        <v>67.0</v>
      </c>
      <c r="B91" s="104">
        <v>32.0</v>
      </c>
      <c r="C91" s="104">
        <v>69.02</v>
      </c>
      <c r="D91" s="104" t="s">
        <v>403</v>
      </c>
      <c r="E91" s="104">
        <v>36.63</v>
      </c>
      <c r="F91" s="104" t="s">
        <v>402</v>
      </c>
    </row>
    <row r="92">
      <c r="A92" s="104">
        <v>68.0</v>
      </c>
      <c r="B92" s="104">
        <v>30.0</v>
      </c>
      <c r="C92" s="104">
        <v>55.0</v>
      </c>
      <c r="D92" s="104" t="s">
        <v>403</v>
      </c>
      <c r="E92" s="104">
        <v>60.0</v>
      </c>
      <c r="F92" s="104" t="s">
        <v>402</v>
      </c>
    </row>
    <row r="93">
      <c r="A93" s="104">
        <v>69.0</v>
      </c>
      <c r="B93" s="104">
        <v>32.0</v>
      </c>
      <c r="C93" s="104">
        <v>73.44</v>
      </c>
      <c r="D93" s="104" t="s">
        <v>403</v>
      </c>
      <c r="E93" s="104">
        <v>40.52</v>
      </c>
      <c r="F93" s="104" t="s">
        <v>402</v>
      </c>
    </row>
    <row r="94">
      <c r="A94" s="104">
        <v>70.0</v>
      </c>
      <c r="B94" s="104">
        <v>43.0</v>
      </c>
      <c r="C94" s="104">
        <v>60.31</v>
      </c>
      <c r="D94" s="104" t="s">
        <v>403</v>
      </c>
      <c r="E94" s="104">
        <v>47.92</v>
      </c>
      <c r="F94" s="104" t="s">
        <v>404</v>
      </c>
    </row>
    <row r="95">
      <c r="A95" s="104">
        <v>71.0</v>
      </c>
      <c r="B95" s="104">
        <v>48.0</v>
      </c>
      <c r="C95" s="104">
        <v>85.94</v>
      </c>
      <c r="D95" s="104" t="s">
        <v>401</v>
      </c>
      <c r="E95" s="104">
        <v>45.84</v>
      </c>
      <c r="F95" s="104" t="s">
        <v>402</v>
      </c>
    </row>
    <row r="96">
      <c r="A96" s="104">
        <v>72.0</v>
      </c>
      <c r="B96" s="104">
        <v>40.0</v>
      </c>
      <c r="C96" s="104">
        <v>64.65</v>
      </c>
      <c r="D96" s="104" t="s">
        <v>401</v>
      </c>
      <c r="E96" s="104">
        <v>60.92</v>
      </c>
      <c r="F96" s="104" t="s">
        <v>402</v>
      </c>
    </row>
    <row r="97">
      <c r="A97" s="104">
        <v>73.0</v>
      </c>
      <c r="B97" s="104">
        <v>62.0</v>
      </c>
      <c r="C97" s="104">
        <v>88.83</v>
      </c>
      <c r="D97" s="104" t="s">
        <v>401</v>
      </c>
      <c r="E97" s="104">
        <v>32.0</v>
      </c>
      <c r="F97" s="104" t="s">
        <v>404</v>
      </c>
    </row>
    <row r="98">
      <c r="A98" s="104">
        <v>74.0</v>
      </c>
      <c r="B98" s="104">
        <v>32.0</v>
      </c>
      <c r="C98" s="104">
        <v>82.41</v>
      </c>
      <c r="D98" s="104" t="s">
        <v>401</v>
      </c>
      <c r="E98" s="104">
        <v>49.4</v>
      </c>
      <c r="F98" s="104" t="s">
        <v>402</v>
      </c>
    </row>
    <row r="99">
      <c r="A99" s="104">
        <v>75.0</v>
      </c>
      <c r="B99" s="104">
        <v>33.0</v>
      </c>
      <c r="C99" s="104">
        <v>63.0</v>
      </c>
      <c r="D99" s="104" t="s">
        <v>403</v>
      </c>
      <c r="E99" s="104">
        <v>50.0</v>
      </c>
      <c r="F99" s="104" t="s">
        <v>402</v>
      </c>
    </row>
    <row r="100">
      <c r="A100" s="104">
        <v>76.0</v>
      </c>
      <c r="B100" s="104">
        <v>63.0</v>
      </c>
      <c r="C100" s="104">
        <v>78.67</v>
      </c>
      <c r="D100" s="104" t="s">
        <v>403</v>
      </c>
      <c r="E100" s="104">
        <v>31.99</v>
      </c>
      <c r="F100" s="104" t="s">
        <v>402</v>
      </c>
    </row>
    <row r="101">
      <c r="A101" s="104">
        <v>77.0</v>
      </c>
      <c r="B101" s="104">
        <v>43.0</v>
      </c>
      <c r="C101" s="104">
        <v>95.1</v>
      </c>
      <c r="D101" s="104" t="s">
        <v>401</v>
      </c>
      <c r="E101" s="104">
        <v>39.9</v>
      </c>
      <c r="F101" s="104" t="s">
        <v>404</v>
      </c>
    </row>
    <row r="102">
      <c r="A102" s="104">
        <v>78.0</v>
      </c>
      <c r="B102" s="104">
        <v>51.0</v>
      </c>
      <c r="C102" s="104">
        <v>87.05</v>
      </c>
      <c r="D102" s="104" t="s">
        <v>401</v>
      </c>
      <c r="E102" s="104">
        <v>47.16</v>
      </c>
      <c r="F102" s="104" t="s">
        <v>402</v>
      </c>
    </row>
    <row r="103">
      <c r="A103" s="104">
        <v>79.0</v>
      </c>
      <c r="B103" s="104">
        <v>32.0</v>
      </c>
      <c r="C103" s="104">
        <v>69.97</v>
      </c>
      <c r="D103" s="104" t="s">
        <v>401</v>
      </c>
      <c r="E103" s="104">
        <v>61.76</v>
      </c>
      <c r="F103" s="104" t="s">
        <v>402</v>
      </c>
    </row>
    <row r="104">
      <c r="A104" s="104">
        <v>80.0</v>
      </c>
      <c r="B104" s="104">
        <v>36.0</v>
      </c>
      <c r="C104" s="104">
        <v>90.63</v>
      </c>
      <c r="D104" s="104" t="s">
        <v>403</v>
      </c>
      <c r="E104" s="104">
        <v>33.58</v>
      </c>
      <c r="F104" s="104" t="s">
        <v>402</v>
      </c>
    </row>
    <row r="105">
      <c r="A105" s="104">
        <v>81.0</v>
      </c>
      <c r="B105" s="104">
        <v>42.0</v>
      </c>
      <c r="C105" s="104">
        <v>92.43</v>
      </c>
      <c r="D105" s="104" t="s">
        <v>401</v>
      </c>
      <c r="E105" s="104">
        <v>47.26</v>
      </c>
      <c r="F105" s="104" t="s">
        <v>402</v>
      </c>
    </row>
    <row r="106">
      <c r="A106" s="104">
        <v>82.0</v>
      </c>
      <c r="B106" s="104">
        <v>37.0</v>
      </c>
      <c r="C106" s="104">
        <v>79.31</v>
      </c>
      <c r="D106" s="104" t="s">
        <v>401</v>
      </c>
      <c r="E106" s="104">
        <v>54.67</v>
      </c>
      <c r="F106" s="104" t="s">
        <v>402</v>
      </c>
    </row>
    <row r="107">
      <c r="A107" s="104">
        <v>83.0</v>
      </c>
      <c r="B107" s="104">
        <v>33.0</v>
      </c>
      <c r="C107" s="104">
        <v>80.61</v>
      </c>
      <c r="D107" s="104" t="s">
        <v>401</v>
      </c>
      <c r="E107" s="104">
        <v>49.68</v>
      </c>
      <c r="F107" s="104" t="s">
        <v>402</v>
      </c>
    </row>
    <row r="108">
      <c r="A108" s="104">
        <v>84.0</v>
      </c>
      <c r="B108" s="104">
        <v>41.0</v>
      </c>
      <c r="C108" s="104">
        <v>74.87</v>
      </c>
      <c r="D108" s="104" t="s">
        <v>401</v>
      </c>
      <c r="E108" s="104">
        <v>50.19</v>
      </c>
      <c r="F108" s="104" t="s">
        <v>404</v>
      </c>
    </row>
    <row r="109">
      <c r="A109" s="104">
        <v>85.0</v>
      </c>
      <c r="B109" s="104">
        <v>34.0</v>
      </c>
      <c r="C109" s="104">
        <v>101.62</v>
      </c>
      <c r="D109" s="104" t="s">
        <v>401</v>
      </c>
      <c r="E109" s="104">
        <v>36.19</v>
      </c>
      <c r="F109" s="104" t="s">
        <v>402</v>
      </c>
    </row>
    <row r="110">
      <c r="A110" s="104">
        <v>86.0</v>
      </c>
      <c r="B110" s="104">
        <v>35.0</v>
      </c>
      <c r="C110" s="104">
        <v>74.7</v>
      </c>
      <c r="D110" s="104" t="s">
        <v>401</v>
      </c>
      <c r="E110" s="104">
        <v>57.64</v>
      </c>
      <c r="F110" s="104" t="s">
        <v>402</v>
      </c>
    </row>
    <row r="111">
      <c r="A111" s="104">
        <v>87.0</v>
      </c>
      <c r="B111" s="104">
        <v>63.0</v>
      </c>
      <c r="C111" s="104">
        <v>87.28</v>
      </c>
      <c r="D111" s="104" t="s">
        <v>401</v>
      </c>
      <c r="E111" s="104">
        <v>49.87</v>
      </c>
      <c r="F111" s="104" t="s">
        <v>402</v>
      </c>
    </row>
    <row r="112">
      <c r="A112" s="104">
        <v>88.0</v>
      </c>
      <c r="B112" s="104">
        <v>43.0</v>
      </c>
      <c r="C112" s="104">
        <v>72.57</v>
      </c>
      <c r="D112" s="104" t="s">
        <v>403</v>
      </c>
      <c r="E112" s="104">
        <v>34.85</v>
      </c>
      <c r="F112" s="104" t="s">
        <v>402</v>
      </c>
    </row>
    <row r="113">
      <c r="A113" s="104">
        <v>89.0</v>
      </c>
      <c r="B113" s="104">
        <v>42.0</v>
      </c>
      <c r="C113" s="104">
        <v>75.82</v>
      </c>
      <c r="D113" s="104" t="s">
        <v>403</v>
      </c>
      <c r="E113" s="104">
        <v>33.67</v>
      </c>
      <c r="F113" s="104" t="s">
        <v>404</v>
      </c>
    </row>
    <row r="114">
      <c r="A114" s="104">
        <v>90.0</v>
      </c>
      <c r="B114" s="104">
        <v>43.0</v>
      </c>
      <c r="C114" s="104">
        <v>53.0</v>
      </c>
      <c r="D114" s="104" t="s">
        <v>403</v>
      </c>
      <c r="E114" s="104">
        <v>42.0</v>
      </c>
      <c r="F114" s="104" t="s">
        <v>402</v>
      </c>
    </row>
    <row r="115">
      <c r="A115" s="104">
        <v>91.0</v>
      </c>
      <c r="B115" s="104">
        <v>34.0</v>
      </c>
      <c r="C115" s="104">
        <v>75.15</v>
      </c>
      <c r="D115" s="104" t="s">
        <v>401</v>
      </c>
      <c r="E115" s="104">
        <v>58.32</v>
      </c>
      <c r="F115" s="104" t="s">
        <v>402</v>
      </c>
    </row>
    <row r="116">
      <c r="A116" s="104">
        <v>92.0</v>
      </c>
      <c r="B116" s="104">
        <v>50.0</v>
      </c>
      <c r="C116" s="104">
        <v>103.53</v>
      </c>
      <c r="D116" s="104" t="s">
        <v>401</v>
      </c>
      <c r="E116" s="104">
        <v>45.23</v>
      </c>
      <c r="F116" s="104" t="s">
        <v>404</v>
      </c>
    </row>
    <row r="117">
      <c r="A117" s="104">
        <v>93.0</v>
      </c>
      <c r="B117" s="104">
        <v>33.0</v>
      </c>
      <c r="C117" s="104">
        <v>79.65</v>
      </c>
      <c r="D117" s="104" t="s">
        <v>403</v>
      </c>
      <c r="E117" s="104">
        <v>30.37</v>
      </c>
      <c r="F117" s="104" t="s">
        <v>402</v>
      </c>
    </row>
    <row r="118">
      <c r="A118" s="104">
        <v>94.0</v>
      </c>
      <c r="B118" s="104">
        <v>36.0</v>
      </c>
      <c r="C118" s="104">
        <v>70.84</v>
      </c>
      <c r="D118" s="104" t="s">
        <v>401</v>
      </c>
      <c r="E118" s="104">
        <v>55.91</v>
      </c>
      <c r="F118" s="104" t="s">
        <v>402</v>
      </c>
    </row>
    <row r="119">
      <c r="A119" s="104">
        <v>95.0</v>
      </c>
      <c r="B119" s="104">
        <v>48.0</v>
      </c>
      <c r="C119" s="104">
        <v>79.17</v>
      </c>
      <c r="D119" s="104" t="s">
        <v>401</v>
      </c>
      <c r="E119" s="104">
        <v>49.42</v>
      </c>
      <c r="F119" s="104" t="s">
        <v>402</v>
      </c>
    </row>
    <row r="120">
      <c r="A120" s="104">
        <v>96.0</v>
      </c>
      <c r="B120" s="104">
        <v>42.0</v>
      </c>
      <c r="C120" s="104">
        <v>111.98</v>
      </c>
      <c r="D120" s="104" t="s">
        <v>401</v>
      </c>
      <c r="E120" s="104">
        <v>33.73</v>
      </c>
      <c r="F120" s="104" t="s">
        <v>404</v>
      </c>
    </row>
    <row r="121">
      <c r="A121" s="104">
        <v>97.0</v>
      </c>
      <c r="B121" s="104">
        <v>43.0</v>
      </c>
      <c r="C121" s="104">
        <v>88.07</v>
      </c>
      <c r="D121" s="104" t="s">
        <v>401</v>
      </c>
      <c r="E121" s="104">
        <v>49.22</v>
      </c>
      <c r="F121" s="104" t="s">
        <v>404</v>
      </c>
    </row>
    <row r="122">
      <c r="A122" s="104">
        <v>98.0</v>
      </c>
      <c r="B122" s="104">
        <v>45.0</v>
      </c>
      <c r="C122" s="104">
        <v>94.07</v>
      </c>
      <c r="D122" s="104" t="s">
        <v>401</v>
      </c>
      <c r="E122" s="104">
        <v>41.97</v>
      </c>
      <c r="F122" s="104" t="s">
        <v>404</v>
      </c>
    </row>
    <row r="123">
      <c r="A123" s="104">
        <v>99.0</v>
      </c>
      <c r="B123" s="104">
        <v>58.0</v>
      </c>
      <c r="C123" s="104">
        <v>97.46</v>
      </c>
      <c r="D123" s="104" t="s">
        <v>401</v>
      </c>
      <c r="E123" s="104">
        <v>35.2</v>
      </c>
      <c r="F123" s="104" t="s">
        <v>404</v>
      </c>
    </row>
    <row r="124">
      <c r="A124" s="104">
        <v>100.0</v>
      </c>
      <c r="B124" s="104">
        <v>61.0</v>
      </c>
      <c r="C124" s="104">
        <v>93.76</v>
      </c>
      <c r="D124" s="104" t="s">
        <v>401</v>
      </c>
      <c r="E124" s="104">
        <v>32.0</v>
      </c>
      <c r="F124" s="104" t="s">
        <v>404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405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9" t="s">
        <v>406</v>
      </c>
      <c r="B3" s="19" t="s">
        <v>407</v>
      </c>
      <c r="C3" s="19" t="s">
        <v>408</v>
      </c>
      <c r="D3" s="19" t="s">
        <v>409</v>
      </c>
      <c r="E3" s="19" t="s">
        <v>410</v>
      </c>
      <c r="F3" s="19" t="s">
        <v>411</v>
      </c>
      <c r="G3" s="19" t="s">
        <v>412</v>
      </c>
      <c r="H3" s="19" t="s">
        <v>413</v>
      </c>
      <c r="I3" s="19" t="s">
        <v>414</v>
      </c>
      <c r="J3" s="19" t="s">
        <v>415</v>
      </c>
      <c r="K3" s="19" t="s">
        <v>416</v>
      </c>
      <c r="L3" s="19" t="s">
        <v>417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9" t="s">
        <v>418</v>
      </c>
      <c r="B4" s="91">
        <v>21.0</v>
      </c>
      <c r="C4" s="91">
        <v>6.0</v>
      </c>
      <c r="D4" s="91">
        <v>160.0</v>
      </c>
      <c r="E4" s="91">
        <v>110.0</v>
      </c>
      <c r="F4" s="91">
        <v>3.9</v>
      </c>
      <c r="G4" s="91">
        <v>2.62</v>
      </c>
      <c r="H4" s="91">
        <v>16.46</v>
      </c>
      <c r="I4" s="91">
        <v>0.0</v>
      </c>
      <c r="J4" s="91">
        <v>1.0</v>
      </c>
      <c r="K4" s="91">
        <v>4.0</v>
      </c>
      <c r="L4" s="91">
        <v>4.0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9" t="s">
        <v>419</v>
      </c>
      <c r="B5" s="91">
        <v>21.0</v>
      </c>
      <c r="C5" s="91">
        <v>6.0</v>
      </c>
      <c r="D5" s="91">
        <v>160.0</v>
      </c>
      <c r="E5" s="91">
        <v>110.0</v>
      </c>
      <c r="F5" s="91">
        <v>3.9</v>
      </c>
      <c r="G5" s="91">
        <v>2.875</v>
      </c>
      <c r="H5" s="91">
        <v>17.02</v>
      </c>
      <c r="I5" s="91">
        <v>0.0</v>
      </c>
      <c r="J5" s="91">
        <v>1.0</v>
      </c>
      <c r="K5" s="91">
        <v>4.0</v>
      </c>
      <c r="L5" s="91">
        <v>4.0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9" t="s">
        <v>420</v>
      </c>
      <c r="B6" s="91">
        <v>22.8</v>
      </c>
      <c r="C6" s="91">
        <v>4.0</v>
      </c>
      <c r="D6" s="91">
        <v>108.0</v>
      </c>
      <c r="E6" s="91">
        <v>93.0</v>
      </c>
      <c r="F6" s="91">
        <v>3.85</v>
      </c>
      <c r="G6" s="91">
        <v>2.32</v>
      </c>
      <c r="H6" s="91">
        <v>18.61</v>
      </c>
      <c r="I6" s="91">
        <v>1.0</v>
      </c>
      <c r="J6" s="91">
        <v>1.0</v>
      </c>
      <c r="K6" s="91">
        <v>4.0</v>
      </c>
      <c r="L6" s="91">
        <v>1.0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9" t="s">
        <v>421</v>
      </c>
      <c r="B7" s="91">
        <v>21.4</v>
      </c>
      <c r="C7" s="91">
        <v>6.0</v>
      </c>
      <c r="D7" s="91">
        <v>258.0</v>
      </c>
      <c r="E7" s="91">
        <v>110.0</v>
      </c>
      <c r="F7" s="91">
        <v>3.08</v>
      </c>
      <c r="G7" s="91">
        <v>3.215</v>
      </c>
      <c r="H7" s="91">
        <v>19.44</v>
      </c>
      <c r="I7" s="91">
        <v>1.0</v>
      </c>
      <c r="J7" s="91">
        <v>0.0</v>
      </c>
      <c r="K7" s="91">
        <v>3.0</v>
      </c>
      <c r="L7" s="91">
        <v>1.0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9" t="s">
        <v>422</v>
      </c>
      <c r="B8" s="91">
        <v>18.7</v>
      </c>
      <c r="C8" s="91">
        <v>8.0</v>
      </c>
      <c r="D8" s="91">
        <v>360.0</v>
      </c>
      <c r="E8" s="91">
        <v>175.0</v>
      </c>
      <c r="F8" s="91">
        <v>3.15</v>
      </c>
      <c r="G8" s="91">
        <v>3.44</v>
      </c>
      <c r="H8" s="91">
        <v>17.02</v>
      </c>
      <c r="I8" s="91">
        <v>0.0</v>
      </c>
      <c r="J8" s="91">
        <v>0.0</v>
      </c>
      <c r="K8" s="91">
        <v>3.0</v>
      </c>
      <c r="L8" s="91">
        <v>2.0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9" t="s">
        <v>423</v>
      </c>
      <c r="B9" s="91">
        <v>18.1</v>
      </c>
      <c r="C9" s="91">
        <v>6.0</v>
      </c>
      <c r="D9" s="91">
        <v>225.0</v>
      </c>
      <c r="E9" s="91">
        <v>105.0</v>
      </c>
      <c r="F9" s="91">
        <v>2.76</v>
      </c>
      <c r="G9" s="91">
        <v>3.46</v>
      </c>
      <c r="H9" s="91">
        <v>20.22</v>
      </c>
      <c r="I9" s="91">
        <v>1.0</v>
      </c>
      <c r="J9" s="91">
        <v>0.0</v>
      </c>
      <c r="K9" s="91">
        <v>3.0</v>
      </c>
      <c r="L9" s="91">
        <v>1.0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9" t="s">
        <v>424</v>
      </c>
      <c r="B10" s="91">
        <v>14.3</v>
      </c>
      <c r="C10" s="91">
        <v>8.0</v>
      </c>
      <c r="D10" s="91">
        <v>360.0</v>
      </c>
      <c r="E10" s="91">
        <v>245.0</v>
      </c>
      <c r="F10" s="91">
        <v>3.21</v>
      </c>
      <c r="G10" s="91">
        <v>3.57</v>
      </c>
      <c r="H10" s="91">
        <v>15.84</v>
      </c>
      <c r="I10" s="91">
        <v>0.0</v>
      </c>
      <c r="J10" s="91">
        <v>0.0</v>
      </c>
      <c r="K10" s="91">
        <v>3.0</v>
      </c>
      <c r="L10" s="91">
        <v>4.0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9" t="s">
        <v>425</v>
      </c>
      <c r="B11" s="91">
        <v>24.4</v>
      </c>
      <c r="C11" s="91">
        <v>4.0</v>
      </c>
      <c r="D11" s="91">
        <v>146.7</v>
      </c>
      <c r="E11" s="91">
        <v>62.0</v>
      </c>
      <c r="F11" s="91">
        <v>3.69</v>
      </c>
      <c r="G11" s="91">
        <v>3.19</v>
      </c>
      <c r="H11" s="91">
        <v>20.0</v>
      </c>
      <c r="I11" s="91">
        <v>1.0</v>
      </c>
      <c r="J11" s="91">
        <v>0.0</v>
      </c>
      <c r="K11" s="91">
        <v>4.0</v>
      </c>
      <c r="L11" s="91">
        <v>2.0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9" t="s">
        <v>426</v>
      </c>
      <c r="B12" s="91">
        <v>22.8</v>
      </c>
      <c r="C12" s="91">
        <v>4.0</v>
      </c>
      <c r="D12" s="91">
        <v>140.8</v>
      </c>
      <c r="E12" s="91">
        <v>95.0</v>
      </c>
      <c r="F12" s="91">
        <v>3.92</v>
      </c>
      <c r="G12" s="91">
        <v>3.15</v>
      </c>
      <c r="H12" s="91">
        <v>22.9</v>
      </c>
      <c r="I12" s="91">
        <v>1.0</v>
      </c>
      <c r="J12" s="91">
        <v>0.0</v>
      </c>
      <c r="K12" s="91">
        <v>4.0</v>
      </c>
      <c r="L12" s="91">
        <v>2.0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9" t="s">
        <v>427</v>
      </c>
      <c r="B13" s="91">
        <v>19.2</v>
      </c>
      <c r="C13" s="91">
        <v>6.0</v>
      </c>
      <c r="D13" s="91">
        <v>167.6</v>
      </c>
      <c r="E13" s="91">
        <v>123.0</v>
      </c>
      <c r="F13" s="91">
        <v>3.92</v>
      </c>
      <c r="G13" s="91">
        <v>3.44</v>
      </c>
      <c r="H13" s="91">
        <v>18.3</v>
      </c>
      <c r="I13" s="91">
        <v>1.0</v>
      </c>
      <c r="J13" s="91">
        <v>0.0</v>
      </c>
      <c r="K13" s="91">
        <v>4.0</v>
      </c>
      <c r="L13" s="91">
        <v>4.0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9" t="s">
        <v>428</v>
      </c>
      <c r="B14" s="91">
        <v>17.8</v>
      </c>
      <c r="C14" s="91">
        <v>6.0</v>
      </c>
      <c r="D14" s="91">
        <v>167.6</v>
      </c>
      <c r="E14" s="91">
        <v>123.0</v>
      </c>
      <c r="F14" s="91">
        <v>3.92</v>
      </c>
      <c r="G14" s="91">
        <v>3.44</v>
      </c>
      <c r="H14" s="91">
        <v>18.9</v>
      </c>
      <c r="I14" s="91">
        <v>1.0</v>
      </c>
      <c r="J14" s="91">
        <v>0.0</v>
      </c>
      <c r="K14" s="91">
        <v>4.0</v>
      </c>
      <c r="L14" s="91">
        <v>4.0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9" t="s">
        <v>429</v>
      </c>
      <c r="B15" s="91">
        <v>16.4</v>
      </c>
      <c r="C15" s="91">
        <v>8.0</v>
      </c>
      <c r="D15" s="91">
        <v>275.8</v>
      </c>
      <c r="E15" s="91">
        <v>180.0</v>
      </c>
      <c r="F15" s="91">
        <v>3.07</v>
      </c>
      <c r="G15" s="91">
        <v>4.07</v>
      </c>
      <c r="H15" s="91">
        <v>17.4</v>
      </c>
      <c r="I15" s="91">
        <v>0.0</v>
      </c>
      <c r="J15" s="91">
        <v>0.0</v>
      </c>
      <c r="K15" s="91">
        <v>3.0</v>
      </c>
      <c r="L15" s="91">
        <v>3.0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9" t="s">
        <v>430</v>
      </c>
      <c r="B16" s="91">
        <v>17.3</v>
      </c>
      <c r="C16" s="91">
        <v>8.0</v>
      </c>
      <c r="D16" s="91">
        <v>275.8</v>
      </c>
      <c r="E16" s="91">
        <v>180.0</v>
      </c>
      <c r="F16" s="91">
        <v>3.07</v>
      </c>
      <c r="G16" s="91">
        <v>3.73</v>
      </c>
      <c r="H16" s="91">
        <v>17.6</v>
      </c>
      <c r="I16" s="91">
        <v>0.0</v>
      </c>
      <c r="J16" s="91">
        <v>0.0</v>
      </c>
      <c r="K16" s="91">
        <v>3.0</v>
      </c>
      <c r="L16" s="91">
        <v>3.0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431</v>
      </c>
      <c r="B17" s="91">
        <v>15.2</v>
      </c>
      <c r="C17" s="91">
        <v>8.0</v>
      </c>
      <c r="D17" s="91">
        <v>275.8</v>
      </c>
      <c r="E17" s="91">
        <v>180.0</v>
      </c>
      <c r="F17" s="91">
        <v>3.07</v>
      </c>
      <c r="G17" s="91">
        <v>3.78</v>
      </c>
      <c r="H17" s="91">
        <v>18.0</v>
      </c>
      <c r="I17" s="91">
        <v>0.0</v>
      </c>
      <c r="J17" s="91">
        <v>0.0</v>
      </c>
      <c r="K17" s="91">
        <v>3.0</v>
      </c>
      <c r="L17" s="91">
        <v>3.0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9" t="s">
        <v>432</v>
      </c>
      <c r="B18" s="91">
        <v>10.4</v>
      </c>
      <c r="C18" s="91">
        <v>8.0</v>
      </c>
      <c r="D18" s="91">
        <v>472.0</v>
      </c>
      <c r="E18" s="91">
        <v>205.0</v>
      </c>
      <c r="F18" s="91">
        <v>2.93</v>
      </c>
      <c r="G18" s="91">
        <v>5.25</v>
      </c>
      <c r="H18" s="91">
        <v>17.98</v>
      </c>
      <c r="I18" s="91">
        <v>0.0</v>
      </c>
      <c r="J18" s="91">
        <v>0.0</v>
      </c>
      <c r="K18" s="91">
        <v>3.0</v>
      </c>
      <c r="L18" s="91">
        <v>4.0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9" t="s">
        <v>433</v>
      </c>
      <c r="B19" s="91">
        <v>10.4</v>
      </c>
      <c r="C19" s="91">
        <v>8.0</v>
      </c>
      <c r="D19" s="91">
        <v>460.0</v>
      </c>
      <c r="E19" s="91">
        <v>215.0</v>
      </c>
      <c r="F19" s="91">
        <v>3.0</v>
      </c>
      <c r="G19" s="91">
        <v>5.424</v>
      </c>
      <c r="H19" s="91">
        <v>17.82</v>
      </c>
      <c r="I19" s="91">
        <v>0.0</v>
      </c>
      <c r="J19" s="91">
        <v>0.0</v>
      </c>
      <c r="K19" s="91">
        <v>3.0</v>
      </c>
      <c r="L19" s="91">
        <v>4.0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9" t="s">
        <v>434</v>
      </c>
      <c r="B20" s="91">
        <v>14.7</v>
      </c>
      <c r="C20" s="91">
        <v>8.0</v>
      </c>
      <c r="D20" s="91">
        <v>440.0</v>
      </c>
      <c r="E20" s="91">
        <v>230.0</v>
      </c>
      <c r="F20" s="91">
        <v>3.23</v>
      </c>
      <c r="G20" s="91">
        <v>5.345</v>
      </c>
      <c r="H20" s="91">
        <v>17.42</v>
      </c>
      <c r="I20" s="91">
        <v>0.0</v>
      </c>
      <c r="J20" s="91">
        <v>0.0</v>
      </c>
      <c r="K20" s="91">
        <v>3.0</v>
      </c>
      <c r="L20" s="91">
        <v>4.0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9" t="s">
        <v>435</v>
      </c>
      <c r="B21" s="91">
        <v>32.4</v>
      </c>
      <c r="C21" s="91">
        <v>4.0</v>
      </c>
      <c r="D21" s="91">
        <v>78.7</v>
      </c>
      <c r="E21" s="91">
        <v>66.0</v>
      </c>
      <c r="F21" s="91">
        <v>4.08</v>
      </c>
      <c r="G21" s="91">
        <v>2.2</v>
      </c>
      <c r="H21" s="91">
        <v>19.47</v>
      </c>
      <c r="I21" s="91">
        <v>1.0</v>
      </c>
      <c r="J21" s="91">
        <v>1.0</v>
      </c>
      <c r="K21" s="91">
        <v>4.0</v>
      </c>
      <c r="L21" s="91">
        <v>1.0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9" t="s">
        <v>436</v>
      </c>
      <c r="B22" s="91">
        <v>30.4</v>
      </c>
      <c r="C22" s="91">
        <v>4.0</v>
      </c>
      <c r="D22" s="91">
        <v>75.7</v>
      </c>
      <c r="E22" s="91">
        <v>52.0</v>
      </c>
      <c r="F22" s="91">
        <v>4.93</v>
      </c>
      <c r="G22" s="91">
        <v>1.615</v>
      </c>
      <c r="H22" s="91">
        <v>18.52</v>
      </c>
      <c r="I22" s="91">
        <v>1.0</v>
      </c>
      <c r="J22" s="91">
        <v>1.0</v>
      </c>
      <c r="K22" s="91">
        <v>4.0</v>
      </c>
      <c r="L22" s="91">
        <v>2.0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9" t="s">
        <v>437</v>
      </c>
      <c r="B23" s="91">
        <v>33.9</v>
      </c>
      <c r="C23" s="91">
        <v>4.0</v>
      </c>
      <c r="D23" s="91">
        <v>71.1</v>
      </c>
      <c r="E23" s="91">
        <v>65.0</v>
      </c>
      <c r="F23" s="91">
        <v>4.22</v>
      </c>
      <c r="G23" s="91">
        <v>1.835</v>
      </c>
      <c r="H23" s="91">
        <v>19.9</v>
      </c>
      <c r="I23" s="91">
        <v>1.0</v>
      </c>
      <c r="J23" s="91">
        <v>1.0</v>
      </c>
      <c r="K23" s="91">
        <v>4.0</v>
      </c>
      <c r="L23" s="91">
        <v>1.0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9" t="s">
        <v>438</v>
      </c>
      <c r="B24" s="91">
        <v>21.5</v>
      </c>
      <c r="C24" s="91">
        <v>4.0</v>
      </c>
      <c r="D24" s="91">
        <v>120.1</v>
      </c>
      <c r="E24" s="91">
        <v>97.0</v>
      </c>
      <c r="F24" s="91">
        <v>3.7</v>
      </c>
      <c r="G24" s="91">
        <v>2.465</v>
      </c>
      <c r="H24" s="91">
        <v>20.01</v>
      </c>
      <c r="I24" s="91">
        <v>1.0</v>
      </c>
      <c r="J24" s="91">
        <v>0.0</v>
      </c>
      <c r="K24" s="91">
        <v>3.0</v>
      </c>
      <c r="L24" s="91">
        <v>1.0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9" t="s">
        <v>439</v>
      </c>
      <c r="B25" s="91">
        <v>15.5</v>
      </c>
      <c r="C25" s="91">
        <v>8.0</v>
      </c>
      <c r="D25" s="91">
        <v>318.0</v>
      </c>
      <c r="E25" s="91">
        <v>150.0</v>
      </c>
      <c r="F25" s="91">
        <v>2.76</v>
      </c>
      <c r="G25" s="91">
        <v>3.52</v>
      </c>
      <c r="H25" s="91">
        <v>16.87</v>
      </c>
      <c r="I25" s="91">
        <v>0.0</v>
      </c>
      <c r="J25" s="91">
        <v>0.0</v>
      </c>
      <c r="K25" s="91">
        <v>3.0</v>
      </c>
      <c r="L25" s="91">
        <v>2.0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9" t="s">
        <v>440</v>
      </c>
      <c r="B26" s="91">
        <v>15.2</v>
      </c>
      <c r="C26" s="91">
        <v>8.0</v>
      </c>
      <c r="D26" s="91">
        <v>304.0</v>
      </c>
      <c r="E26" s="91">
        <v>150.0</v>
      </c>
      <c r="F26" s="91">
        <v>3.15</v>
      </c>
      <c r="G26" s="91">
        <v>3.435</v>
      </c>
      <c r="H26" s="91">
        <v>17.3</v>
      </c>
      <c r="I26" s="91">
        <v>0.0</v>
      </c>
      <c r="J26" s="91">
        <v>0.0</v>
      </c>
      <c r="K26" s="91">
        <v>3.0</v>
      </c>
      <c r="L26" s="91">
        <v>2.0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9" t="s">
        <v>441</v>
      </c>
      <c r="B27" s="91">
        <v>13.3</v>
      </c>
      <c r="C27" s="91">
        <v>8.0</v>
      </c>
      <c r="D27" s="91">
        <v>350.0</v>
      </c>
      <c r="E27" s="91">
        <v>245.0</v>
      </c>
      <c r="F27" s="91">
        <v>3.73</v>
      </c>
      <c r="G27" s="91">
        <v>3.84</v>
      </c>
      <c r="H27" s="91">
        <v>15.41</v>
      </c>
      <c r="I27" s="91">
        <v>0.0</v>
      </c>
      <c r="J27" s="91">
        <v>0.0</v>
      </c>
      <c r="K27" s="91">
        <v>3.0</v>
      </c>
      <c r="L27" s="91">
        <v>4.0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9" t="s">
        <v>442</v>
      </c>
      <c r="B28" s="91">
        <v>19.2</v>
      </c>
      <c r="C28" s="91">
        <v>8.0</v>
      </c>
      <c r="D28" s="91">
        <v>400.0</v>
      </c>
      <c r="E28" s="91">
        <v>175.0</v>
      </c>
      <c r="F28" s="91">
        <v>3.08</v>
      </c>
      <c r="G28" s="91">
        <v>3.845</v>
      </c>
      <c r="H28" s="91">
        <v>17.05</v>
      </c>
      <c r="I28" s="91">
        <v>0.0</v>
      </c>
      <c r="J28" s="91">
        <v>0.0</v>
      </c>
      <c r="K28" s="91">
        <v>3.0</v>
      </c>
      <c r="L28" s="91">
        <v>2.0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9" t="s">
        <v>443</v>
      </c>
      <c r="B29" s="91">
        <v>27.3</v>
      </c>
      <c r="C29" s="91">
        <v>4.0</v>
      </c>
      <c r="D29" s="91">
        <v>79.0</v>
      </c>
      <c r="E29" s="91">
        <v>66.0</v>
      </c>
      <c r="F29" s="91">
        <v>4.08</v>
      </c>
      <c r="G29" s="91">
        <v>1.935</v>
      </c>
      <c r="H29" s="91">
        <v>18.9</v>
      </c>
      <c r="I29" s="91">
        <v>1.0</v>
      </c>
      <c r="J29" s="91">
        <v>1.0</v>
      </c>
      <c r="K29" s="91">
        <v>4.0</v>
      </c>
      <c r="L29" s="91">
        <v>1.0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9" t="s">
        <v>444</v>
      </c>
      <c r="B30" s="91">
        <v>26.0</v>
      </c>
      <c r="C30" s="91">
        <v>4.0</v>
      </c>
      <c r="D30" s="91">
        <v>120.3</v>
      </c>
      <c r="E30" s="91">
        <v>91.0</v>
      </c>
      <c r="F30" s="91">
        <v>4.43</v>
      </c>
      <c r="G30" s="91">
        <v>2.14</v>
      </c>
      <c r="H30" s="91">
        <v>16.7</v>
      </c>
      <c r="I30" s="91">
        <v>0.0</v>
      </c>
      <c r="J30" s="91">
        <v>1.0</v>
      </c>
      <c r="K30" s="91">
        <v>5.0</v>
      </c>
      <c r="L30" s="91">
        <v>2.0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9" t="s">
        <v>445</v>
      </c>
      <c r="B31" s="91">
        <v>30.4</v>
      </c>
      <c r="C31" s="91">
        <v>4.0</v>
      </c>
      <c r="D31" s="91">
        <v>95.1</v>
      </c>
      <c r="E31" s="91">
        <v>113.0</v>
      </c>
      <c r="F31" s="91">
        <v>3.77</v>
      </c>
      <c r="G31" s="91">
        <v>1.513</v>
      </c>
      <c r="H31" s="91">
        <v>16.9</v>
      </c>
      <c r="I31" s="91">
        <v>1.0</v>
      </c>
      <c r="J31" s="91">
        <v>1.0</v>
      </c>
      <c r="K31" s="91">
        <v>5.0</v>
      </c>
      <c r="L31" s="91">
        <v>2.0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9" t="s">
        <v>446</v>
      </c>
      <c r="B32" s="91">
        <v>15.8</v>
      </c>
      <c r="C32" s="91">
        <v>8.0</v>
      </c>
      <c r="D32" s="91">
        <v>351.0</v>
      </c>
      <c r="E32" s="91">
        <v>264.0</v>
      </c>
      <c r="F32" s="91">
        <v>4.22</v>
      </c>
      <c r="G32" s="91">
        <v>3.17</v>
      </c>
      <c r="H32" s="91">
        <v>14.5</v>
      </c>
      <c r="I32" s="91">
        <v>0.0</v>
      </c>
      <c r="J32" s="91">
        <v>1.0</v>
      </c>
      <c r="K32" s="91">
        <v>5.0</v>
      </c>
      <c r="L32" s="91">
        <v>4.0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9" t="s">
        <v>447</v>
      </c>
      <c r="B33" s="91">
        <v>19.7</v>
      </c>
      <c r="C33" s="91">
        <v>6.0</v>
      </c>
      <c r="D33" s="91">
        <v>145.0</v>
      </c>
      <c r="E33" s="91">
        <v>175.0</v>
      </c>
      <c r="F33" s="91">
        <v>3.62</v>
      </c>
      <c r="G33" s="91">
        <v>2.77</v>
      </c>
      <c r="H33" s="91">
        <v>15.5</v>
      </c>
      <c r="I33" s="91">
        <v>0.0</v>
      </c>
      <c r="J33" s="91">
        <v>1.0</v>
      </c>
      <c r="K33" s="91">
        <v>5.0</v>
      </c>
      <c r="L33" s="91">
        <v>6.0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9" t="s">
        <v>448</v>
      </c>
      <c r="B34" s="91">
        <v>15.0</v>
      </c>
      <c r="C34" s="91">
        <v>8.0</v>
      </c>
      <c r="D34" s="91">
        <v>301.0</v>
      </c>
      <c r="E34" s="91">
        <v>335.0</v>
      </c>
      <c r="F34" s="91">
        <v>3.54</v>
      </c>
      <c r="G34" s="91">
        <v>3.57</v>
      </c>
      <c r="H34" s="91">
        <v>14.6</v>
      </c>
      <c r="I34" s="91">
        <v>0.0</v>
      </c>
      <c r="J34" s="91">
        <v>1.0</v>
      </c>
      <c r="K34" s="91">
        <v>5.0</v>
      </c>
      <c r="L34" s="91">
        <v>8.0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9" t="s">
        <v>449</v>
      </c>
      <c r="B35" s="91">
        <v>21.4</v>
      </c>
      <c r="C35" s="91">
        <v>4.0</v>
      </c>
      <c r="D35" s="91">
        <v>121.0</v>
      </c>
      <c r="E35" s="91">
        <v>109.0</v>
      </c>
      <c r="F35" s="91">
        <v>4.11</v>
      </c>
      <c r="G35" s="91">
        <v>2.78</v>
      </c>
      <c r="H35" s="91">
        <v>18.6</v>
      </c>
      <c r="I35" s="91">
        <v>1.0</v>
      </c>
      <c r="J35" s="91">
        <v>1.0</v>
      </c>
      <c r="K35" s="91">
        <v>4.0</v>
      </c>
      <c r="L35" s="91">
        <v>2.0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