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P:\Pamplemousse\SISE\"/>
    </mc:Choice>
  </mc:AlternateContent>
  <xr:revisionPtr revIDLastSave="0" documentId="8_{FE0BB68A-3F34-4F95-BA28-28F9B08233F0}" xr6:coauthVersionLast="36" xr6:coauthVersionMax="36" xr10:uidLastSave="{00000000-0000-0000-0000-000000000000}"/>
  <bookViews>
    <workbookView xWindow="0" yWindow="0" windowWidth="20430" windowHeight="6990" activeTab="1" xr2:uid="{00000000-000D-0000-FFFF-FFFF00000000}"/>
  </bookViews>
  <sheets>
    <sheet name="resultat(102)" sheetId="1" r:id="rId1"/>
    <sheet name="Feuil1" sheetId="2" r:id="rId2"/>
  </sheets>
  <definedNames>
    <definedName name="_xlnm._FilterDatabase" localSheetId="0" hidden="1">'resultat(102)'!$A$1:$AQ$789</definedName>
  </definedNames>
  <calcPr calcId="191029"/>
</workbook>
</file>

<file path=xl/calcChain.xml><?xml version="1.0" encoding="utf-8"?>
<calcChain xmlns="http://schemas.openxmlformats.org/spreadsheetml/2006/main">
  <c r="B10" i="2" l="1"/>
  <c r="B49" i="2" l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2" i="2"/>
  <c r="B11" i="2"/>
  <c r="B9" i="2"/>
  <c r="B8" i="2"/>
  <c r="B2" i="2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2" i="1"/>
  <c r="B2" i="1"/>
  <c r="C2" i="1"/>
  <c r="D2" i="1"/>
  <c r="E2" i="1"/>
  <c r="F2" i="1"/>
  <c r="G2" i="1"/>
  <c r="K2" i="1"/>
  <c r="N2" i="1"/>
  <c r="O2" i="1"/>
  <c r="V2" i="1"/>
  <c r="AB2" i="1"/>
  <c r="AC2" i="1"/>
  <c r="AD2" i="1"/>
  <c r="AG2" i="1"/>
  <c r="AH2" i="1"/>
  <c r="AI2" i="1"/>
  <c r="AJ2" i="1"/>
  <c r="AK2" i="1"/>
  <c r="AM2" i="1"/>
  <c r="AN2" i="1"/>
  <c r="AO2" i="1"/>
  <c r="AP2" i="1"/>
  <c r="AQ2" i="1"/>
  <c r="A3" i="1"/>
  <c r="B3" i="1"/>
  <c r="C3" i="1"/>
  <c r="D3" i="1"/>
  <c r="E3" i="1"/>
  <c r="F3" i="1"/>
  <c r="G3" i="1"/>
  <c r="K3" i="1"/>
  <c r="N3" i="1"/>
  <c r="O3" i="1"/>
  <c r="V3" i="1"/>
  <c r="AB3" i="1"/>
  <c r="AC3" i="1"/>
  <c r="AD3" i="1"/>
  <c r="AG3" i="1"/>
  <c r="AH3" i="1"/>
  <c r="AI3" i="1"/>
  <c r="AJ3" i="1"/>
  <c r="AK3" i="1"/>
  <c r="AM3" i="1"/>
  <c r="AN3" i="1"/>
  <c r="AO3" i="1"/>
  <c r="AP3" i="1"/>
  <c r="AQ3" i="1"/>
  <c r="A4" i="1"/>
  <c r="B4" i="1"/>
  <c r="C4" i="1"/>
  <c r="D4" i="1"/>
  <c r="E4" i="1"/>
  <c r="F4" i="1"/>
  <c r="G4" i="1"/>
  <c r="K4" i="1"/>
  <c r="L4" i="1"/>
  <c r="M4" i="1"/>
  <c r="N4" i="1"/>
  <c r="O4" i="1"/>
  <c r="V4" i="1"/>
  <c r="AB4" i="1"/>
  <c r="AC4" i="1"/>
  <c r="AD4" i="1"/>
  <c r="AG4" i="1"/>
  <c r="AH4" i="1"/>
  <c r="AI4" i="1"/>
  <c r="AJ4" i="1"/>
  <c r="AK4" i="1"/>
  <c r="AM4" i="1"/>
  <c r="AN4" i="1"/>
  <c r="AO4" i="1"/>
  <c r="AP4" i="1"/>
  <c r="AQ4" i="1"/>
  <c r="A5" i="1"/>
  <c r="B5" i="1"/>
  <c r="C5" i="1"/>
  <c r="D5" i="1"/>
  <c r="E5" i="1"/>
  <c r="F5" i="1"/>
  <c r="G5" i="1"/>
  <c r="K5" i="1"/>
  <c r="N5" i="1"/>
  <c r="O5" i="1"/>
  <c r="V5" i="1"/>
  <c r="AB5" i="1"/>
  <c r="AC5" i="1"/>
  <c r="AD5" i="1"/>
  <c r="AG5" i="1"/>
  <c r="AH5" i="1"/>
  <c r="AI5" i="1"/>
  <c r="AJ5" i="1"/>
  <c r="AK5" i="1"/>
  <c r="AM5" i="1"/>
  <c r="AN5" i="1"/>
  <c r="AO5" i="1"/>
  <c r="AP5" i="1"/>
  <c r="AQ5" i="1"/>
  <c r="A6" i="1"/>
  <c r="B6" i="1"/>
  <c r="C6" i="1"/>
  <c r="D6" i="1"/>
  <c r="E6" i="1"/>
  <c r="F6" i="1"/>
  <c r="G6" i="1"/>
  <c r="K6" i="1"/>
  <c r="N6" i="1"/>
  <c r="O6" i="1"/>
  <c r="V6" i="1"/>
  <c r="AB6" i="1"/>
  <c r="AC6" i="1"/>
  <c r="AD6" i="1"/>
  <c r="AG6" i="1"/>
  <c r="AH6" i="1"/>
  <c r="AI6" i="1"/>
  <c r="AJ6" i="1"/>
  <c r="AK6" i="1"/>
  <c r="AM6" i="1"/>
  <c r="AN6" i="1"/>
  <c r="AO6" i="1"/>
  <c r="AP6" i="1"/>
  <c r="AQ6" i="1"/>
  <c r="A7" i="1"/>
  <c r="B7" i="1"/>
  <c r="C7" i="1"/>
  <c r="D7" i="1"/>
  <c r="E7" i="1"/>
  <c r="F7" i="1"/>
  <c r="G7" i="1"/>
  <c r="K7" i="1"/>
  <c r="N7" i="1"/>
  <c r="O7" i="1"/>
  <c r="V7" i="1"/>
  <c r="AB7" i="1"/>
  <c r="AC7" i="1"/>
  <c r="AD7" i="1"/>
  <c r="AG7" i="1"/>
  <c r="AH7" i="1"/>
  <c r="AI7" i="1"/>
  <c r="AJ7" i="1"/>
  <c r="AK7" i="1"/>
  <c r="AM7" i="1"/>
  <c r="AN7" i="1"/>
  <c r="AO7" i="1"/>
  <c r="AP7" i="1"/>
  <c r="AQ7" i="1"/>
  <c r="A8" i="1"/>
  <c r="B8" i="1"/>
  <c r="C8" i="1"/>
  <c r="D8" i="1"/>
  <c r="E8" i="1"/>
  <c r="F8" i="1"/>
  <c r="G8" i="1"/>
  <c r="K8" i="1"/>
  <c r="N8" i="1"/>
  <c r="O8" i="1"/>
  <c r="V8" i="1"/>
  <c r="AB8" i="1"/>
  <c r="AC8" i="1"/>
  <c r="AD8" i="1"/>
  <c r="AG8" i="1"/>
  <c r="AH8" i="1"/>
  <c r="AI8" i="1"/>
  <c r="AJ8" i="1"/>
  <c r="AK8" i="1"/>
  <c r="AM8" i="1"/>
  <c r="AN8" i="1"/>
  <c r="AO8" i="1"/>
  <c r="AP8" i="1"/>
  <c r="AQ8" i="1"/>
  <c r="A9" i="1"/>
  <c r="B9" i="1"/>
  <c r="C9" i="1"/>
  <c r="D9" i="1"/>
  <c r="E9" i="1"/>
  <c r="F9" i="1"/>
  <c r="G9" i="1"/>
  <c r="K9" i="1"/>
  <c r="N9" i="1"/>
  <c r="O9" i="1"/>
  <c r="V9" i="1"/>
  <c r="AB9" i="1"/>
  <c r="AC9" i="1"/>
  <c r="AD9" i="1"/>
  <c r="AG9" i="1"/>
  <c r="AH9" i="1"/>
  <c r="AI9" i="1"/>
  <c r="AJ9" i="1"/>
  <c r="AK9" i="1"/>
  <c r="AM9" i="1"/>
  <c r="AN9" i="1"/>
  <c r="AO9" i="1"/>
  <c r="AP9" i="1"/>
  <c r="AQ9" i="1"/>
  <c r="A10" i="1"/>
  <c r="B10" i="1"/>
  <c r="C10" i="1"/>
  <c r="D10" i="1"/>
  <c r="E10" i="1"/>
  <c r="F10" i="1"/>
  <c r="G10" i="1"/>
  <c r="N10" i="1"/>
  <c r="O10" i="1"/>
  <c r="V10" i="1"/>
  <c r="AB10" i="1"/>
  <c r="AC10" i="1"/>
  <c r="AD10" i="1"/>
  <c r="AG10" i="1"/>
  <c r="AH10" i="1"/>
  <c r="AI10" i="1"/>
  <c r="AJ10" i="1"/>
  <c r="AK10" i="1"/>
  <c r="AM10" i="1"/>
  <c r="AN10" i="1"/>
  <c r="AO10" i="1"/>
  <c r="AP10" i="1"/>
  <c r="AQ10" i="1"/>
  <c r="A11" i="1"/>
  <c r="B11" i="1"/>
  <c r="C11" i="1"/>
  <c r="D11" i="1"/>
  <c r="E11" i="1"/>
  <c r="F11" i="1"/>
  <c r="G11" i="1"/>
  <c r="K11" i="1"/>
  <c r="N11" i="1"/>
  <c r="O11" i="1"/>
  <c r="V11" i="1"/>
  <c r="AB11" i="1"/>
  <c r="AC11" i="1"/>
  <c r="AD11" i="1"/>
  <c r="AG11" i="1"/>
  <c r="AH11" i="1"/>
  <c r="AI11" i="1"/>
  <c r="AJ11" i="1"/>
  <c r="AK11" i="1"/>
  <c r="AM11" i="1"/>
  <c r="AN11" i="1"/>
  <c r="AO11" i="1"/>
  <c r="AP11" i="1"/>
  <c r="AQ11" i="1"/>
  <c r="A12" i="1"/>
  <c r="B12" i="1"/>
  <c r="C12" i="1"/>
  <c r="D12" i="1"/>
  <c r="E12" i="1"/>
  <c r="F12" i="1"/>
  <c r="G12" i="1"/>
  <c r="K12" i="1"/>
  <c r="N12" i="1"/>
  <c r="O12" i="1"/>
  <c r="V12" i="1"/>
  <c r="AB12" i="1"/>
  <c r="AC12" i="1"/>
  <c r="AD12" i="1"/>
  <c r="AG12" i="1"/>
  <c r="AH12" i="1"/>
  <c r="AI12" i="1"/>
  <c r="AJ12" i="1"/>
  <c r="AK12" i="1"/>
  <c r="AM12" i="1"/>
  <c r="AN12" i="1"/>
  <c r="AO12" i="1"/>
  <c r="AP12" i="1"/>
  <c r="AQ12" i="1"/>
  <c r="A13" i="1"/>
  <c r="B13" i="1"/>
  <c r="C13" i="1"/>
  <c r="D13" i="1"/>
  <c r="E13" i="1"/>
  <c r="F13" i="1"/>
  <c r="G13" i="1"/>
  <c r="K13" i="1"/>
  <c r="N13" i="1"/>
  <c r="O13" i="1"/>
  <c r="V13" i="1"/>
  <c r="AB13" i="1"/>
  <c r="AC13" i="1"/>
  <c r="AD13" i="1"/>
  <c r="AG13" i="1"/>
  <c r="AH13" i="1"/>
  <c r="AI13" i="1"/>
  <c r="AJ13" i="1"/>
  <c r="AK13" i="1"/>
  <c r="AM13" i="1"/>
  <c r="AN13" i="1"/>
  <c r="AO13" i="1"/>
  <c r="AP13" i="1"/>
  <c r="AQ13" i="1"/>
  <c r="A14" i="1"/>
  <c r="B14" i="1"/>
  <c r="C14" i="1"/>
  <c r="D14" i="1"/>
  <c r="E14" i="1"/>
  <c r="F14" i="1"/>
  <c r="G14" i="1"/>
  <c r="K14" i="1"/>
  <c r="N14" i="1"/>
  <c r="O14" i="1"/>
  <c r="V14" i="1"/>
  <c r="AB14" i="1"/>
  <c r="AC14" i="1"/>
  <c r="AD14" i="1"/>
  <c r="AG14" i="1"/>
  <c r="AH14" i="1"/>
  <c r="AI14" i="1"/>
  <c r="AJ14" i="1"/>
  <c r="AK14" i="1"/>
  <c r="AM14" i="1"/>
  <c r="AN14" i="1"/>
  <c r="AO14" i="1"/>
  <c r="AP14" i="1"/>
  <c r="AQ14" i="1"/>
  <c r="A15" i="1"/>
  <c r="B15" i="1"/>
  <c r="C15" i="1"/>
  <c r="D15" i="1"/>
  <c r="E15" i="1"/>
  <c r="F15" i="1"/>
  <c r="G15" i="1"/>
  <c r="K15" i="1"/>
  <c r="N15" i="1"/>
  <c r="O15" i="1"/>
  <c r="V15" i="1"/>
  <c r="AB15" i="1"/>
  <c r="AC15" i="1"/>
  <c r="AD15" i="1"/>
  <c r="AG15" i="1"/>
  <c r="AH15" i="1"/>
  <c r="AI15" i="1"/>
  <c r="AJ15" i="1"/>
  <c r="AK15" i="1"/>
  <c r="AM15" i="1"/>
  <c r="AN15" i="1"/>
  <c r="AO15" i="1"/>
  <c r="AP15" i="1"/>
  <c r="AQ15" i="1"/>
  <c r="A16" i="1"/>
  <c r="B16" i="1"/>
  <c r="C16" i="1"/>
  <c r="D16" i="1"/>
  <c r="E16" i="1"/>
  <c r="F16" i="1"/>
  <c r="G16" i="1"/>
  <c r="K16" i="1"/>
  <c r="N16" i="1"/>
  <c r="O16" i="1"/>
  <c r="S16" i="1"/>
  <c r="U16" i="1"/>
  <c r="V16" i="1"/>
  <c r="AB16" i="1"/>
  <c r="AC16" i="1"/>
  <c r="AD16" i="1"/>
  <c r="AG16" i="1"/>
  <c r="AH16" i="1"/>
  <c r="AI16" i="1"/>
  <c r="AJ16" i="1"/>
  <c r="AK16" i="1"/>
  <c r="AM16" i="1"/>
  <c r="AN16" i="1"/>
  <c r="AO16" i="1"/>
  <c r="AP16" i="1"/>
  <c r="AQ16" i="1"/>
  <c r="A17" i="1"/>
  <c r="B17" i="1"/>
  <c r="C17" i="1"/>
  <c r="D17" i="1"/>
  <c r="E17" i="1"/>
  <c r="F17" i="1"/>
  <c r="G17" i="1"/>
  <c r="K17" i="1"/>
  <c r="N17" i="1"/>
  <c r="O17" i="1"/>
  <c r="S17" i="1"/>
  <c r="U17" i="1"/>
  <c r="V17" i="1"/>
  <c r="AB17" i="1"/>
  <c r="AC17" i="1"/>
  <c r="AD17" i="1"/>
  <c r="AG17" i="1"/>
  <c r="AH17" i="1"/>
  <c r="AI17" i="1"/>
  <c r="AJ17" i="1"/>
  <c r="AK17" i="1"/>
  <c r="AM17" i="1"/>
  <c r="AN17" i="1"/>
  <c r="AO17" i="1"/>
  <c r="AP17" i="1"/>
  <c r="AQ17" i="1"/>
  <c r="A18" i="1"/>
  <c r="B18" i="1"/>
  <c r="C18" i="1"/>
  <c r="D18" i="1"/>
  <c r="E18" i="1"/>
  <c r="F18" i="1"/>
  <c r="G18" i="1"/>
  <c r="K18" i="1"/>
  <c r="N18" i="1"/>
  <c r="O18" i="1"/>
  <c r="V18" i="1"/>
  <c r="AB18" i="1"/>
  <c r="AC18" i="1"/>
  <c r="AD18" i="1"/>
  <c r="AG18" i="1"/>
  <c r="AH18" i="1"/>
  <c r="AI18" i="1"/>
  <c r="AJ18" i="1"/>
  <c r="AK18" i="1"/>
  <c r="AM18" i="1"/>
  <c r="AN18" i="1"/>
  <c r="AO18" i="1"/>
  <c r="AP18" i="1"/>
  <c r="AQ18" i="1"/>
  <c r="A19" i="1"/>
  <c r="B19" i="1"/>
  <c r="C19" i="1"/>
  <c r="D19" i="1"/>
  <c r="E19" i="1"/>
  <c r="F19" i="1"/>
  <c r="G19" i="1"/>
  <c r="K19" i="1"/>
  <c r="N19" i="1"/>
  <c r="O19" i="1"/>
  <c r="V19" i="1"/>
  <c r="AB19" i="1"/>
  <c r="AC19" i="1"/>
  <c r="AD19" i="1"/>
  <c r="AG19" i="1"/>
  <c r="AH19" i="1"/>
  <c r="AI19" i="1"/>
  <c r="AJ19" i="1"/>
  <c r="AK19" i="1"/>
  <c r="AM19" i="1"/>
  <c r="AN19" i="1"/>
  <c r="AO19" i="1"/>
  <c r="AP19" i="1"/>
  <c r="AQ19" i="1"/>
  <c r="A20" i="1"/>
  <c r="B20" i="1"/>
  <c r="C20" i="1"/>
  <c r="D20" i="1"/>
  <c r="E20" i="1"/>
  <c r="F20" i="1"/>
  <c r="G20" i="1"/>
  <c r="K20" i="1"/>
  <c r="N20" i="1"/>
  <c r="O20" i="1"/>
  <c r="V20" i="1"/>
  <c r="AB20" i="1"/>
  <c r="AC20" i="1"/>
  <c r="AD20" i="1"/>
  <c r="AG20" i="1"/>
  <c r="AH20" i="1"/>
  <c r="AI20" i="1"/>
  <c r="AJ20" i="1"/>
  <c r="AK20" i="1"/>
  <c r="AM20" i="1"/>
  <c r="AN20" i="1"/>
  <c r="AO20" i="1"/>
  <c r="AP20" i="1"/>
  <c r="AQ20" i="1"/>
  <c r="A21" i="1"/>
  <c r="B21" i="1"/>
  <c r="C21" i="1"/>
  <c r="D21" i="1"/>
  <c r="E21" i="1"/>
  <c r="F21" i="1"/>
  <c r="G21" i="1"/>
  <c r="K21" i="1"/>
  <c r="N21" i="1"/>
  <c r="O21" i="1"/>
  <c r="V21" i="1"/>
  <c r="AB21" i="1"/>
  <c r="AC21" i="1"/>
  <c r="AD21" i="1"/>
  <c r="AG21" i="1"/>
  <c r="AH21" i="1"/>
  <c r="AI21" i="1"/>
  <c r="AJ21" i="1"/>
  <c r="AK21" i="1"/>
  <c r="AM21" i="1"/>
  <c r="AN21" i="1"/>
  <c r="AO21" i="1"/>
  <c r="AP21" i="1"/>
  <c r="AQ21" i="1"/>
  <c r="A22" i="1"/>
  <c r="B22" i="1"/>
  <c r="C22" i="1"/>
  <c r="D22" i="1"/>
  <c r="E22" i="1"/>
  <c r="F22" i="1"/>
  <c r="G22" i="1"/>
  <c r="K22" i="1"/>
  <c r="N22" i="1"/>
  <c r="O22" i="1"/>
  <c r="S22" i="1"/>
  <c r="U22" i="1"/>
  <c r="V22" i="1"/>
  <c r="AB22" i="1"/>
  <c r="AC22" i="1"/>
  <c r="AD22" i="1"/>
  <c r="AG22" i="1"/>
  <c r="AH22" i="1"/>
  <c r="AI22" i="1"/>
  <c r="AJ22" i="1"/>
  <c r="AK22" i="1"/>
  <c r="AM22" i="1"/>
  <c r="AN22" i="1"/>
  <c r="AO22" i="1"/>
  <c r="AP22" i="1"/>
  <c r="AQ22" i="1"/>
  <c r="A23" i="1"/>
  <c r="B23" i="1"/>
  <c r="C23" i="1"/>
  <c r="D23" i="1"/>
  <c r="E23" i="1"/>
  <c r="F23" i="1"/>
  <c r="G23" i="1"/>
  <c r="K23" i="1"/>
  <c r="N23" i="1"/>
  <c r="O23" i="1"/>
  <c r="V23" i="1"/>
  <c r="AB23" i="1"/>
  <c r="AC23" i="1"/>
  <c r="AD23" i="1"/>
  <c r="AG23" i="1"/>
  <c r="AH23" i="1"/>
  <c r="AI23" i="1"/>
  <c r="AJ23" i="1"/>
  <c r="AK23" i="1"/>
  <c r="AM23" i="1"/>
  <c r="AN23" i="1"/>
  <c r="AO23" i="1"/>
  <c r="AP23" i="1"/>
  <c r="AQ23" i="1"/>
  <c r="A24" i="1"/>
  <c r="B24" i="1"/>
  <c r="C24" i="1"/>
  <c r="D24" i="1"/>
  <c r="E24" i="1"/>
  <c r="F24" i="1"/>
  <c r="G24" i="1"/>
  <c r="K24" i="1"/>
  <c r="N24" i="1"/>
  <c r="O24" i="1"/>
  <c r="V24" i="1"/>
  <c r="AB24" i="1"/>
  <c r="AC24" i="1"/>
  <c r="AD24" i="1"/>
  <c r="AG24" i="1"/>
  <c r="AH24" i="1"/>
  <c r="AI24" i="1"/>
  <c r="AJ24" i="1"/>
  <c r="AK24" i="1"/>
  <c r="AM24" i="1"/>
  <c r="AN24" i="1"/>
  <c r="AO24" i="1"/>
  <c r="AP24" i="1"/>
  <c r="AQ24" i="1"/>
  <c r="A25" i="1"/>
  <c r="B25" i="1"/>
  <c r="C25" i="1"/>
  <c r="D25" i="1"/>
  <c r="E25" i="1"/>
  <c r="F25" i="1"/>
  <c r="G25" i="1"/>
  <c r="K25" i="1"/>
  <c r="N25" i="1"/>
  <c r="O25" i="1"/>
  <c r="S25" i="1"/>
  <c r="U25" i="1"/>
  <c r="V25" i="1"/>
  <c r="AB25" i="1"/>
  <c r="AC25" i="1"/>
  <c r="AD25" i="1"/>
  <c r="AG25" i="1"/>
  <c r="AH25" i="1"/>
  <c r="AI25" i="1"/>
  <c r="AJ25" i="1"/>
  <c r="AK25" i="1"/>
  <c r="AM25" i="1"/>
  <c r="AN25" i="1"/>
  <c r="AO25" i="1"/>
  <c r="AP25" i="1"/>
  <c r="AQ25" i="1"/>
  <c r="A26" i="1"/>
  <c r="B26" i="1"/>
  <c r="C26" i="1"/>
  <c r="D26" i="1"/>
  <c r="E26" i="1"/>
  <c r="F26" i="1"/>
  <c r="G26" i="1"/>
  <c r="K26" i="1"/>
  <c r="N26" i="1"/>
  <c r="O26" i="1"/>
  <c r="V26" i="1"/>
  <c r="AB26" i="1"/>
  <c r="AC26" i="1"/>
  <c r="AD26" i="1"/>
  <c r="AG26" i="1"/>
  <c r="AH26" i="1"/>
  <c r="AI26" i="1"/>
  <c r="AJ26" i="1"/>
  <c r="AK26" i="1"/>
  <c r="AM26" i="1"/>
  <c r="AN26" i="1"/>
  <c r="AO26" i="1"/>
  <c r="AP26" i="1"/>
  <c r="AQ26" i="1"/>
  <c r="A27" i="1"/>
  <c r="B27" i="1"/>
  <c r="C27" i="1"/>
  <c r="D27" i="1"/>
  <c r="E27" i="1"/>
  <c r="F27" i="1"/>
  <c r="G27" i="1"/>
  <c r="K27" i="1"/>
  <c r="N27" i="1"/>
  <c r="O27" i="1"/>
  <c r="V27" i="1"/>
  <c r="AB27" i="1"/>
  <c r="AC27" i="1"/>
  <c r="AD27" i="1"/>
  <c r="AG27" i="1"/>
  <c r="AH27" i="1"/>
  <c r="AI27" i="1"/>
  <c r="AJ27" i="1"/>
  <c r="AK27" i="1"/>
  <c r="AM27" i="1"/>
  <c r="AN27" i="1"/>
  <c r="AO27" i="1"/>
  <c r="AP27" i="1"/>
  <c r="AQ27" i="1"/>
  <c r="A28" i="1"/>
  <c r="B28" i="1"/>
  <c r="C28" i="1"/>
  <c r="D28" i="1"/>
  <c r="E28" i="1"/>
  <c r="F28" i="1"/>
  <c r="G28" i="1"/>
  <c r="K28" i="1"/>
  <c r="N28" i="1"/>
  <c r="O28" i="1"/>
  <c r="V28" i="1"/>
  <c r="AB28" i="1"/>
  <c r="AC28" i="1"/>
  <c r="AD28" i="1"/>
  <c r="AG28" i="1"/>
  <c r="AH28" i="1"/>
  <c r="AI28" i="1"/>
  <c r="AJ28" i="1"/>
  <c r="AK28" i="1"/>
  <c r="AM28" i="1"/>
  <c r="AN28" i="1"/>
  <c r="AO28" i="1"/>
  <c r="AP28" i="1"/>
  <c r="AQ28" i="1"/>
  <c r="A29" i="1"/>
  <c r="B29" i="1"/>
  <c r="C29" i="1"/>
  <c r="D29" i="1"/>
  <c r="E29" i="1"/>
  <c r="F29" i="1"/>
  <c r="G29" i="1"/>
  <c r="K29" i="1"/>
  <c r="N29" i="1"/>
  <c r="O29" i="1"/>
  <c r="S29" i="1"/>
  <c r="U29" i="1"/>
  <c r="V29" i="1"/>
  <c r="AB29" i="1"/>
  <c r="AC29" i="1"/>
  <c r="AD29" i="1"/>
  <c r="AG29" i="1"/>
  <c r="AH29" i="1"/>
  <c r="AI29" i="1"/>
  <c r="AJ29" i="1"/>
  <c r="AK29" i="1"/>
  <c r="AM29" i="1"/>
  <c r="AN29" i="1"/>
  <c r="AO29" i="1"/>
  <c r="AP29" i="1"/>
  <c r="AQ29" i="1"/>
  <c r="A30" i="1"/>
  <c r="B30" i="1"/>
  <c r="C30" i="1"/>
  <c r="D30" i="1"/>
  <c r="E30" i="1"/>
  <c r="F30" i="1"/>
  <c r="G30" i="1"/>
  <c r="K30" i="1"/>
  <c r="N30" i="1"/>
  <c r="O30" i="1"/>
  <c r="V30" i="1"/>
  <c r="AB30" i="1"/>
  <c r="AC30" i="1"/>
  <c r="AD30" i="1"/>
  <c r="AG30" i="1"/>
  <c r="AH30" i="1"/>
  <c r="AI30" i="1"/>
  <c r="AJ30" i="1"/>
  <c r="AK30" i="1"/>
  <c r="AM30" i="1"/>
  <c r="AN30" i="1"/>
  <c r="AO30" i="1"/>
  <c r="AP30" i="1"/>
  <c r="AQ30" i="1"/>
  <c r="A31" i="1"/>
  <c r="B31" i="1"/>
  <c r="C31" i="1"/>
  <c r="D31" i="1"/>
  <c r="E31" i="1"/>
  <c r="F31" i="1"/>
  <c r="G31" i="1"/>
  <c r="K31" i="1"/>
  <c r="N31" i="1"/>
  <c r="O31" i="1"/>
  <c r="V31" i="1"/>
  <c r="AB31" i="1"/>
  <c r="AC31" i="1"/>
  <c r="AD31" i="1"/>
  <c r="AG31" i="1"/>
  <c r="AH31" i="1"/>
  <c r="AI31" i="1"/>
  <c r="AJ31" i="1"/>
  <c r="AK31" i="1"/>
  <c r="AM31" i="1"/>
  <c r="AN31" i="1"/>
  <c r="AO31" i="1"/>
  <c r="AP31" i="1"/>
  <c r="AQ31" i="1"/>
  <c r="A32" i="1"/>
  <c r="B32" i="1"/>
  <c r="C32" i="1"/>
  <c r="D32" i="1"/>
  <c r="E32" i="1"/>
  <c r="F32" i="1"/>
  <c r="G32" i="1"/>
  <c r="K32" i="1"/>
  <c r="N32" i="1"/>
  <c r="O32" i="1"/>
  <c r="V32" i="1"/>
  <c r="AB32" i="1"/>
  <c r="AC32" i="1"/>
  <c r="AD32" i="1"/>
  <c r="AG32" i="1"/>
  <c r="AH32" i="1"/>
  <c r="AI32" i="1"/>
  <c r="AJ32" i="1"/>
  <c r="AK32" i="1"/>
  <c r="AM32" i="1"/>
  <c r="AN32" i="1"/>
  <c r="AO32" i="1"/>
  <c r="AP32" i="1"/>
  <c r="AQ32" i="1"/>
  <c r="A33" i="1"/>
  <c r="B33" i="1"/>
  <c r="C33" i="1"/>
  <c r="D33" i="1"/>
  <c r="E33" i="1"/>
  <c r="F33" i="1"/>
  <c r="G33" i="1"/>
  <c r="K33" i="1"/>
  <c r="N33" i="1"/>
  <c r="O33" i="1"/>
  <c r="V33" i="1"/>
  <c r="AB33" i="1"/>
  <c r="AC33" i="1"/>
  <c r="AD33" i="1"/>
  <c r="AG33" i="1"/>
  <c r="AH33" i="1"/>
  <c r="AI33" i="1"/>
  <c r="AJ33" i="1"/>
  <c r="AK33" i="1"/>
  <c r="AM33" i="1"/>
  <c r="AN33" i="1"/>
  <c r="AO33" i="1"/>
  <c r="AP33" i="1"/>
  <c r="AQ33" i="1"/>
  <c r="A34" i="1"/>
  <c r="B34" i="1"/>
  <c r="C34" i="1"/>
  <c r="D34" i="1"/>
  <c r="E34" i="1"/>
  <c r="F34" i="1"/>
  <c r="G34" i="1"/>
  <c r="K34" i="1"/>
  <c r="N34" i="1"/>
  <c r="O34" i="1"/>
  <c r="V34" i="1"/>
  <c r="AB34" i="1"/>
  <c r="AC34" i="1"/>
  <c r="AD34" i="1"/>
  <c r="AG34" i="1"/>
  <c r="AH34" i="1"/>
  <c r="AI34" i="1"/>
  <c r="AJ34" i="1"/>
  <c r="AK34" i="1"/>
  <c r="AM34" i="1"/>
  <c r="AN34" i="1"/>
  <c r="AO34" i="1"/>
  <c r="AP34" i="1"/>
  <c r="AQ34" i="1"/>
  <c r="A35" i="1"/>
  <c r="B35" i="1"/>
  <c r="C35" i="1"/>
  <c r="D35" i="1"/>
  <c r="E35" i="1"/>
  <c r="F35" i="1"/>
  <c r="G35" i="1"/>
  <c r="K35" i="1"/>
  <c r="N35" i="1"/>
  <c r="O35" i="1"/>
  <c r="V35" i="1"/>
  <c r="AB35" i="1"/>
  <c r="AC35" i="1"/>
  <c r="AD35" i="1"/>
  <c r="AE35" i="1"/>
  <c r="AG35" i="1"/>
  <c r="AH35" i="1"/>
  <c r="AI35" i="1"/>
  <c r="AJ35" i="1"/>
  <c r="AK35" i="1"/>
  <c r="AM35" i="1"/>
  <c r="AN35" i="1"/>
  <c r="AO35" i="1"/>
  <c r="AP35" i="1"/>
  <c r="AQ35" i="1"/>
  <c r="A36" i="1"/>
  <c r="B36" i="1"/>
  <c r="C36" i="1"/>
  <c r="D36" i="1"/>
  <c r="E36" i="1"/>
  <c r="F36" i="1"/>
  <c r="G36" i="1"/>
  <c r="K36" i="1"/>
  <c r="N36" i="1"/>
  <c r="O36" i="1"/>
  <c r="V36" i="1"/>
  <c r="AB36" i="1"/>
  <c r="AC36" i="1"/>
  <c r="AD36" i="1"/>
  <c r="AG36" i="1"/>
  <c r="AH36" i="1"/>
  <c r="AI36" i="1"/>
  <c r="AJ36" i="1"/>
  <c r="AK36" i="1"/>
  <c r="AM36" i="1"/>
  <c r="AN36" i="1"/>
  <c r="AO36" i="1"/>
  <c r="AP36" i="1"/>
  <c r="AQ36" i="1"/>
  <c r="A37" i="1"/>
  <c r="B37" i="1"/>
  <c r="C37" i="1"/>
  <c r="D37" i="1"/>
  <c r="E37" i="1"/>
  <c r="F37" i="1"/>
  <c r="G37" i="1"/>
  <c r="K37" i="1"/>
  <c r="L37" i="1"/>
  <c r="M37" i="1"/>
  <c r="N37" i="1"/>
  <c r="O37" i="1"/>
  <c r="S37" i="1"/>
  <c r="U37" i="1"/>
  <c r="V37" i="1"/>
  <c r="AB37" i="1"/>
  <c r="AC37" i="1"/>
  <c r="AD37" i="1"/>
  <c r="AG37" i="1"/>
  <c r="AH37" i="1"/>
  <c r="AI37" i="1"/>
  <c r="AJ37" i="1"/>
  <c r="AK37" i="1"/>
  <c r="AM37" i="1"/>
  <c r="AN37" i="1"/>
  <c r="AO37" i="1"/>
  <c r="AP37" i="1"/>
  <c r="AQ37" i="1"/>
  <c r="A38" i="1"/>
  <c r="B38" i="1"/>
  <c r="C38" i="1"/>
  <c r="D38" i="1"/>
  <c r="E38" i="1"/>
  <c r="F38" i="1"/>
  <c r="G38" i="1"/>
  <c r="K38" i="1"/>
  <c r="N38" i="1"/>
  <c r="O38" i="1"/>
  <c r="V38" i="1"/>
  <c r="AB38" i="1"/>
  <c r="AC38" i="1"/>
  <c r="AD38" i="1"/>
  <c r="AG38" i="1"/>
  <c r="AH38" i="1"/>
  <c r="AI38" i="1"/>
  <c r="AJ38" i="1"/>
  <c r="AK38" i="1"/>
  <c r="AM38" i="1"/>
  <c r="AN38" i="1"/>
  <c r="AO38" i="1"/>
  <c r="AP38" i="1"/>
  <c r="AQ38" i="1"/>
  <c r="A39" i="1"/>
  <c r="B39" i="1"/>
  <c r="C39" i="1"/>
  <c r="D39" i="1"/>
  <c r="E39" i="1"/>
  <c r="F39" i="1"/>
  <c r="G39" i="1"/>
  <c r="K39" i="1"/>
  <c r="N39" i="1"/>
  <c r="O39" i="1"/>
  <c r="V39" i="1"/>
  <c r="AB39" i="1"/>
  <c r="AC39" i="1"/>
  <c r="AD39" i="1"/>
  <c r="AG39" i="1"/>
  <c r="AH39" i="1"/>
  <c r="AI39" i="1"/>
  <c r="AJ39" i="1"/>
  <c r="AK39" i="1"/>
  <c r="AM39" i="1"/>
  <c r="AN39" i="1"/>
  <c r="AO39" i="1"/>
  <c r="AP39" i="1"/>
  <c r="AQ39" i="1"/>
  <c r="A40" i="1"/>
  <c r="B40" i="1"/>
  <c r="C40" i="1"/>
  <c r="D40" i="1"/>
  <c r="E40" i="1"/>
  <c r="F40" i="1"/>
  <c r="G40" i="1"/>
  <c r="K40" i="1"/>
  <c r="L40" i="1"/>
  <c r="M40" i="1"/>
  <c r="N40" i="1"/>
  <c r="O40" i="1"/>
  <c r="V40" i="1"/>
  <c r="AB40" i="1"/>
  <c r="AC40" i="1"/>
  <c r="AD40" i="1"/>
  <c r="AG40" i="1"/>
  <c r="AH40" i="1"/>
  <c r="AI40" i="1"/>
  <c r="AJ40" i="1"/>
  <c r="AK40" i="1"/>
  <c r="AM40" i="1"/>
  <c r="AN40" i="1"/>
  <c r="AO40" i="1"/>
  <c r="AP40" i="1"/>
  <c r="AQ40" i="1"/>
  <c r="A41" i="1"/>
  <c r="B41" i="1"/>
  <c r="C41" i="1"/>
  <c r="D41" i="1"/>
  <c r="E41" i="1"/>
  <c r="F41" i="1"/>
  <c r="G41" i="1"/>
  <c r="K41" i="1"/>
  <c r="L41" i="1"/>
  <c r="M41" i="1"/>
  <c r="N41" i="1"/>
  <c r="O41" i="1"/>
  <c r="S41" i="1"/>
  <c r="U41" i="1"/>
  <c r="V41" i="1"/>
  <c r="AB41" i="1"/>
  <c r="AC41" i="1"/>
  <c r="AD41" i="1"/>
  <c r="AG41" i="1"/>
  <c r="AH41" i="1"/>
  <c r="AI41" i="1"/>
  <c r="AJ41" i="1"/>
  <c r="AK41" i="1"/>
  <c r="AM41" i="1"/>
  <c r="AN41" i="1"/>
  <c r="AO41" i="1"/>
  <c r="AP41" i="1"/>
  <c r="AQ41" i="1"/>
  <c r="A42" i="1"/>
  <c r="B42" i="1"/>
  <c r="C42" i="1"/>
  <c r="D42" i="1"/>
  <c r="E42" i="1"/>
  <c r="F42" i="1"/>
  <c r="G42" i="1"/>
  <c r="K42" i="1"/>
  <c r="N42" i="1"/>
  <c r="O42" i="1"/>
  <c r="S42" i="1"/>
  <c r="U42" i="1"/>
  <c r="V42" i="1"/>
  <c r="AB42" i="1"/>
  <c r="AC42" i="1"/>
  <c r="AD42" i="1"/>
  <c r="AG42" i="1"/>
  <c r="AH42" i="1"/>
  <c r="AI42" i="1"/>
  <c r="AJ42" i="1"/>
  <c r="AK42" i="1"/>
  <c r="AM42" i="1"/>
  <c r="AN42" i="1"/>
  <c r="AO42" i="1"/>
  <c r="AP42" i="1"/>
  <c r="AQ42" i="1"/>
  <c r="A43" i="1"/>
  <c r="B43" i="1"/>
  <c r="C43" i="1"/>
  <c r="D43" i="1"/>
  <c r="E43" i="1"/>
  <c r="F43" i="1"/>
  <c r="G43" i="1"/>
  <c r="K43" i="1"/>
  <c r="L43" i="1"/>
  <c r="M43" i="1"/>
  <c r="N43" i="1"/>
  <c r="O43" i="1"/>
  <c r="S43" i="1"/>
  <c r="U43" i="1"/>
  <c r="V43" i="1"/>
  <c r="AB43" i="1"/>
  <c r="AC43" i="1"/>
  <c r="AD43" i="1"/>
  <c r="AG43" i="1"/>
  <c r="AH43" i="1"/>
  <c r="AI43" i="1"/>
  <c r="AJ43" i="1"/>
  <c r="AK43" i="1"/>
  <c r="AM43" i="1"/>
  <c r="AN43" i="1"/>
  <c r="AO43" i="1"/>
  <c r="AP43" i="1"/>
  <c r="AQ43" i="1"/>
  <c r="A44" i="1"/>
  <c r="B44" i="1"/>
  <c r="C44" i="1"/>
  <c r="D44" i="1"/>
  <c r="E44" i="1"/>
  <c r="F44" i="1"/>
  <c r="G44" i="1"/>
  <c r="K44" i="1"/>
  <c r="N44" i="1"/>
  <c r="O44" i="1"/>
  <c r="V44" i="1"/>
  <c r="AB44" i="1"/>
  <c r="AC44" i="1"/>
  <c r="AD44" i="1"/>
  <c r="AG44" i="1"/>
  <c r="AH44" i="1"/>
  <c r="AI44" i="1"/>
  <c r="AJ44" i="1"/>
  <c r="AK44" i="1"/>
  <c r="AM44" i="1"/>
  <c r="AN44" i="1"/>
  <c r="AO44" i="1"/>
  <c r="AP44" i="1"/>
  <c r="AQ44" i="1"/>
  <c r="A45" i="1"/>
  <c r="B45" i="1"/>
  <c r="C45" i="1"/>
  <c r="D45" i="1"/>
  <c r="E45" i="1"/>
  <c r="F45" i="1"/>
  <c r="G45" i="1"/>
  <c r="K45" i="1"/>
  <c r="N45" i="1"/>
  <c r="O45" i="1"/>
  <c r="S45" i="1"/>
  <c r="U45" i="1"/>
  <c r="V45" i="1"/>
  <c r="AB45" i="1"/>
  <c r="AC45" i="1"/>
  <c r="AD45" i="1"/>
  <c r="AG45" i="1"/>
  <c r="AH45" i="1"/>
  <c r="AI45" i="1"/>
  <c r="AJ45" i="1"/>
  <c r="AK45" i="1"/>
  <c r="AM45" i="1"/>
  <c r="AN45" i="1"/>
  <c r="AO45" i="1"/>
  <c r="AP45" i="1"/>
  <c r="AQ45" i="1"/>
  <c r="A46" i="1"/>
  <c r="B46" i="1"/>
  <c r="C46" i="1"/>
  <c r="D46" i="1"/>
  <c r="E46" i="1"/>
  <c r="F46" i="1"/>
  <c r="G46" i="1"/>
  <c r="K46" i="1"/>
  <c r="N46" i="1"/>
  <c r="O46" i="1"/>
  <c r="V46" i="1"/>
  <c r="AB46" i="1"/>
  <c r="AC46" i="1"/>
  <c r="AD46" i="1"/>
  <c r="AG46" i="1"/>
  <c r="AH46" i="1"/>
  <c r="AI46" i="1"/>
  <c r="AJ46" i="1"/>
  <c r="AK46" i="1"/>
  <c r="AM46" i="1"/>
  <c r="AN46" i="1"/>
  <c r="AO46" i="1"/>
  <c r="AP46" i="1"/>
  <c r="AQ46" i="1"/>
  <c r="A47" i="1"/>
  <c r="B47" i="1"/>
  <c r="C47" i="1"/>
  <c r="D47" i="1"/>
  <c r="E47" i="1"/>
  <c r="F47" i="1"/>
  <c r="G47" i="1"/>
  <c r="K47" i="1"/>
  <c r="N47" i="1"/>
  <c r="V47" i="1"/>
  <c r="AB47" i="1"/>
  <c r="AC47" i="1"/>
  <c r="AD47" i="1"/>
  <c r="AG47" i="1"/>
  <c r="AH47" i="1"/>
  <c r="AI47" i="1"/>
  <c r="AJ47" i="1"/>
  <c r="AK47" i="1"/>
  <c r="AM47" i="1"/>
  <c r="AN47" i="1"/>
  <c r="AO47" i="1"/>
  <c r="AP47" i="1"/>
  <c r="AQ47" i="1"/>
  <c r="A48" i="1"/>
  <c r="B48" i="1"/>
  <c r="C48" i="1"/>
  <c r="D48" i="1"/>
  <c r="E48" i="1"/>
  <c r="F48" i="1"/>
  <c r="G48" i="1"/>
  <c r="K48" i="1"/>
  <c r="L48" i="1"/>
  <c r="M48" i="1"/>
  <c r="N48" i="1"/>
  <c r="O48" i="1"/>
  <c r="S48" i="1"/>
  <c r="U48" i="1"/>
  <c r="V48" i="1"/>
  <c r="AB48" i="1"/>
  <c r="AC48" i="1"/>
  <c r="AD48" i="1"/>
  <c r="AG48" i="1"/>
  <c r="AH48" i="1"/>
  <c r="AI48" i="1"/>
  <c r="AJ48" i="1"/>
  <c r="AK48" i="1"/>
  <c r="AM48" i="1"/>
  <c r="AN48" i="1"/>
  <c r="AO48" i="1"/>
  <c r="AP48" i="1"/>
  <c r="AQ48" i="1"/>
  <c r="A49" i="1"/>
  <c r="B49" i="1"/>
  <c r="C49" i="1"/>
  <c r="D49" i="1"/>
  <c r="E49" i="1"/>
  <c r="F49" i="1"/>
  <c r="G49" i="1"/>
  <c r="K49" i="1"/>
  <c r="N49" i="1"/>
  <c r="O49" i="1"/>
  <c r="S49" i="1"/>
  <c r="U49" i="1"/>
  <c r="V49" i="1"/>
  <c r="AB49" i="1"/>
  <c r="AC49" i="1"/>
  <c r="AD49" i="1"/>
  <c r="AI49" i="1"/>
  <c r="AJ49" i="1"/>
  <c r="AK49" i="1"/>
  <c r="AM49" i="1"/>
  <c r="AN49" i="1"/>
  <c r="AO49" i="1"/>
  <c r="AP49" i="1"/>
  <c r="AQ49" i="1"/>
  <c r="A50" i="1"/>
  <c r="B50" i="1"/>
  <c r="C50" i="1"/>
  <c r="D50" i="1"/>
  <c r="E50" i="1"/>
  <c r="F50" i="1"/>
  <c r="G50" i="1"/>
  <c r="K50" i="1"/>
  <c r="N50" i="1"/>
  <c r="O50" i="1"/>
  <c r="V50" i="1"/>
  <c r="AB50" i="1"/>
  <c r="AC50" i="1"/>
  <c r="AD50" i="1"/>
  <c r="AG50" i="1"/>
  <c r="AH50" i="1"/>
  <c r="AI50" i="1"/>
  <c r="AJ50" i="1"/>
  <c r="AK50" i="1"/>
  <c r="AM50" i="1"/>
  <c r="AN50" i="1"/>
  <c r="AO50" i="1"/>
  <c r="AP50" i="1"/>
  <c r="AQ50" i="1"/>
  <c r="A51" i="1"/>
  <c r="B51" i="1"/>
  <c r="C51" i="1"/>
  <c r="D51" i="1"/>
  <c r="E51" i="1"/>
  <c r="F51" i="1"/>
  <c r="G51" i="1"/>
  <c r="K51" i="1"/>
  <c r="N51" i="1"/>
  <c r="O51" i="1"/>
  <c r="V51" i="1"/>
  <c r="AB51" i="1"/>
  <c r="AC51" i="1"/>
  <c r="AD51" i="1"/>
  <c r="AG51" i="1"/>
  <c r="AH51" i="1"/>
  <c r="AI51" i="1"/>
  <c r="AJ51" i="1"/>
  <c r="AK51" i="1"/>
  <c r="AM51" i="1"/>
  <c r="AN51" i="1"/>
  <c r="AO51" i="1"/>
  <c r="AP51" i="1"/>
  <c r="AQ51" i="1"/>
  <c r="A52" i="1"/>
  <c r="B52" i="1"/>
  <c r="C52" i="1"/>
  <c r="D52" i="1"/>
  <c r="E52" i="1"/>
  <c r="F52" i="1"/>
  <c r="G52" i="1"/>
  <c r="K52" i="1"/>
  <c r="N52" i="1"/>
  <c r="O52" i="1"/>
  <c r="V52" i="1"/>
  <c r="AB52" i="1"/>
  <c r="AC52" i="1"/>
  <c r="AD52" i="1"/>
  <c r="AG52" i="1"/>
  <c r="AH52" i="1"/>
  <c r="AI52" i="1"/>
  <c r="AJ52" i="1"/>
  <c r="AK52" i="1"/>
  <c r="AM52" i="1"/>
  <c r="AN52" i="1"/>
  <c r="AO52" i="1"/>
  <c r="AP52" i="1"/>
  <c r="AQ52" i="1"/>
  <c r="A53" i="1"/>
  <c r="B53" i="1"/>
  <c r="C53" i="1"/>
  <c r="D53" i="1"/>
  <c r="E53" i="1"/>
  <c r="F53" i="1"/>
  <c r="G53" i="1"/>
  <c r="K53" i="1"/>
  <c r="N53" i="1"/>
  <c r="O53" i="1"/>
  <c r="S53" i="1"/>
  <c r="U53" i="1"/>
  <c r="V53" i="1"/>
  <c r="AB53" i="1"/>
  <c r="AC53" i="1"/>
  <c r="AD53" i="1"/>
  <c r="AG53" i="1"/>
  <c r="AH53" i="1"/>
  <c r="AI53" i="1"/>
  <c r="AJ53" i="1"/>
  <c r="AK53" i="1"/>
  <c r="AM53" i="1"/>
  <c r="AN53" i="1"/>
  <c r="AO53" i="1"/>
  <c r="AP53" i="1"/>
  <c r="AQ53" i="1"/>
  <c r="A54" i="1"/>
  <c r="B54" i="1"/>
  <c r="C54" i="1"/>
  <c r="D54" i="1"/>
  <c r="E54" i="1"/>
  <c r="F54" i="1"/>
  <c r="G54" i="1"/>
  <c r="K54" i="1"/>
  <c r="N54" i="1"/>
  <c r="O54" i="1"/>
  <c r="V54" i="1"/>
  <c r="AB54" i="1"/>
  <c r="AC54" i="1"/>
  <c r="AD54" i="1"/>
  <c r="AG54" i="1"/>
  <c r="AH54" i="1"/>
  <c r="AI54" i="1"/>
  <c r="AJ54" i="1"/>
  <c r="AK54" i="1"/>
  <c r="AM54" i="1"/>
  <c r="AN54" i="1"/>
  <c r="AO54" i="1"/>
  <c r="AP54" i="1"/>
  <c r="AQ54" i="1"/>
  <c r="A55" i="1"/>
  <c r="B55" i="1"/>
  <c r="C55" i="1"/>
  <c r="D55" i="1"/>
  <c r="E55" i="1"/>
  <c r="F55" i="1"/>
  <c r="G55" i="1"/>
  <c r="K55" i="1"/>
  <c r="N55" i="1"/>
  <c r="O55" i="1"/>
  <c r="V55" i="1"/>
  <c r="AB55" i="1"/>
  <c r="AC55" i="1"/>
  <c r="AD55" i="1"/>
  <c r="AG55" i="1"/>
  <c r="AH55" i="1"/>
  <c r="AI55" i="1"/>
  <c r="AJ55" i="1"/>
  <c r="AK55" i="1"/>
  <c r="AM55" i="1"/>
  <c r="AN55" i="1"/>
  <c r="AO55" i="1"/>
  <c r="AP55" i="1"/>
  <c r="AQ55" i="1"/>
  <c r="A56" i="1"/>
  <c r="B56" i="1"/>
  <c r="C56" i="1"/>
  <c r="D56" i="1"/>
  <c r="E56" i="1"/>
  <c r="F56" i="1"/>
  <c r="G56" i="1"/>
  <c r="K56" i="1"/>
  <c r="N56" i="1"/>
  <c r="O56" i="1"/>
  <c r="V56" i="1"/>
  <c r="AB56" i="1"/>
  <c r="AC56" i="1"/>
  <c r="AD56" i="1"/>
  <c r="AG56" i="1"/>
  <c r="AH56" i="1"/>
  <c r="AI56" i="1"/>
  <c r="AJ56" i="1"/>
  <c r="AK56" i="1"/>
  <c r="AM56" i="1"/>
  <c r="AN56" i="1"/>
  <c r="AO56" i="1"/>
  <c r="AP56" i="1"/>
  <c r="AQ56" i="1"/>
  <c r="A57" i="1"/>
  <c r="B57" i="1"/>
  <c r="C57" i="1"/>
  <c r="D57" i="1"/>
  <c r="E57" i="1"/>
  <c r="F57" i="1"/>
  <c r="G57" i="1"/>
  <c r="K57" i="1"/>
  <c r="N57" i="1"/>
  <c r="O57" i="1"/>
  <c r="V57" i="1"/>
  <c r="AB57" i="1"/>
  <c r="AC57" i="1"/>
  <c r="AD57" i="1"/>
  <c r="AG57" i="1"/>
  <c r="AH57" i="1"/>
  <c r="AI57" i="1"/>
  <c r="AJ57" i="1"/>
  <c r="AK57" i="1"/>
  <c r="AM57" i="1"/>
  <c r="AN57" i="1"/>
  <c r="AO57" i="1"/>
  <c r="AP57" i="1"/>
  <c r="AQ57" i="1"/>
  <c r="A58" i="1"/>
  <c r="B58" i="1"/>
  <c r="C58" i="1"/>
  <c r="D58" i="1"/>
  <c r="E58" i="1"/>
  <c r="F58" i="1"/>
  <c r="G58" i="1"/>
  <c r="K58" i="1"/>
  <c r="N58" i="1"/>
  <c r="O58" i="1"/>
  <c r="V58" i="1"/>
  <c r="AB58" i="1"/>
  <c r="AC58" i="1"/>
  <c r="AD58" i="1"/>
  <c r="AG58" i="1"/>
  <c r="AH58" i="1"/>
  <c r="AI58" i="1"/>
  <c r="AJ58" i="1"/>
  <c r="AK58" i="1"/>
  <c r="AM58" i="1"/>
  <c r="AN58" i="1"/>
  <c r="AO58" i="1"/>
  <c r="AP58" i="1"/>
  <c r="AQ58" i="1"/>
  <c r="A59" i="1"/>
  <c r="B59" i="1"/>
  <c r="C59" i="1"/>
  <c r="D59" i="1"/>
  <c r="E59" i="1"/>
  <c r="F59" i="1"/>
  <c r="G59" i="1"/>
  <c r="K59" i="1"/>
  <c r="N59" i="1"/>
  <c r="O59" i="1"/>
  <c r="S59" i="1"/>
  <c r="U59" i="1"/>
  <c r="V59" i="1"/>
  <c r="AB59" i="1"/>
  <c r="AC59" i="1"/>
  <c r="AD59" i="1"/>
  <c r="AI59" i="1"/>
  <c r="AJ59" i="1"/>
  <c r="AK59" i="1"/>
  <c r="AM59" i="1"/>
  <c r="AN59" i="1"/>
  <c r="AO59" i="1"/>
  <c r="AP59" i="1"/>
  <c r="AQ59" i="1"/>
  <c r="A60" i="1"/>
  <c r="B60" i="1"/>
  <c r="C60" i="1"/>
  <c r="D60" i="1"/>
  <c r="E60" i="1"/>
  <c r="F60" i="1"/>
  <c r="G60" i="1"/>
  <c r="K60" i="1"/>
  <c r="N60" i="1"/>
  <c r="O60" i="1"/>
  <c r="V60" i="1"/>
  <c r="AB60" i="1"/>
  <c r="AC60" i="1"/>
  <c r="AD60" i="1"/>
  <c r="AG60" i="1"/>
  <c r="AH60" i="1"/>
  <c r="AI60" i="1"/>
  <c r="AJ60" i="1"/>
  <c r="AK60" i="1"/>
  <c r="AM60" i="1"/>
  <c r="AN60" i="1"/>
  <c r="AO60" i="1"/>
  <c r="AP60" i="1"/>
  <c r="AQ60" i="1"/>
  <c r="A61" i="1"/>
  <c r="B61" i="1"/>
  <c r="C61" i="1"/>
  <c r="D61" i="1"/>
  <c r="E61" i="1"/>
  <c r="F61" i="1"/>
  <c r="G61" i="1"/>
  <c r="K61" i="1"/>
  <c r="N61" i="1"/>
  <c r="O61" i="1"/>
  <c r="V61" i="1"/>
  <c r="AB61" i="1"/>
  <c r="AC61" i="1"/>
  <c r="AD61" i="1"/>
  <c r="AG61" i="1"/>
  <c r="AH61" i="1"/>
  <c r="AI61" i="1"/>
  <c r="AJ61" i="1"/>
  <c r="AK61" i="1"/>
  <c r="AM61" i="1"/>
  <c r="AN61" i="1"/>
  <c r="AO61" i="1"/>
  <c r="AP61" i="1"/>
  <c r="AQ61" i="1"/>
  <c r="A62" i="1"/>
  <c r="B62" i="1"/>
  <c r="C62" i="1"/>
  <c r="D62" i="1"/>
  <c r="E62" i="1"/>
  <c r="F62" i="1"/>
  <c r="G62" i="1"/>
  <c r="K62" i="1"/>
  <c r="N62" i="1"/>
  <c r="O62" i="1"/>
  <c r="V62" i="1"/>
  <c r="AB62" i="1"/>
  <c r="AC62" i="1"/>
  <c r="AD62" i="1"/>
  <c r="AG62" i="1"/>
  <c r="AH62" i="1"/>
  <c r="AI62" i="1"/>
  <c r="AJ62" i="1"/>
  <c r="AK62" i="1"/>
  <c r="AM62" i="1"/>
  <c r="AN62" i="1"/>
  <c r="AO62" i="1"/>
  <c r="AP62" i="1"/>
  <c r="AQ62" i="1"/>
  <c r="A63" i="1"/>
  <c r="B63" i="1"/>
  <c r="C63" i="1"/>
  <c r="D63" i="1"/>
  <c r="E63" i="1"/>
  <c r="F63" i="1"/>
  <c r="G63" i="1"/>
  <c r="K63" i="1"/>
  <c r="N63" i="1"/>
  <c r="O63" i="1"/>
  <c r="V63" i="1"/>
  <c r="AB63" i="1"/>
  <c r="AC63" i="1"/>
  <c r="AD63" i="1"/>
  <c r="AG63" i="1"/>
  <c r="AH63" i="1"/>
  <c r="AI63" i="1"/>
  <c r="AJ63" i="1"/>
  <c r="AK63" i="1"/>
  <c r="AM63" i="1"/>
  <c r="AN63" i="1"/>
  <c r="AO63" i="1"/>
  <c r="AP63" i="1"/>
  <c r="AQ63" i="1"/>
  <c r="A64" i="1"/>
  <c r="B64" i="1"/>
  <c r="C64" i="1"/>
  <c r="D64" i="1"/>
  <c r="E64" i="1"/>
  <c r="F64" i="1"/>
  <c r="G64" i="1"/>
  <c r="K64" i="1"/>
  <c r="N64" i="1"/>
  <c r="O64" i="1"/>
  <c r="V64" i="1"/>
  <c r="AB64" i="1"/>
  <c r="AC64" i="1"/>
  <c r="AD64" i="1"/>
  <c r="AG64" i="1"/>
  <c r="AH64" i="1"/>
  <c r="AI64" i="1"/>
  <c r="AJ64" i="1"/>
  <c r="AK64" i="1"/>
  <c r="AM64" i="1"/>
  <c r="AN64" i="1"/>
  <c r="AO64" i="1"/>
  <c r="AP64" i="1"/>
  <c r="AQ64" i="1"/>
  <c r="A65" i="1"/>
  <c r="B65" i="1"/>
  <c r="C65" i="1"/>
  <c r="D65" i="1"/>
  <c r="E65" i="1"/>
  <c r="F65" i="1"/>
  <c r="G65" i="1"/>
  <c r="K65" i="1"/>
  <c r="N65" i="1"/>
  <c r="O65" i="1"/>
  <c r="V65" i="1"/>
  <c r="AB65" i="1"/>
  <c r="AC65" i="1"/>
  <c r="AD65" i="1"/>
  <c r="AG65" i="1"/>
  <c r="AH65" i="1"/>
  <c r="AI65" i="1"/>
  <c r="AJ65" i="1"/>
  <c r="AK65" i="1"/>
  <c r="AM65" i="1"/>
  <c r="AN65" i="1"/>
  <c r="AO65" i="1"/>
  <c r="AP65" i="1"/>
  <c r="AQ65" i="1"/>
  <c r="A66" i="1"/>
  <c r="B66" i="1"/>
  <c r="C66" i="1"/>
  <c r="D66" i="1"/>
  <c r="E66" i="1"/>
  <c r="F66" i="1"/>
  <c r="G66" i="1"/>
  <c r="K66" i="1"/>
  <c r="N66" i="1"/>
  <c r="O66" i="1"/>
  <c r="S66" i="1"/>
  <c r="U66" i="1"/>
  <c r="V66" i="1"/>
  <c r="AB66" i="1"/>
  <c r="AC66" i="1"/>
  <c r="AD66" i="1"/>
  <c r="AG66" i="1"/>
  <c r="AH66" i="1"/>
  <c r="AI66" i="1"/>
  <c r="AJ66" i="1"/>
  <c r="AK66" i="1"/>
  <c r="AM66" i="1"/>
  <c r="AN66" i="1"/>
  <c r="AO66" i="1"/>
  <c r="AP66" i="1"/>
  <c r="AQ66" i="1"/>
  <c r="A67" i="1"/>
  <c r="B67" i="1"/>
  <c r="C67" i="1"/>
  <c r="D67" i="1"/>
  <c r="E67" i="1"/>
  <c r="F67" i="1"/>
  <c r="G67" i="1"/>
  <c r="K67" i="1"/>
  <c r="N67" i="1"/>
  <c r="O67" i="1"/>
  <c r="S67" i="1"/>
  <c r="U67" i="1"/>
  <c r="V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68" i="1"/>
  <c r="B68" i="1"/>
  <c r="C68" i="1"/>
  <c r="D68" i="1"/>
  <c r="E68" i="1"/>
  <c r="F68" i="1"/>
  <c r="G68" i="1"/>
  <c r="K68" i="1"/>
  <c r="N68" i="1"/>
  <c r="O68" i="1"/>
  <c r="V68" i="1"/>
  <c r="AB68" i="1"/>
  <c r="AC68" i="1"/>
  <c r="AD68" i="1"/>
  <c r="AG68" i="1"/>
  <c r="AH68" i="1"/>
  <c r="AI68" i="1"/>
  <c r="AJ68" i="1"/>
  <c r="AK68" i="1"/>
  <c r="AM68" i="1"/>
  <c r="AN68" i="1"/>
  <c r="AO68" i="1"/>
  <c r="AP68" i="1"/>
  <c r="AQ68" i="1"/>
  <c r="A69" i="1"/>
  <c r="B69" i="1"/>
  <c r="C69" i="1"/>
  <c r="D69" i="1"/>
  <c r="E69" i="1"/>
  <c r="F69" i="1"/>
  <c r="G69" i="1"/>
  <c r="K69" i="1"/>
  <c r="N69" i="1"/>
  <c r="O69" i="1"/>
  <c r="V69" i="1"/>
  <c r="AB69" i="1"/>
  <c r="AC69" i="1"/>
  <c r="AD69" i="1"/>
  <c r="AG69" i="1"/>
  <c r="AH69" i="1"/>
  <c r="AI69" i="1"/>
  <c r="AJ69" i="1"/>
  <c r="AK69" i="1"/>
  <c r="AM69" i="1"/>
  <c r="AN69" i="1"/>
  <c r="AO69" i="1"/>
  <c r="AP69" i="1"/>
  <c r="AQ69" i="1"/>
  <c r="A70" i="1"/>
  <c r="B70" i="1"/>
  <c r="C70" i="1"/>
  <c r="D70" i="1"/>
  <c r="E70" i="1"/>
  <c r="F70" i="1"/>
  <c r="G70" i="1"/>
  <c r="K70" i="1"/>
  <c r="N70" i="1"/>
  <c r="O70" i="1"/>
  <c r="V70" i="1"/>
  <c r="AB70" i="1"/>
  <c r="AC70" i="1"/>
  <c r="AD70" i="1"/>
  <c r="AG70" i="1"/>
  <c r="AH70" i="1"/>
  <c r="AI70" i="1"/>
  <c r="AJ70" i="1"/>
  <c r="AK70" i="1"/>
  <c r="AM70" i="1"/>
  <c r="AN70" i="1"/>
  <c r="AO70" i="1"/>
  <c r="AP70" i="1"/>
  <c r="AQ70" i="1"/>
  <c r="A71" i="1"/>
  <c r="B71" i="1"/>
  <c r="C71" i="1"/>
  <c r="D71" i="1"/>
  <c r="E71" i="1"/>
  <c r="F71" i="1"/>
  <c r="G71" i="1"/>
  <c r="K71" i="1"/>
  <c r="N71" i="1"/>
  <c r="O71" i="1"/>
  <c r="V71" i="1"/>
  <c r="AB71" i="1"/>
  <c r="AC71" i="1"/>
  <c r="AD71" i="1"/>
  <c r="AG71" i="1"/>
  <c r="AH71" i="1"/>
  <c r="AI71" i="1"/>
  <c r="AJ71" i="1"/>
  <c r="AK71" i="1"/>
  <c r="AM71" i="1"/>
  <c r="AN71" i="1"/>
  <c r="AO71" i="1"/>
  <c r="AP71" i="1"/>
  <c r="AQ71" i="1"/>
  <c r="A72" i="1"/>
  <c r="B72" i="1"/>
  <c r="C72" i="1"/>
  <c r="D72" i="1"/>
  <c r="E72" i="1"/>
  <c r="F72" i="1"/>
  <c r="G72" i="1"/>
  <c r="K72" i="1"/>
  <c r="N72" i="1"/>
  <c r="O72" i="1"/>
  <c r="V72" i="1"/>
  <c r="AB72" i="1"/>
  <c r="AC72" i="1"/>
  <c r="AD72" i="1"/>
  <c r="AG72" i="1"/>
  <c r="AH72" i="1"/>
  <c r="AI72" i="1"/>
  <c r="AJ72" i="1"/>
  <c r="AK72" i="1"/>
  <c r="AM72" i="1"/>
  <c r="AN72" i="1"/>
  <c r="AO72" i="1"/>
  <c r="AP72" i="1"/>
  <c r="AQ72" i="1"/>
  <c r="A73" i="1"/>
  <c r="B73" i="1"/>
  <c r="C73" i="1"/>
  <c r="D73" i="1"/>
  <c r="E73" i="1"/>
  <c r="F73" i="1"/>
  <c r="G73" i="1"/>
  <c r="K73" i="1"/>
  <c r="N73" i="1"/>
  <c r="O73" i="1"/>
  <c r="V73" i="1"/>
  <c r="AB73" i="1"/>
  <c r="AC73" i="1"/>
  <c r="AD73" i="1"/>
  <c r="AG73" i="1"/>
  <c r="AH73" i="1"/>
  <c r="AI73" i="1"/>
  <c r="AJ73" i="1"/>
  <c r="AK73" i="1"/>
  <c r="AM73" i="1"/>
  <c r="AN73" i="1"/>
  <c r="AO73" i="1"/>
  <c r="AP73" i="1"/>
  <c r="AQ73" i="1"/>
  <c r="A74" i="1"/>
  <c r="B74" i="1"/>
  <c r="C74" i="1"/>
  <c r="D74" i="1"/>
  <c r="E74" i="1"/>
  <c r="F74" i="1"/>
  <c r="G74" i="1"/>
  <c r="K74" i="1"/>
  <c r="N74" i="1"/>
  <c r="O74" i="1"/>
  <c r="V74" i="1"/>
  <c r="AB74" i="1"/>
  <c r="AC74" i="1"/>
  <c r="AD74" i="1"/>
  <c r="AG74" i="1"/>
  <c r="AH74" i="1"/>
  <c r="AI74" i="1"/>
  <c r="AJ74" i="1"/>
  <c r="AK74" i="1"/>
  <c r="AM74" i="1"/>
  <c r="AN74" i="1"/>
  <c r="AO74" i="1"/>
  <c r="AP74" i="1"/>
  <c r="AQ74" i="1"/>
  <c r="A75" i="1"/>
  <c r="B75" i="1"/>
  <c r="C75" i="1"/>
  <c r="D75" i="1"/>
  <c r="E75" i="1"/>
  <c r="F75" i="1"/>
  <c r="G75" i="1"/>
  <c r="K75" i="1"/>
  <c r="N75" i="1"/>
  <c r="O75" i="1"/>
  <c r="V75" i="1"/>
  <c r="AB75" i="1"/>
  <c r="AC75" i="1"/>
  <c r="AD75" i="1"/>
  <c r="AG75" i="1"/>
  <c r="AH75" i="1"/>
  <c r="AI75" i="1"/>
  <c r="AJ75" i="1"/>
  <c r="AK75" i="1"/>
  <c r="AM75" i="1"/>
  <c r="AN75" i="1"/>
  <c r="AO75" i="1"/>
  <c r="AP75" i="1"/>
  <c r="AQ75" i="1"/>
  <c r="A76" i="1"/>
  <c r="B76" i="1"/>
  <c r="C76" i="1"/>
  <c r="D76" i="1"/>
  <c r="E76" i="1"/>
  <c r="F76" i="1"/>
  <c r="G76" i="1"/>
  <c r="K76" i="1"/>
  <c r="N76" i="1"/>
  <c r="O76" i="1"/>
  <c r="V76" i="1"/>
  <c r="AB76" i="1"/>
  <c r="AC76" i="1"/>
  <c r="AD76" i="1"/>
  <c r="AG76" i="1"/>
  <c r="AH76" i="1"/>
  <c r="AI76" i="1"/>
  <c r="AJ76" i="1"/>
  <c r="AK76" i="1"/>
  <c r="AM76" i="1"/>
  <c r="AN76" i="1"/>
  <c r="AO76" i="1"/>
  <c r="AP76" i="1"/>
  <c r="AQ76" i="1"/>
  <c r="A77" i="1"/>
  <c r="B77" i="1"/>
  <c r="C77" i="1"/>
  <c r="D77" i="1"/>
  <c r="E77" i="1"/>
  <c r="F77" i="1"/>
  <c r="G77" i="1"/>
  <c r="K77" i="1"/>
  <c r="N77" i="1"/>
  <c r="O77" i="1"/>
  <c r="V77" i="1"/>
  <c r="AB77" i="1"/>
  <c r="AC77" i="1"/>
  <c r="AD77" i="1"/>
  <c r="AG77" i="1"/>
  <c r="AH77" i="1"/>
  <c r="AI77" i="1"/>
  <c r="AJ77" i="1"/>
  <c r="AK77" i="1"/>
  <c r="AM77" i="1"/>
  <c r="AN77" i="1"/>
  <c r="AO77" i="1"/>
  <c r="AP77" i="1"/>
  <c r="AQ77" i="1"/>
  <c r="A78" i="1"/>
  <c r="B78" i="1"/>
  <c r="C78" i="1"/>
  <c r="D78" i="1"/>
  <c r="E78" i="1"/>
  <c r="F78" i="1"/>
  <c r="G78" i="1"/>
  <c r="K78" i="1"/>
  <c r="N78" i="1"/>
  <c r="O78" i="1"/>
  <c r="V78" i="1"/>
  <c r="AB78" i="1"/>
  <c r="AC78" i="1"/>
  <c r="AD78" i="1"/>
  <c r="AG78" i="1"/>
  <c r="AH78" i="1"/>
  <c r="AI78" i="1"/>
  <c r="AJ78" i="1"/>
  <c r="AK78" i="1"/>
  <c r="AM78" i="1"/>
  <c r="AN78" i="1"/>
  <c r="AO78" i="1"/>
  <c r="AP78" i="1"/>
  <c r="AQ78" i="1"/>
  <c r="A79" i="1"/>
  <c r="B79" i="1"/>
  <c r="C79" i="1"/>
  <c r="D79" i="1"/>
  <c r="E79" i="1"/>
  <c r="F79" i="1"/>
  <c r="G79" i="1"/>
  <c r="K79" i="1"/>
  <c r="N79" i="1"/>
  <c r="O79" i="1"/>
  <c r="V79" i="1"/>
  <c r="AB79" i="1"/>
  <c r="AC79" i="1"/>
  <c r="AD79" i="1"/>
  <c r="AG79" i="1"/>
  <c r="AH79" i="1"/>
  <c r="AI79" i="1"/>
  <c r="AJ79" i="1"/>
  <c r="AK79" i="1"/>
  <c r="AM79" i="1"/>
  <c r="AN79" i="1"/>
  <c r="AO79" i="1"/>
  <c r="AP79" i="1"/>
  <c r="AQ79" i="1"/>
  <c r="A80" i="1"/>
  <c r="B80" i="1"/>
  <c r="C80" i="1"/>
  <c r="D80" i="1"/>
  <c r="E80" i="1"/>
  <c r="F80" i="1"/>
  <c r="G80" i="1"/>
  <c r="K80" i="1"/>
  <c r="N80" i="1"/>
  <c r="O80" i="1"/>
  <c r="V80" i="1"/>
  <c r="AB80" i="1"/>
  <c r="AC80" i="1"/>
  <c r="AD80" i="1"/>
  <c r="AG80" i="1"/>
  <c r="AH80" i="1"/>
  <c r="AI80" i="1"/>
  <c r="AJ80" i="1"/>
  <c r="AK80" i="1"/>
  <c r="AM80" i="1"/>
  <c r="AN80" i="1"/>
  <c r="AO80" i="1"/>
  <c r="AP80" i="1"/>
  <c r="AQ80" i="1"/>
  <c r="A81" i="1"/>
  <c r="B81" i="1"/>
  <c r="C81" i="1"/>
  <c r="D81" i="1"/>
  <c r="E81" i="1"/>
  <c r="F81" i="1"/>
  <c r="G81" i="1"/>
  <c r="K81" i="1"/>
  <c r="N81" i="1"/>
  <c r="O81" i="1"/>
  <c r="V81" i="1"/>
  <c r="AB81" i="1"/>
  <c r="AC81" i="1"/>
  <c r="AD81" i="1"/>
  <c r="AG81" i="1"/>
  <c r="AH81" i="1"/>
  <c r="AI81" i="1"/>
  <c r="AJ81" i="1"/>
  <c r="AK81" i="1"/>
  <c r="AM81" i="1"/>
  <c r="AN81" i="1"/>
  <c r="AO81" i="1"/>
  <c r="AP81" i="1"/>
  <c r="AQ81" i="1"/>
  <c r="A82" i="1"/>
  <c r="B82" i="1"/>
  <c r="C82" i="1"/>
  <c r="D82" i="1"/>
  <c r="E82" i="1"/>
  <c r="F82" i="1"/>
  <c r="G82" i="1"/>
  <c r="K82" i="1"/>
  <c r="L82" i="1"/>
  <c r="N82" i="1"/>
  <c r="O82" i="1"/>
  <c r="V82" i="1"/>
  <c r="AB82" i="1"/>
  <c r="AC82" i="1"/>
  <c r="AD82" i="1"/>
  <c r="AG82" i="1"/>
  <c r="AH82" i="1"/>
  <c r="AI82" i="1"/>
  <c r="AJ82" i="1"/>
  <c r="AK82" i="1"/>
  <c r="AM82" i="1"/>
  <c r="AN82" i="1"/>
  <c r="AO82" i="1"/>
  <c r="AP82" i="1"/>
  <c r="AQ82" i="1"/>
  <c r="A83" i="1"/>
  <c r="B83" i="1"/>
  <c r="C83" i="1"/>
  <c r="D83" i="1"/>
  <c r="E83" i="1"/>
  <c r="F83" i="1"/>
  <c r="G83" i="1"/>
  <c r="K83" i="1"/>
  <c r="L83" i="1"/>
  <c r="M83" i="1"/>
  <c r="N83" i="1"/>
  <c r="O83" i="1"/>
  <c r="V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84" i="1"/>
  <c r="B84" i="1"/>
  <c r="C84" i="1"/>
  <c r="D84" i="1"/>
  <c r="E84" i="1"/>
  <c r="F84" i="1"/>
  <c r="G84" i="1"/>
  <c r="K84" i="1"/>
  <c r="N84" i="1"/>
  <c r="O84" i="1"/>
  <c r="V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85" i="1"/>
  <c r="B85" i="1"/>
  <c r="C85" i="1"/>
  <c r="D85" i="1"/>
  <c r="E85" i="1"/>
  <c r="F85" i="1"/>
  <c r="G85" i="1"/>
  <c r="K85" i="1"/>
  <c r="N85" i="1"/>
  <c r="O85" i="1"/>
  <c r="V85" i="1"/>
  <c r="AB85" i="1"/>
  <c r="AC85" i="1"/>
  <c r="AD85" i="1"/>
  <c r="AG85" i="1"/>
  <c r="AH85" i="1"/>
  <c r="AI85" i="1"/>
  <c r="AJ85" i="1"/>
  <c r="AK85" i="1"/>
  <c r="AM85" i="1"/>
  <c r="AN85" i="1"/>
  <c r="AO85" i="1"/>
  <c r="AP85" i="1"/>
  <c r="AQ85" i="1"/>
  <c r="A86" i="1"/>
  <c r="B86" i="1"/>
  <c r="C86" i="1"/>
  <c r="D86" i="1"/>
  <c r="E86" i="1"/>
  <c r="F86" i="1"/>
  <c r="G86" i="1"/>
  <c r="K86" i="1"/>
  <c r="N86" i="1"/>
  <c r="O86" i="1"/>
  <c r="S86" i="1"/>
  <c r="U86" i="1"/>
  <c r="V86" i="1"/>
  <c r="AB86" i="1"/>
  <c r="AC86" i="1"/>
  <c r="AD86" i="1"/>
  <c r="AI86" i="1"/>
  <c r="AJ86" i="1"/>
  <c r="AK86" i="1"/>
  <c r="AM86" i="1"/>
  <c r="AN86" i="1"/>
  <c r="AO86" i="1"/>
  <c r="AP86" i="1"/>
  <c r="AQ86" i="1"/>
  <c r="A87" i="1"/>
  <c r="B87" i="1"/>
  <c r="C87" i="1"/>
  <c r="D87" i="1"/>
  <c r="E87" i="1"/>
  <c r="F87" i="1"/>
  <c r="G87" i="1"/>
  <c r="K87" i="1"/>
  <c r="N87" i="1"/>
  <c r="O87" i="1"/>
  <c r="V87" i="1"/>
  <c r="AB87" i="1"/>
  <c r="AC87" i="1"/>
  <c r="AD87" i="1"/>
  <c r="AG87" i="1"/>
  <c r="AH87" i="1"/>
  <c r="AI87" i="1"/>
  <c r="AJ87" i="1"/>
  <c r="AK87" i="1"/>
  <c r="AM87" i="1"/>
  <c r="AN87" i="1"/>
  <c r="AO87" i="1"/>
  <c r="AP87" i="1"/>
  <c r="AQ87" i="1"/>
  <c r="A88" i="1"/>
  <c r="B88" i="1"/>
  <c r="C88" i="1"/>
  <c r="D88" i="1"/>
  <c r="E88" i="1"/>
  <c r="F88" i="1"/>
  <c r="G88" i="1"/>
  <c r="K88" i="1"/>
  <c r="N88" i="1"/>
  <c r="O88" i="1"/>
  <c r="S88" i="1"/>
  <c r="U88" i="1"/>
  <c r="V88" i="1"/>
  <c r="AB88" i="1"/>
  <c r="AC88" i="1"/>
  <c r="AD88" i="1"/>
  <c r="AG88" i="1"/>
  <c r="AH88" i="1"/>
  <c r="AI88" i="1"/>
  <c r="AJ88" i="1"/>
  <c r="AK88" i="1"/>
  <c r="AM88" i="1"/>
  <c r="AN88" i="1"/>
  <c r="AO88" i="1"/>
  <c r="AP88" i="1"/>
  <c r="AQ88" i="1"/>
  <c r="A89" i="1"/>
  <c r="B89" i="1"/>
  <c r="C89" i="1"/>
  <c r="D89" i="1"/>
  <c r="E89" i="1"/>
  <c r="F89" i="1"/>
  <c r="G89" i="1"/>
  <c r="K89" i="1"/>
  <c r="N89" i="1"/>
  <c r="O89" i="1"/>
  <c r="V89" i="1"/>
  <c r="AB89" i="1"/>
  <c r="AC89" i="1"/>
  <c r="AD89" i="1"/>
  <c r="AG89" i="1"/>
  <c r="AH89" i="1"/>
  <c r="AI89" i="1"/>
  <c r="AJ89" i="1"/>
  <c r="AK89" i="1"/>
  <c r="AM89" i="1"/>
  <c r="AN89" i="1"/>
  <c r="AO89" i="1"/>
  <c r="AP89" i="1"/>
  <c r="AQ89" i="1"/>
  <c r="A90" i="1"/>
  <c r="B90" i="1"/>
  <c r="C90" i="1"/>
  <c r="D90" i="1"/>
  <c r="E90" i="1"/>
  <c r="F90" i="1"/>
  <c r="G90" i="1"/>
  <c r="K90" i="1"/>
  <c r="N90" i="1"/>
  <c r="O90" i="1"/>
  <c r="V90" i="1"/>
  <c r="AB90" i="1"/>
  <c r="AC90" i="1"/>
  <c r="AD90" i="1"/>
  <c r="AG90" i="1"/>
  <c r="AH90" i="1"/>
  <c r="AI90" i="1"/>
  <c r="AJ90" i="1"/>
  <c r="AK90" i="1"/>
  <c r="AM90" i="1"/>
  <c r="AN90" i="1"/>
  <c r="AO90" i="1"/>
  <c r="AP90" i="1"/>
  <c r="AQ90" i="1"/>
  <c r="A91" i="1"/>
  <c r="B91" i="1"/>
  <c r="C91" i="1"/>
  <c r="D91" i="1"/>
  <c r="E91" i="1"/>
  <c r="F91" i="1"/>
  <c r="G91" i="1"/>
  <c r="K91" i="1"/>
  <c r="N91" i="1"/>
  <c r="O91" i="1"/>
  <c r="V91" i="1"/>
  <c r="AB91" i="1"/>
  <c r="AC91" i="1"/>
  <c r="AD91" i="1"/>
  <c r="AG91" i="1"/>
  <c r="AH91" i="1"/>
  <c r="AI91" i="1"/>
  <c r="AJ91" i="1"/>
  <c r="AK91" i="1"/>
  <c r="AM91" i="1"/>
  <c r="AN91" i="1"/>
  <c r="AO91" i="1"/>
  <c r="AP91" i="1"/>
  <c r="AQ91" i="1"/>
  <c r="A92" i="1"/>
  <c r="B92" i="1"/>
  <c r="C92" i="1"/>
  <c r="D92" i="1"/>
  <c r="E92" i="1"/>
  <c r="F92" i="1"/>
  <c r="G92" i="1"/>
  <c r="K92" i="1"/>
  <c r="N92" i="1"/>
  <c r="O92" i="1"/>
  <c r="V92" i="1"/>
  <c r="AB92" i="1"/>
  <c r="AC92" i="1"/>
  <c r="AD92" i="1"/>
  <c r="AG92" i="1"/>
  <c r="AH92" i="1"/>
  <c r="AI92" i="1"/>
  <c r="AJ92" i="1"/>
  <c r="AK92" i="1"/>
  <c r="AM92" i="1"/>
  <c r="AN92" i="1"/>
  <c r="AO92" i="1"/>
  <c r="AP92" i="1"/>
  <c r="AQ92" i="1"/>
  <c r="A93" i="1"/>
  <c r="B93" i="1"/>
  <c r="C93" i="1"/>
  <c r="D93" i="1"/>
  <c r="E93" i="1"/>
  <c r="F93" i="1"/>
  <c r="G93" i="1"/>
  <c r="K93" i="1"/>
  <c r="N93" i="1"/>
  <c r="O93" i="1"/>
  <c r="V93" i="1"/>
  <c r="AB93" i="1"/>
  <c r="AC93" i="1"/>
  <c r="AD93" i="1"/>
  <c r="AE93" i="1"/>
  <c r="AG93" i="1"/>
  <c r="AH93" i="1"/>
  <c r="AI93" i="1"/>
  <c r="AJ93" i="1"/>
  <c r="AK93" i="1"/>
  <c r="AM93" i="1"/>
  <c r="AN93" i="1"/>
  <c r="AO93" i="1"/>
  <c r="AP93" i="1"/>
  <c r="AQ93" i="1"/>
  <c r="A94" i="1"/>
  <c r="B94" i="1"/>
  <c r="C94" i="1"/>
  <c r="D94" i="1"/>
  <c r="E94" i="1"/>
  <c r="F94" i="1"/>
  <c r="G94" i="1"/>
  <c r="K94" i="1"/>
  <c r="N94" i="1"/>
  <c r="O94" i="1"/>
  <c r="V94" i="1"/>
  <c r="AB94" i="1"/>
  <c r="AC94" i="1"/>
  <c r="AD94" i="1"/>
  <c r="AG94" i="1"/>
  <c r="AH94" i="1"/>
  <c r="AI94" i="1"/>
  <c r="AJ94" i="1"/>
  <c r="AK94" i="1"/>
  <c r="AM94" i="1"/>
  <c r="AN94" i="1"/>
  <c r="AO94" i="1"/>
  <c r="AP94" i="1"/>
  <c r="AQ94" i="1"/>
  <c r="A95" i="1"/>
  <c r="B95" i="1"/>
  <c r="C95" i="1"/>
  <c r="D95" i="1"/>
  <c r="E95" i="1"/>
  <c r="F95" i="1"/>
  <c r="G95" i="1"/>
  <c r="K95" i="1"/>
  <c r="N95" i="1"/>
  <c r="O95" i="1"/>
  <c r="V95" i="1"/>
  <c r="AB95" i="1"/>
  <c r="AC95" i="1"/>
  <c r="AD95" i="1"/>
  <c r="AG95" i="1"/>
  <c r="AH95" i="1"/>
  <c r="AI95" i="1"/>
  <c r="AJ95" i="1"/>
  <c r="AK95" i="1"/>
  <c r="AM95" i="1"/>
  <c r="AN95" i="1"/>
  <c r="AO95" i="1"/>
  <c r="AP95" i="1"/>
  <c r="AQ95" i="1"/>
  <c r="A96" i="1"/>
  <c r="B96" i="1"/>
  <c r="C96" i="1"/>
  <c r="D96" i="1"/>
  <c r="E96" i="1"/>
  <c r="F96" i="1"/>
  <c r="G96" i="1"/>
  <c r="K96" i="1"/>
  <c r="N96" i="1"/>
  <c r="O96" i="1"/>
  <c r="S96" i="1"/>
  <c r="U96" i="1"/>
  <c r="V96" i="1"/>
  <c r="AB96" i="1"/>
  <c r="AC96" i="1"/>
  <c r="AD96" i="1"/>
  <c r="AG96" i="1"/>
  <c r="AH96" i="1"/>
  <c r="AI96" i="1"/>
  <c r="AJ96" i="1"/>
  <c r="AK96" i="1"/>
  <c r="AM96" i="1"/>
  <c r="AN96" i="1"/>
  <c r="AO96" i="1"/>
  <c r="AP96" i="1"/>
  <c r="AQ96" i="1"/>
  <c r="A97" i="1"/>
  <c r="B97" i="1"/>
  <c r="C97" i="1"/>
  <c r="D97" i="1"/>
  <c r="E97" i="1"/>
  <c r="F97" i="1"/>
  <c r="G97" i="1"/>
  <c r="K97" i="1"/>
  <c r="N97" i="1"/>
  <c r="O97" i="1"/>
  <c r="V97" i="1"/>
  <c r="AB97" i="1"/>
  <c r="AC97" i="1"/>
  <c r="AD97" i="1"/>
  <c r="AG97" i="1"/>
  <c r="AH97" i="1"/>
  <c r="AI97" i="1"/>
  <c r="AJ97" i="1"/>
  <c r="AK97" i="1"/>
  <c r="AM97" i="1"/>
  <c r="AN97" i="1"/>
  <c r="AO97" i="1"/>
  <c r="AP97" i="1"/>
  <c r="AQ97" i="1"/>
  <c r="A98" i="1"/>
  <c r="B98" i="1"/>
  <c r="C98" i="1"/>
  <c r="D98" i="1"/>
  <c r="E98" i="1"/>
  <c r="F98" i="1"/>
  <c r="G98" i="1"/>
  <c r="K98" i="1"/>
  <c r="N98" i="1"/>
  <c r="O98" i="1"/>
  <c r="S98" i="1"/>
  <c r="U98" i="1"/>
  <c r="V98" i="1"/>
  <c r="AB98" i="1"/>
  <c r="AC98" i="1"/>
  <c r="AD98" i="1"/>
  <c r="AG98" i="1"/>
  <c r="AH98" i="1"/>
  <c r="AI98" i="1"/>
  <c r="AJ98" i="1"/>
  <c r="AK98" i="1"/>
  <c r="AM98" i="1"/>
  <c r="AN98" i="1"/>
  <c r="AO98" i="1"/>
  <c r="AP98" i="1"/>
  <c r="AQ98" i="1"/>
  <c r="A99" i="1"/>
  <c r="B99" i="1"/>
  <c r="C99" i="1"/>
  <c r="D99" i="1"/>
  <c r="E99" i="1"/>
  <c r="F99" i="1"/>
  <c r="G99" i="1"/>
  <c r="K99" i="1"/>
  <c r="N99" i="1"/>
  <c r="O99" i="1"/>
  <c r="V99" i="1"/>
  <c r="AB99" i="1"/>
  <c r="AC99" i="1"/>
  <c r="AD99" i="1"/>
  <c r="AG99" i="1"/>
  <c r="AH99" i="1"/>
  <c r="AI99" i="1"/>
  <c r="AJ99" i="1"/>
  <c r="AK99" i="1"/>
  <c r="AM99" i="1"/>
  <c r="AN99" i="1"/>
  <c r="AO99" i="1"/>
  <c r="AP99" i="1"/>
  <c r="AQ99" i="1"/>
  <c r="A100" i="1"/>
  <c r="B100" i="1"/>
  <c r="C100" i="1"/>
  <c r="D100" i="1"/>
  <c r="E100" i="1"/>
  <c r="F100" i="1"/>
  <c r="G100" i="1"/>
  <c r="K100" i="1"/>
  <c r="N100" i="1"/>
  <c r="O100" i="1"/>
  <c r="V100" i="1"/>
  <c r="AB100" i="1"/>
  <c r="AC100" i="1"/>
  <c r="AD100" i="1"/>
  <c r="AG100" i="1"/>
  <c r="AH100" i="1"/>
  <c r="AI100" i="1"/>
  <c r="AJ100" i="1"/>
  <c r="AK100" i="1"/>
  <c r="AM100" i="1"/>
  <c r="AN100" i="1"/>
  <c r="AO100" i="1"/>
  <c r="AP100" i="1"/>
  <c r="AQ100" i="1"/>
  <c r="A101" i="1"/>
  <c r="B101" i="1"/>
  <c r="C101" i="1"/>
  <c r="D101" i="1"/>
  <c r="E101" i="1"/>
  <c r="F101" i="1"/>
  <c r="G101" i="1"/>
  <c r="K101" i="1"/>
  <c r="N101" i="1"/>
  <c r="O101" i="1"/>
  <c r="V101" i="1"/>
  <c r="AB101" i="1"/>
  <c r="AC101" i="1"/>
  <c r="AD101" i="1"/>
  <c r="AG101" i="1"/>
  <c r="AH101" i="1"/>
  <c r="AI101" i="1"/>
  <c r="AJ101" i="1"/>
  <c r="AK101" i="1"/>
  <c r="AM101" i="1"/>
  <c r="AN101" i="1"/>
  <c r="AO101" i="1"/>
  <c r="AP101" i="1"/>
  <c r="AQ101" i="1"/>
  <c r="A102" i="1"/>
  <c r="B102" i="1"/>
  <c r="C102" i="1"/>
  <c r="D102" i="1"/>
  <c r="E102" i="1"/>
  <c r="F102" i="1"/>
  <c r="G102" i="1"/>
  <c r="K102" i="1"/>
  <c r="N102" i="1"/>
  <c r="O102" i="1"/>
  <c r="S102" i="1"/>
  <c r="U102" i="1"/>
  <c r="V102" i="1"/>
  <c r="AB102" i="1"/>
  <c r="AC102" i="1"/>
  <c r="AD102" i="1"/>
  <c r="AI102" i="1"/>
  <c r="AJ102" i="1"/>
  <c r="AK102" i="1"/>
  <c r="AM102" i="1"/>
  <c r="AN102" i="1"/>
  <c r="AO102" i="1"/>
  <c r="AP102" i="1"/>
  <c r="AQ102" i="1"/>
  <c r="A103" i="1"/>
  <c r="B103" i="1"/>
  <c r="C103" i="1"/>
  <c r="D103" i="1"/>
  <c r="E103" i="1"/>
  <c r="F103" i="1"/>
  <c r="G103" i="1"/>
  <c r="K103" i="1"/>
  <c r="N103" i="1"/>
  <c r="O103" i="1"/>
  <c r="V103" i="1"/>
  <c r="AB103" i="1"/>
  <c r="AC103" i="1"/>
  <c r="AD103" i="1"/>
  <c r="AG103" i="1"/>
  <c r="AH103" i="1"/>
  <c r="AI103" i="1"/>
  <c r="AJ103" i="1"/>
  <c r="AK103" i="1"/>
  <c r="AM103" i="1"/>
  <c r="AN103" i="1"/>
  <c r="AO103" i="1"/>
  <c r="AP103" i="1"/>
  <c r="AQ103" i="1"/>
  <c r="A104" i="1"/>
  <c r="B104" i="1"/>
  <c r="C104" i="1"/>
  <c r="D104" i="1"/>
  <c r="E104" i="1"/>
  <c r="F104" i="1"/>
  <c r="G104" i="1"/>
  <c r="K104" i="1"/>
  <c r="N104" i="1"/>
  <c r="O104" i="1"/>
  <c r="V104" i="1"/>
  <c r="AB104" i="1"/>
  <c r="AC104" i="1"/>
  <c r="AD104" i="1"/>
  <c r="AG104" i="1"/>
  <c r="AH104" i="1"/>
  <c r="AI104" i="1"/>
  <c r="AJ104" i="1"/>
  <c r="AK104" i="1"/>
  <c r="AM104" i="1"/>
  <c r="AN104" i="1"/>
  <c r="AO104" i="1"/>
  <c r="AP104" i="1"/>
  <c r="AQ104" i="1"/>
  <c r="A105" i="1"/>
  <c r="B105" i="1"/>
  <c r="C105" i="1"/>
  <c r="D105" i="1"/>
  <c r="E105" i="1"/>
  <c r="F105" i="1"/>
  <c r="G105" i="1"/>
  <c r="K105" i="1"/>
  <c r="N105" i="1"/>
  <c r="O105" i="1"/>
  <c r="V105" i="1"/>
  <c r="AB105" i="1"/>
  <c r="AC105" i="1"/>
  <c r="AD105" i="1"/>
  <c r="AG105" i="1"/>
  <c r="AH105" i="1"/>
  <c r="AI105" i="1"/>
  <c r="AJ105" i="1"/>
  <c r="AK105" i="1"/>
  <c r="AM105" i="1"/>
  <c r="AN105" i="1"/>
  <c r="AO105" i="1"/>
  <c r="AP105" i="1"/>
  <c r="AQ105" i="1"/>
  <c r="A106" i="1"/>
  <c r="B106" i="1"/>
  <c r="C106" i="1"/>
  <c r="D106" i="1"/>
  <c r="E106" i="1"/>
  <c r="F106" i="1"/>
  <c r="G106" i="1"/>
  <c r="K106" i="1"/>
  <c r="N106" i="1"/>
  <c r="O106" i="1"/>
  <c r="V106" i="1"/>
  <c r="AB106" i="1"/>
  <c r="AC106" i="1"/>
  <c r="AD106" i="1"/>
  <c r="AG106" i="1"/>
  <c r="AH106" i="1"/>
  <c r="AI106" i="1"/>
  <c r="AJ106" i="1"/>
  <c r="AK106" i="1"/>
  <c r="AM106" i="1"/>
  <c r="AN106" i="1"/>
  <c r="AO106" i="1"/>
  <c r="AP106" i="1"/>
  <c r="AQ106" i="1"/>
  <c r="A107" i="1"/>
  <c r="B107" i="1"/>
  <c r="C107" i="1"/>
  <c r="D107" i="1"/>
  <c r="E107" i="1"/>
  <c r="F107" i="1"/>
  <c r="G107" i="1"/>
  <c r="K107" i="1"/>
  <c r="N107" i="1"/>
  <c r="O107" i="1"/>
  <c r="S107" i="1"/>
  <c r="U107" i="1"/>
  <c r="V107" i="1"/>
  <c r="AB107" i="1"/>
  <c r="AC107" i="1"/>
  <c r="AD107" i="1"/>
  <c r="AG107" i="1"/>
  <c r="AH107" i="1"/>
  <c r="AI107" i="1"/>
  <c r="AJ107" i="1"/>
  <c r="AK107" i="1"/>
  <c r="AM107" i="1"/>
  <c r="AN107" i="1"/>
  <c r="AO107" i="1"/>
  <c r="AP107" i="1"/>
  <c r="AQ107" i="1"/>
  <c r="A108" i="1"/>
  <c r="B108" i="1"/>
  <c r="C108" i="1"/>
  <c r="D108" i="1"/>
  <c r="E108" i="1"/>
  <c r="F108" i="1"/>
  <c r="G108" i="1"/>
  <c r="K108" i="1"/>
  <c r="N108" i="1"/>
  <c r="O108" i="1"/>
  <c r="V108" i="1"/>
  <c r="AB108" i="1"/>
  <c r="AC108" i="1"/>
  <c r="AD108" i="1"/>
  <c r="AG108" i="1"/>
  <c r="AH108" i="1"/>
  <c r="AI108" i="1"/>
  <c r="AJ108" i="1"/>
  <c r="AK108" i="1"/>
  <c r="AM108" i="1"/>
  <c r="AN108" i="1"/>
  <c r="AO108" i="1"/>
  <c r="AP108" i="1"/>
  <c r="AQ108" i="1"/>
  <c r="A109" i="1"/>
  <c r="B109" i="1"/>
  <c r="C109" i="1"/>
  <c r="D109" i="1"/>
  <c r="E109" i="1"/>
  <c r="F109" i="1"/>
  <c r="G109" i="1"/>
  <c r="K109" i="1"/>
  <c r="N109" i="1"/>
  <c r="O109" i="1"/>
  <c r="S109" i="1"/>
  <c r="U109" i="1"/>
  <c r="V109" i="1"/>
  <c r="AB109" i="1"/>
  <c r="AC109" i="1"/>
  <c r="AD109" i="1"/>
  <c r="AG109" i="1"/>
  <c r="AH109" i="1"/>
  <c r="AI109" i="1"/>
  <c r="AJ109" i="1"/>
  <c r="AK109" i="1"/>
  <c r="AM109" i="1"/>
  <c r="AN109" i="1"/>
  <c r="AO109" i="1"/>
  <c r="AP109" i="1"/>
  <c r="AQ109" i="1"/>
  <c r="A110" i="1"/>
  <c r="B110" i="1"/>
  <c r="C110" i="1"/>
  <c r="D110" i="1"/>
  <c r="E110" i="1"/>
  <c r="F110" i="1"/>
  <c r="G110" i="1"/>
  <c r="K110" i="1"/>
  <c r="N110" i="1"/>
  <c r="O110" i="1"/>
  <c r="V110" i="1"/>
  <c r="AB110" i="1"/>
  <c r="AC110" i="1"/>
  <c r="AD110" i="1"/>
  <c r="AG110" i="1"/>
  <c r="AH110" i="1"/>
  <c r="AI110" i="1"/>
  <c r="AJ110" i="1"/>
  <c r="AK110" i="1"/>
  <c r="AM110" i="1"/>
  <c r="AN110" i="1"/>
  <c r="AO110" i="1"/>
  <c r="AP110" i="1"/>
  <c r="AQ110" i="1"/>
  <c r="A111" i="1"/>
  <c r="B111" i="1"/>
  <c r="C111" i="1"/>
  <c r="D111" i="1"/>
  <c r="E111" i="1"/>
  <c r="F111" i="1"/>
  <c r="G111" i="1"/>
  <c r="K111" i="1"/>
  <c r="N111" i="1"/>
  <c r="O111" i="1"/>
  <c r="V111" i="1"/>
  <c r="AB111" i="1"/>
  <c r="AC111" i="1"/>
  <c r="AD111" i="1"/>
  <c r="AG111" i="1"/>
  <c r="AH111" i="1"/>
  <c r="AI111" i="1"/>
  <c r="AJ111" i="1"/>
  <c r="AK111" i="1"/>
  <c r="AM111" i="1"/>
  <c r="AN111" i="1"/>
  <c r="AO111" i="1"/>
  <c r="AP111" i="1"/>
  <c r="AQ111" i="1"/>
  <c r="A112" i="1"/>
  <c r="B112" i="1"/>
  <c r="C112" i="1"/>
  <c r="D112" i="1"/>
  <c r="E112" i="1"/>
  <c r="F112" i="1"/>
  <c r="G112" i="1"/>
  <c r="K112" i="1"/>
  <c r="N112" i="1"/>
  <c r="O112" i="1"/>
  <c r="V112" i="1"/>
  <c r="AB112" i="1"/>
  <c r="AC112" i="1"/>
  <c r="AD112" i="1"/>
  <c r="AG112" i="1"/>
  <c r="AH112" i="1"/>
  <c r="AI112" i="1"/>
  <c r="AJ112" i="1"/>
  <c r="AK112" i="1"/>
  <c r="AM112" i="1"/>
  <c r="AN112" i="1"/>
  <c r="AO112" i="1"/>
  <c r="AP112" i="1"/>
  <c r="AQ112" i="1"/>
  <c r="A113" i="1"/>
  <c r="B113" i="1"/>
  <c r="C113" i="1"/>
  <c r="D113" i="1"/>
  <c r="E113" i="1"/>
  <c r="F113" i="1"/>
  <c r="G113" i="1"/>
  <c r="K113" i="1"/>
  <c r="N113" i="1"/>
  <c r="O113" i="1"/>
  <c r="V113" i="1"/>
  <c r="AB113" i="1"/>
  <c r="AC113" i="1"/>
  <c r="AD113" i="1"/>
  <c r="AG113" i="1"/>
  <c r="AH113" i="1"/>
  <c r="AI113" i="1"/>
  <c r="AJ113" i="1"/>
  <c r="AK113" i="1"/>
  <c r="AM113" i="1"/>
  <c r="AN113" i="1"/>
  <c r="AO113" i="1"/>
  <c r="AP113" i="1"/>
  <c r="AQ113" i="1"/>
  <c r="A114" i="1"/>
  <c r="B114" i="1"/>
  <c r="C114" i="1"/>
  <c r="D114" i="1"/>
  <c r="E114" i="1"/>
  <c r="F114" i="1"/>
  <c r="G114" i="1"/>
  <c r="K114" i="1"/>
  <c r="N114" i="1"/>
  <c r="O114" i="1"/>
  <c r="V114" i="1"/>
  <c r="AB114" i="1"/>
  <c r="AC114" i="1"/>
  <c r="AD114" i="1"/>
  <c r="AG114" i="1"/>
  <c r="AH114" i="1"/>
  <c r="AI114" i="1"/>
  <c r="AJ114" i="1"/>
  <c r="AK114" i="1"/>
  <c r="AM114" i="1"/>
  <c r="AN114" i="1"/>
  <c r="AO114" i="1"/>
  <c r="AP114" i="1"/>
  <c r="AQ114" i="1"/>
  <c r="A115" i="1"/>
  <c r="B115" i="1"/>
  <c r="C115" i="1"/>
  <c r="D115" i="1"/>
  <c r="E115" i="1"/>
  <c r="F115" i="1"/>
  <c r="G115" i="1"/>
  <c r="K115" i="1"/>
  <c r="N115" i="1"/>
  <c r="O115" i="1"/>
  <c r="S115" i="1"/>
  <c r="U115" i="1"/>
  <c r="V115" i="1"/>
  <c r="AB115" i="1"/>
  <c r="AC115" i="1"/>
  <c r="AD115" i="1"/>
  <c r="AG115" i="1"/>
  <c r="AH115" i="1"/>
  <c r="AI115" i="1"/>
  <c r="AJ115" i="1"/>
  <c r="AK115" i="1"/>
  <c r="AM115" i="1"/>
  <c r="AN115" i="1"/>
  <c r="AO115" i="1"/>
  <c r="AP115" i="1"/>
  <c r="AQ115" i="1"/>
  <c r="A116" i="1"/>
  <c r="B116" i="1"/>
  <c r="C116" i="1"/>
  <c r="D116" i="1"/>
  <c r="E116" i="1"/>
  <c r="F116" i="1"/>
  <c r="G116" i="1"/>
  <c r="K116" i="1"/>
  <c r="N116" i="1"/>
  <c r="O116" i="1"/>
  <c r="V116" i="1"/>
  <c r="AB116" i="1"/>
  <c r="AC116" i="1"/>
  <c r="AD116" i="1"/>
  <c r="AG116" i="1"/>
  <c r="AH116" i="1"/>
  <c r="AI116" i="1"/>
  <c r="AJ116" i="1"/>
  <c r="AK116" i="1"/>
  <c r="AM116" i="1"/>
  <c r="AN116" i="1"/>
  <c r="AO116" i="1"/>
  <c r="AP116" i="1"/>
  <c r="AQ116" i="1"/>
  <c r="A117" i="1"/>
  <c r="B117" i="1"/>
  <c r="C117" i="1"/>
  <c r="D117" i="1"/>
  <c r="E117" i="1"/>
  <c r="F117" i="1"/>
  <c r="G117" i="1"/>
  <c r="K117" i="1"/>
  <c r="N117" i="1"/>
  <c r="O117" i="1"/>
  <c r="S117" i="1"/>
  <c r="U117" i="1"/>
  <c r="V117" i="1"/>
  <c r="AB117" i="1"/>
  <c r="AC117" i="1"/>
  <c r="AD117" i="1"/>
  <c r="AG117" i="1"/>
  <c r="AH117" i="1"/>
  <c r="AI117" i="1"/>
  <c r="AJ117" i="1"/>
  <c r="AK117" i="1"/>
  <c r="AM117" i="1"/>
  <c r="AN117" i="1"/>
  <c r="AO117" i="1"/>
  <c r="AP117" i="1"/>
  <c r="AQ117" i="1"/>
  <c r="A118" i="1"/>
  <c r="B118" i="1"/>
  <c r="C118" i="1"/>
  <c r="D118" i="1"/>
  <c r="E118" i="1"/>
  <c r="F118" i="1"/>
  <c r="G118" i="1"/>
  <c r="K118" i="1"/>
  <c r="L118" i="1"/>
  <c r="M118" i="1"/>
  <c r="N118" i="1"/>
  <c r="O118" i="1"/>
  <c r="S118" i="1"/>
  <c r="U118" i="1"/>
  <c r="V118" i="1"/>
  <c r="AB118" i="1"/>
  <c r="AC118" i="1"/>
  <c r="AD118" i="1"/>
  <c r="AE118" i="1"/>
  <c r="AG118" i="1"/>
  <c r="AH118" i="1"/>
  <c r="AI118" i="1"/>
  <c r="AJ118" i="1"/>
  <c r="AK118" i="1"/>
  <c r="AM118" i="1"/>
  <c r="AN118" i="1"/>
  <c r="AO118" i="1"/>
  <c r="AP118" i="1"/>
  <c r="AQ118" i="1"/>
  <c r="A119" i="1"/>
  <c r="B119" i="1"/>
  <c r="C119" i="1"/>
  <c r="D119" i="1"/>
  <c r="E119" i="1"/>
  <c r="F119" i="1"/>
  <c r="G119" i="1"/>
  <c r="K119" i="1"/>
  <c r="L119" i="1"/>
  <c r="M119" i="1"/>
  <c r="N119" i="1"/>
  <c r="O119" i="1"/>
  <c r="V119" i="1"/>
  <c r="AB119" i="1"/>
  <c r="AC119" i="1"/>
  <c r="AD119" i="1"/>
  <c r="AG119" i="1"/>
  <c r="AH119" i="1"/>
  <c r="AI119" i="1"/>
  <c r="AJ119" i="1"/>
  <c r="AK119" i="1"/>
  <c r="AM119" i="1"/>
  <c r="AN119" i="1"/>
  <c r="AO119" i="1"/>
  <c r="AP119" i="1"/>
  <c r="AQ119" i="1"/>
  <c r="A120" i="1"/>
  <c r="B120" i="1"/>
  <c r="C120" i="1"/>
  <c r="D120" i="1"/>
  <c r="E120" i="1"/>
  <c r="F120" i="1"/>
  <c r="G120" i="1"/>
  <c r="K120" i="1"/>
  <c r="N120" i="1"/>
  <c r="O120" i="1"/>
  <c r="V120" i="1"/>
  <c r="AB120" i="1"/>
  <c r="AC120" i="1"/>
  <c r="AD120" i="1"/>
  <c r="AG120" i="1"/>
  <c r="AH120" i="1"/>
  <c r="AI120" i="1"/>
  <c r="AJ120" i="1"/>
  <c r="AK120" i="1"/>
  <c r="AM120" i="1"/>
  <c r="AN120" i="1"/>
  <c r="AO120" i="1"/>
  <c r="AP120" i="1"/>
  <c r="AQ120" i="1"/>
  <c r="A121" i="1"/>
  <c r="B121" i="1"/>
  <c r="C121" i="1"/>
  <c r="D121" i="1"/>
  <c r="E121" i="1"/>
  <c r="F121" i="1"/>
  <c r="G121" i="1"/>
  <c r="N121" i="1"/>
  <c r="O121" i="1"/>
  <c r="S121" i="1"/>
  <c r="U121" i="1"/>
  <c r="V121" i="1"/>
  <c r="AB121" i="1"/>
  <c r="AC121" i="1"/>
  <c r="AD121" i="1"/>
  <c r="AI121" i="1"/>
  <c r="AJ121" i="1"/>
  <c r="AK121" i="1"/>
  <c r="AM121" i="1"/>
  <c r="AN121" i="1"/>
  <c r="AO121" i="1"/>
  <c r="AP121" i="1"/>
  <c r="AQ121" i="1"/>
  <c r="A122" i="1"/>
  <c r="B122" i="1"/>
  <c r="C122" i="1"/>
  <c r="D122" i="1"/>
  <c r="E122" i="1"/>
  <c r="F122" i="1"/>
  <c r="G122" i="1"/>
  <c r="K122" i="1"/>
  <c r="N122" i="1"/>
  <c r="O122" i="1"/>
  <c r="V122" i="1"/>
  <c r="AB122" i="1"/>
  <c r="AC122" i="1"/>
  <c r="AD122" i="1"/>
  <c r="AG122" i="1"/>
  <c r="AH122" i="1"/>
  <c r="AI122" i="1"/>
  <c r="AJ122" i="1"/>
  <c r="AK122" i="1"/>
  <c r="AM122" i="1"/>
  <c r="AN122" i="1"/>
  <c r="AO122" i="1"/>
  <c r="AP122" i="1"/>
  <c r="AQ122" i="1"/>
  <c r="A123" i="1"/>
  <c r="B123" i="1"/>
  <c r="C123" i="1"/>
  <c r="D123" i="1"/>
  <c r="E123" i="1"/>
  <c r="F123" i="1"/>
  <c r="G123" i="1"/>
  <c r="N123" i="1"/>
  <c r="S123" i="1"/>
  <c r="U123" i="1"/>
  <c r="V123" i="1"/>
  <c r="AB123" i="1"/>
  <c r="AC123" i="1"/>
  <c r="AD123" i="1"/>
  <c r="AG123" i="1"/>
  <c r="AH123" i="1"/>
  <c r="AI123" i="1"/>
  <c r="AJ123" i="1"/>
  <c r="AK123" i="1"/>
  <c r="AM123" i="1"/>
  <c r="AN123" i="1"/>
  <c r="AO123" i="1"/>
  <c r="AP123" i="1"/>
  <c r="AQ123" i="1"/>
  <c r="A124" i="1"/>
  <c r="B124" i="1"/>
  <c r="C124" i="1"/>
  <c r="D124" i="1"/>
  <c r="E124" i="1"/>
  <c r="F124" i="1"/>
  <c r="G124" i="1"/>
  <c r="K124" i="1"/>
  <c r="L124" i="1"/>
  <c r="M124" i="1"/>
  <c r="N124" i="1"/>
  <c r="O124" i="1"/>
  <c r="S124" i="1"/>
  <c r="U124" i="1"/>
  <c r="V124" i="1"/>
  <c r="AB124" i="1"/>
  <c r="AC124" i="1"/>
  <c r="AD124" i="1"/>
  <c r="AE124" i="1"/>
  <c r="AG124" i="1"/>
  <c r="AH124" i="1"/>
  <c r="AI124" i="1"/>
  <c r="AJ124" i="1"/>
  <c r="AK124" i="1"/>
  <c r="AM124" i="1"/>
  <c r="AN124" i="1"/>
  <c r="AO124" i="1"/>
  <c r="AP124" i="1"/>
  <c r="AQ124" i="1"/>
  <c r="A125" i="1"/>
  <c r="B125" i="1"/>
  <c r="C125" i="1"/>
  <c r="D125" i="1"/>
  <c r="E125" i="1"/>
  <c r="F125" i="1"/>
  <c r="G125" i="1"/>
  <c r="N125" i="1"/>
  <c r="O125" i="1"/>
  <c r="V125" i="1"/>
  <c r="AB125" i="1"/>
  <c r="AC125" i="1"/>
  <c r="AD125" i="1"/>
  <c r="AG125" i="1"/>
  <c r="AH125" i="1"/>
  <c r="AI125" i="1"/>
  <c r="AJ125" i="1"/>
  <c r="AK125" i="1"/>
  <c r="AM125" i="1"/>
  <c r="AN125" i="1"/>
  <c r="AO125" i="1"/>
  <c r="AP125" i="1"/>
  <c r="AQ125" i="1"/>
  <c r="A126" i="1"/>
  <c r="B126" i="1"/>
  <c r="C126" i="1"/>
  <c r="D126" i="1"/>
  <c r="E126" i="1"/>
  <c r="F126" i="1"/>
  <c r="G126" i="1"/>
  <c r="N126" i="1"/>
  <c r="O126" i="1"/>
  <c r="V126" i="1"/>
  <c r="AB126" i="1"/>
  <c r="AC126" i="1"/>
  <c r="AD126" i="1"/>
  <c r="AG126" i="1"/>
  <c r="AH126" i="1"/>
  <c r="AI126" i="1"/>
  <c r="AJ126" i="1"/>
  <c r="AK126" i="1"/>
  <c r="AM126" i="1"/>
  <c r="AN126" i="1"/>
  <c r="AO126" i="1"/>
  <c r="AP126" i="1"/>
  <c r="AQ126" i="1"/>
  <c r="A127" i="1"/>
  <c r="B127" i="1"/>
  <c r="C127" i="1"/>
  <c r="D127" i="1"/>
  <c r="E127" i="1"/>
  <c r="F127" i="1"/>
  <c r="G127" i="1"/>
  <c r="K127" i="1"/>
  <c r="N127" i="1"/>
  <c r="O127" i="1"/>
  <c r="S127" i="1"/>
  <c r="U127" i="1"/>
  <c r="V127" i="1"/>
  <c r="AB127" i="1"/>
  <c r="AC127" i="1"/>
  <c r="AD127" i="1"/>
  <c r="AI127" i="1"/>
  <c r="AJ127" i="1"/>
  <c r="AK127" i="1"/>
  <c r="AM127" i="1"/>
  <c r="AN127" i="1"/>
  <c r="AO127" i="1"/>
  <c r="AP127" i="1"/>
  <c r="AQ127" i="1"/>
  <c r="A128" i="1"/>
  <c r="B128" i="1"/>
  <c r="C128" i="1"/>
  <c r="D128" i="1"/>
  <c r="E128" i="1"/>
  <c r="F128" i="1"/>
  <c r="G128" i="1"/>
  <c r="K128" i="1"/>
  <c r="N128" i="1"/>
  <c r="O128" i="1"/>
  <c r="V128" i="1"/>
  <c r="AB128" i="1"/>
  <c r="AC128" i="1"/>
  <c r="AD128" i="1"/>
  <c r="AG128" i="1"/>
  <c r="AH128" i="1"/>
  <c r="AI128" i="1"/>
  <c r="AJ128" i="1"/>
  <c r="AK128" i="1"/>
  <c r="AM128" i="1"/>
  <c r="AN128" i="1"/>
  <c r="AO128" i="1"/>
  <c r="AP128" i="1"/>
  <c r="AQ128" i="1"/>
  <c r="A129" i="1"/>
  <c r="B129" i="1"/>
  <c r="C129" i="1"/>
  <c r="D129" i="1"/>
  <c r="E129" i="1"/>
  <c r="F129" i="1"/>
  <c r="G129" i="1"/>
  <c r="K129" i="1"/>
  <c r="L129" i="1"/>
  <c r="M129" i="1"/>
  <c r="N129" i="1"/>
  <c r="O129" i="1"/>
  <c r="S129" i="1"/>
  <c r="U129" i="1"/>
  <c r="V129" i="1"/>
  <c r="AB129" i="1"/>
  <c r="AC129" i="1"/>
  <c r="AD129" i="1"/>
  <c r="AE129" i="1"/>
  <c r="AG129" i="1"/>
  <c r="AH129" i="1"/>
  <c r="AI129" i="1"/>
  <c r="AJ129" i="1"/>
  <c r="AK129" i="1"/>
  <c r="AM129" i="1"/>
  <c r="AN129" i="1"/>
  <c r="AO129" i="1"/>
  <c r="AP129" i="1"/>
  <c r="AQ129" i="1"/>
  <c r="A130" i="1"/>
  <c r="B130" i="1"/>
  <c r="C130" i="1"/>
  <c r="D130" i="1"/>
  <c r="E130" i="1"/>
  <c r="F130" i="1"/>
  <c r="G130" i="1"/>
  <c r="K130" i="1"/>
  <c r="L130" i="1"/>
  <c r="N130" i="1"/>
  <c r="O130" i="1"/>
  <c r="V130" i="1"/>
  <c r="AB130" i="1"/>
  <c r="AC130" i="1"/>
  <c r="AD130" i="1"/>
  <c r="AG130" i="1"/>
  <c r="AH130" i="1"/>
  <c r="AI130" i="1"/>
  <c r="AJ130" i="1"/>
  <c r="AK130" i="1"/>
  <c r="AM130" i="1"/>
  <c r="AN130" i="1"/>
  <c r="AO130" i="1"/>
  <c r="AP130" i="1"/>
  <c r="AQ130" i="1"/>
  <c r="A131" i="1"/>
  <c r="B131" i="1"/>
  <c r="C131" i="1"/>
  <c r="D131" i="1"/>
  <c r="E131" i="1"/>
  <c r="F131" i="1"/>
  <c r="G131" i="1"/>
  <c r="K131" i="1"/>
  <c r="N131" i="1"/>
  <c r="O131" i="1"/>
  <c r="V131" i="1"/>
  <c r="AB131" i="1"/>
  <c r="AC131" i="1"/>
  <c r="AD131" i="1"/>
  <c r="AG131" i="1"/>
  <c r="AH131" i="1"/>
  <c r="AI131" i="1"/>
  <c r="AJ131" i="1"/>
  <c r="AK131" i="1"/>
  <c r="AM131" i="1"/>
  <c r="AN131" i="1"/>
  <c r="AO131" i="1"/>
  <c r="AP131" i="1"/>
  <c r="AQ131" i="1"/>
  <c r="A132" i="1"/>
  <c r="B132" i="1"/>
  <c r="C132" i="1"/>
  <c r="D132" i="1"/>
  <c r="E132" i="1"/>
  <c r="F132" i="1"/>
  <c r="G132" i="1"/>
  <c r="K132" i="1"/>
  <c r="N132" i="1"/>
  <c r="O132" i="1"/>
  <c r="V132" i="1"/>
  <c r="AB132" i="1"/>
  <c r="AC132" i="1"/>
  <c r="AD132" i="1"/>
  <c r="AG132" i="1"/>
  <c r="AH132" i="1"/>
  <c r="AI132" i="1"/>
  <c r="AJ132" i="1"/>
  <c r="AK132" i="1"/>
  <c r="AM132" i="1"/>
  <c r="AN132" i="1"/>
  <c r="AO132" i="1"/>
  <c r="AP132" i="1"/>
  <c r="AQ132" i="1"/>
  <c r="A133" i="1"/>
  <c r="B133" i="1"/>
  <c r="C133" i="1"/>
  <c r="D133" i="1"/>
  <c r="E133" i="1"/>
  <c r="F133" i="1"/>
  <c r="G133" i="1"/>
  <c r="K133" i="1"/>
  <c r="N133" i="1"/>
  <c r="O133" i="1"/>
  <c r="V133" i="1"/>
  <c r="AB133" i="1"/>
  <c r="AC133" i="1"/>
  <c r="AD133" i="1"/>
  <c r="AG133" i="1"/>
  <c r="AH133" i="1"/>
  <c r="AI133" i="1"/>
  <c r="AJ133" i="1"/>
  <c r="AK133" i="1"/>
  <c r="AM133" i="1"/>
  <c r="AN133" i="1"/>
  <c r="AO133" i="1"/>
  <c r="AP133" i="1"/>
  <c r="AQ133" i="1"/>
  <c r="A134" i="1"/>
  <c r="B134" i="1"/>
  <c r="C134" i="1"/>
  <c r="D134" i="1"/>
  <c r="E134" i="1"/>
  <c r="F134" i="1"/>
  <c r="G134" i="1"/>
  <c r="K134" i="1"/>
  <c r="N134" i="1"/>
  <c r="O134" i="1"/>
  <c r="V134" i="1"/>
  <c r="AB134" i="1"/>
  <c r="AC134" i="1"/>
  <c r="AD134" i="1"/>
  <c r="AG134" i="1"/>
  <c r="AH134" i="1"/>
  <c r="AI134" i="1"/>
  <c r="AJ134" i="1"/>
  <c r="AK134" i="1"/>
  <c r="AM134" i="1"/>
  <c r="AN134" i="1"/>
  <c r="AO134" i="1"/>
  <c r="AP134" i="1"/>
  <c r="AQ134" i="1"/>
  <c r="A135" i="1"/>
  <c r="B135" i="1"/>
  <c r="C135" i="1"/>
  <c r="D135" i="1"/>
  <c r="E135" i="1"/>
  <c r="F135" i="1"/>
  <c r="G135" i="1"/>
  <c r="K135" i="1"/>
  <c r="N135" i="1"/>
  <c r="O135" i="1"/>
  <c r="V135" i="1"/>
  <c r="AB135" i="1"/>
  <c r="AC135" i="1"/>
  <c r="AD135" i="1"/>
  <c r="AG135" i="1"/>
  <c r="AH135" i="1"/>
  <c r="AI135" i="1"/>
  <c r="AJ135" i="1"/>
  <c r="AK135" i="1"/>
  <c r="AM135" i="1"/>
  <c r="AN135" i="1"/>
  <c r="AO135" i="1"/>
  <c r="AP135" i="1"/>
  <c r="AQ135" i="1"/>
  <c r="A136" i="1"/>
  <c r="B136" i="1"/>
  <c r="C136" i="1"/>
  <c r="D136" i="1"/>
  <c r="E136" i="1"/>
  <c r="F136" i="1"/>
  <c r="G136" i="1"/>
  <c r="K136" i="1"/>
  <c r="N136" i="1"/>
  <c r="O136" i="1"/>
  <c r="S136" i="1"/>
  <c r="U136" i="1"/>
  <c r="V136" i="1"/>
  <c r="AB136" i="1"/>
  <c r="AC136" i="1"/>
  <c r="AD136" i="1"/>
  <c r="AG136" i="1"/>
  <c r="AH136" i="1"/>
  <c r="AI136" i="1"/>
  <c r="AJ136" i="1"/>
  <c r="AK136" i="1"/>
  <c r="AM136" i="1"/>
  <c r="AN136" i="1"/>
  <c r="AO136" i="1"/>
  <c r="AP136" i="1"/>
  <c r="AQ136" i="1"/>
  <c r="A137" i="1"/>
  <c r="B137" i="1"/>
  <c r="C137" i="1"/>
  <c r="D137" i="1"/>
  <c r="E137" i="1"/>
  <c r="F137" i="1"/>
  <c r="G137" i="1"/>
  <c r="K137" i="1"/>
  <c r="N137" i="1"/>
  <c r="O137" i="1"/>
  <c r="V137" i="1"/>
  <c r="AB137" i="1"/>
  <c r="AC137" i="1"/>
  <c r="AD137" i="1"/>
  <c r="AE137" i="1"/>
  <c r="AG137" i="1"/>
  <c r="AH137" i="1"/>
  <c r="AI137" i="1"/>
  <c r="AJ137" i="1"/>
  <c r="AK137" i="1"/>
  <c r="AM137" i="1"/>
  <c r="AN137" i="1"/>
  <c r="AO137" i="1"/>
  <c r="AP137" i="1"/>
  <c r="AQ137" i="1"/>
  <c r="A138" i="1"/>
  <c r="B138" i="1"/>
  <c r="C138" i="1"/>
  <c r="D138" i="1"/>
  <c r="E138" i="1"/>
  <c r="F138" i="1"/>
  <c r="G138" i="1"/>
  <c r="K138" i="1"/>
  <c r="N138" i="1"/>
  <c r="O138" i="1"/>
  <c r="V138" i="1"/>
  <c r="AB138" i="1"/>
  <c r="AC138" i="1"/>
  <c r="AD138" i="1"/>
  <c r="AG138" i="1"/>
  <c r="AH138" i="1"/>
  <c r="AI138" i="1"/>
  <c r="AJ138" i="1"/>
  <c r="AK138" i="1"/>
  <c r="AM138" i="1"/>
  <c r="AN138" i="1"/>
  <c r="AO138" i="1"/>
  <c r="AP138" i="1"/>
  <c r="AQ138" i="1"/>
  <c r="A139" i="1"/>
  <c r="B139" i="1"/>
  <c r="C139" i="1"/>
  <c r="D139" i="1"/>
  <c r="E139" i="1"/>
  <c r="F139" i="1"/>
  <c r="G139" i="1"/>
  <c r="K139" i="1"/>
  <c r="N139" i="1"/>
  <c r="O139" i="1"/>
  <c r="V139" i="1"/>
  <c r="AB139" i="1"/>
  <c r="AC139" i="1"/>
  <c r="AD139" i="1"/>
  <c r="AG139" i="1"/>
  <c r="AH139" i="1"/>
  <c r="AI139" i="1"/>
  <c r="AJ139" i="1"/>
  <c r="AK139" i="1"/>
  <c r="AM139" i="1"/>
  <c r="AN139" i="1"/>
  <c r="AO139" i="1"/>
  <c r="AP139" i="1"/>
  <c r="AQ139" i="1"/>
  <c r="A140" i="1"/>
  <c r="B140" i="1"/>
  <c r="C140" i="1"/>
  <c r="D140" i="1"/>
  <c r="E140" i="1"/>
  <c r="F140" i="1"/>
  <c r="G140" i="1"/>
  <c r="K140" i="1"/>
  <c r="L140" i="1"/>
  <c r="M140" i="1"/>
  <c r="N140" i="1"/>
  <c r="O140" i="1"/>
  <c r="S140" i="1"/>
  <c r="U140" i="1"/>
  <c r="V140" i="1"/>
  <c r="AB140" i="1"/>
  <c r="AC140" i="1"/>
  <c r="AD140" i="1"/>
  <c r="AG140" i="1"/>
  <c r="AH140" i="1"/>
  <c r="AI140" i="1"/>
  <c r="AJ140" i="1"/>
  <c r="AK140" i="1"/>
  <c r="AM140" i="1"/>
  <c r="AN140" i="1"/>
  <c r="AO140" i="1"/>
  <c r="AP140" i="1"/>
  <c r="AQ140" i="1"/>
  <c r="A141" i="1"/>
  <c r="B141" i="1"/>
  <c r="C141" i="1"/>
  <c r="D141" i="1"/>
  <c r="E141" i="1"/>
  <c r="F141" i="1"/>
  <c r="G141" i="1"/>
  <c r="K141" i="1"/>
  <c r="N141" i="1"/>
  <c r="O141" i="1"/>
  <c r="S141" i="1"/>
  <c r="U141" i="1"/>
  <c r="V141" i="1"/>
  <c r="AB141" i="1"/>
  <c r="AC141" i="1"/>
  <c r="AD141" i="1"/>
  <c r="AE141" i="1"/>
  <c r="AG141" i="1"/>
  <c r="AH141" i="1"/>
  <c r="AI141" i="1"/>
  <c r="AJ141" i="1"/>
  <c r="AK141" i="1"/>
  <c r="AM141" i="1"/>
  <c r="AN141" i="1"/>
  <c r="AO141" i="1"/>
  <c r="AP141" i="1"/>
  <c r="AQ141" i="1"/>
  <c r="A142" i="1"/>
  <c r="B142" i="1"/>
  <c r="C142" i="1"/>
  <c r="D142" i="1"/>
  <c r="E142" i="1"/>
  <c r="F142" i="1"/>
  <c r="G142" i="1"/>
  <c r="N142" i="1"/>
  <c r="O142" i="1"/>
  <c r="S142" i="1"/>
  <c r="U142" i="1"/>
  <c r="V142" i="1"/>
  <c r="AB142" i="1"/>
  <c r="AC142" i="1"/>
  <c r="AD142" i="1"/>
  <c r="AG142" i="1"/>
  <c r="AH142" i="1"/>
  <c r="AI142" i="1"/>
  <c r="AJ142" i="1"/>
  <c r="AK142" i="1"/>
  <c r="AM142" i="1"/>
  <c r="AN142" i="1"/>
  <c r="AO142" i="1"/>
  <c r="AP142" i="1"/>
  <c r="AQ142" i="1"/>
  <c r="A143" i="1"/>
  <c r="B143" i="1"/>
  <c r="C143" i="1"/>
  <c r="D143" i="1"/>
  <c r="E143" i="1"/>
  <c r="F143" i="1"/>
  <c r="G143" i="1"/>
  <c r="K143" i="1"/>
  <c r="N143" i="1"/>
  <c r="O143" i="1"/>
  <c r="V143" i="1"/>
  <c r="AB143" i="1"/>
  <c r="AC143" i="1"/>
  <c r="AD143" i="1"/>
  <c r="AG143" i="1"/>
  <c r="AH143" i="1"/>
  <c r="AI143" i="1"/>
  <c r="AJ143" i="1"/>
  <c r="AK143" i="1"/>
  <c r="AM143" i="1"/>
  <c r="AN143" i="1"/>
  <c r="AO143" i="1"/>
  <c r="AP143" i="1"/>
  <c r="AQ143" i="1"/>
  <c r="A144" i="1"/>
  <c r="B144" i="1"/>
  <c r="C144" i="1"/>
  <c r="D144" i="1"/>
  <c r="E144" i="1"/>
  <c r="F144" i="1"/>
  <c r="G144" i="1"/>
  <c r="K144" i="1"/>
  <c r="N144" i="1"/>
  <c r="O144" i="1"/>
  <c r="V144" i="1"/>
  <c r="AB144" i="1"/>
  <c r="AC144" i="1"/>
  <c r="AD144" i="1"/>
  <c r="AG144" i="1"/>
  <c r="AH144" i="1"/>
  <c r="AI144" i="1"/>
  <c r="AJ144" i="1"/>
  <c r="AK144" i="1"/>
  <c r="AM144" i="1"/>
  <c r="AN144" i="1"/>
  <c r="AO144" i="1"/>
  <c r="AP144" i="1"/>
  <c r="AQ144" i="1"/>
  <c r="A145" i="1"/>
  <c r="B145" i="1"/>
  <c r="C145" i="1"/>
  <c r="D145" i="1"/>
  <c r="E145" i="1"/>
  <c r="F145" i="1"/>
  <c r="G145" i="1"/>
  <c r="K145" i="1"/>
  <c r="N145" i="1"/>
  <c r="O145" i="1"/>
  <c r="V145" i="1"/>
  <c r="AB145" i="1"/>
  <c r="AC145" i="1"/>
  <c r="AD145" i="1"/>
  <c r="AG145" i="1"/>
  <c r="AH145" i="1"/>
  <c r="AI145" i="1"/>
  <c r="AJ145" i="1"/>
  <c r="AK145" i="1"/>
  <c r="AM145" i="1"/>
  <c r="AN145" i="1"/>
  <c r="AO145" i="1"/>
  <c r="AP145" i="1"/>
  <c r="AQ145" i="1"/>
  <c r="A146" i="1"/>
  <c r="B146" i="1"/>
  <c r="C146" i="1"/>
  <c r="D146" i="1"/>
  <c r="E146" i="1"/>
  <c r="F146" i="1"/>
  <c r="G146" i="1"/>
  <c r="K146" i="1"/>
  <c r="N146" i="1"/>
  <c r="O146" i="1"/>
  <c r="V146" i="1"/>
  <c r="AB146" i="1"/>
  <c r="AC146" i="1"/>
  <c r="AD146" i="1"/>
  <c r="AG146" i="1"/>
  <c r="AH146" i="1"/>
  <c r="AI146" i="1"/>
  <c r="AJ146" i="1"/>
  <c r="AK146" i="1"/>
  <c r="AM146" i="1"/>
  <c r="AN146" i="1"/>
  <c r="AO146" i="1"/>
  <c r="AP146" i="1"/>
  <c r="AQ146" i="1"/>
  <c r="A147" i="1"/>
  <c r="B147" i="1"/>
  <c r="C147" i="1"/>
  <c r="D147" i="1"/>
  <c r="E147" i="1"/>
  <c r="F147" i="1"/>
  <c r="G147" i="1"/>
  <c r="K147" i="1"/>
  <c r="N147" i="1"/>
  <c r="O147" i="1"/>
  <c r="V147" i="1"/>
  <c r="AB147" i="1"/>
  <c r="AC147" i="1"/>
  <c r="AD147" i="1"/>
  <c r="AG147" i="1"/>
  <c r="AH147" i="1"/>
  <c r="AI147" i="1"/>
  <c r="AJ147" i="1"/>
  <c r="AK147" i="1"/>
  <c r="AM147" i="1"/>
  <c r="AN147" i="1"/>
  <c r="AO147" i="1"/>
  <c r="AP147" i="1"/>
  <c r="AQ147" i="1"/>
  <c r="A148" i="1"/>
  <c r="B148" i="1"/>
  <c r="C148" i="1"/>
  <c r="D148" i="1"/>
  <c r="E148" i="1"/>
  <c r="F148" i="1"/>
  <c r="G148" i="1"/>
  <c r="K148" i="1"/>
  <c r="N148" i="1"/>
  <c r="O148" i="1"/>
  <c r="V148" i="1"/>
  <c r="AB148" i="1"/>
  <c r="AC148" i="1"/>
  <c r="AD148" i="1"/>
  <c r="AG148" i="1"/>
  <c r="AH148" i="1"/>
  <c r="AI148" i="1"/>
  <c r="AJ148" i="1"/>
  <c r="AK148" i="1"/>
  <c r="AM148" i="1"/>
  <c r="AN148" i="1"/>
  <c r="AO148" i="1"/>
  <c r="AP148" i="1"/>
  <c r="AQ148" i="1"/>
  <c r="A149" i="1"/>
  <c r="B149" i="1"/>
  <c r="C149" i="1"/>
  <c r="D149" i="1"/>
  <c r="E149" i="1"/>
  <c r="F149" i="1"/>
  <c r="G149" i="1"/>
  <c r="K149" i="1"/>
  <c r="N149" i="1"/>
  <c r="O149" i="1"/>
  <c r="V149" i="1"/>
  <c r="AB149" i="1"/>
  <c r="AC149" i="1"/>
  <c r="AD149" i="1"/>
  <c r="AG149" i="1"/>
  <c r="AH149" i="1"/>
  <c r="AI149" i="1"/>
  <c r="AJ149" i="1"/>
  <c r="AK149" i="1"/>
  <c r="AM149" i="1"/>
  <c r="AN149" i="1"/>
  <c r="AO149" i="1"/>
  <c r="AP149" i="1"/>
  <c r="AQ149" i="1"/>
  <c r="A150" i="1"/>
  <c r="B150" i="1"/>
  <c r="C150" i="1"/>
  <c r="D150" i="1"/>
  <c r="E150" i="1"/>
  <c r="F150" i="1"/>
  <c r="G150" i="1"/>
  <c r="K150" i="1"/>
  <c r="N150" i="1"/>
  <c r="O150" i="1"/>
  <c r="V150" i="1"/>
  <c r="AB150" i="1"/>
  <c r="AC150" i="1"/>
  <c r="AD150" i="1"/>
  <c r="AG150" i="1"/>
  <c r="AH150" i="1"/>
  <c r="AI150" i="1"/>
  <c r="AJ150" i="1"/>
  <c r="AK150" i="1"/>
  <c r="AM150" i="1"/>
  <c r="AN150" i="1"/>
  <c r="AO150" i="1"/>
  <c r="AP150" i="1"/>
  <c r="AQ150" i="1"/>
  <c r="A151" i="1"/>
  <c r="B151" i="1"/>
  <c r="C151" i="1"/>
  <c r="D151" i="1"/>
  <c r="E151" i="1"/>
  <c r="F151" i="1"/>
  <c r="G151" i="1"/>
  <c r="K151" i="1"/>
  <c r="N151" i="1"/>
  <c r="O151" i="1"/>
  <c r="V151" i="1"/>
  <c r="AB151" i="1"/>
  <c r="AC151" i="1"/>
  <c r="AD151" i="1"/>
  <c r="AG151" i="1"/>
  <c r="AH151" i="1"/>
  <c r="AI151" i="1"/>
  <c r="AJ151" i="1"/>
  <c r="AK151" i="1"/>
  <c r="AM151" i="1"/>
  <c r="AN151" i="1"/>
  <c r="AO151" i="1"/>
  <c r="AP151" i="1"/>
  <c r="AQ151" i="1"/>
  <c r="A152" i="1"/>
  <c r="B152" i="1"/>
  <c r="C152" i="1"/>
  <c r="D152" i="1"/>
  <c r="E152" i="1"/>
  <c r="F152" i="1"/>
  <c r="G152" i="1"/>
  <c r="K152" i="1"/>
  <c r="N152" i="1"/>
  <c r="O152" i="1"/>
  <c r="V152" i="1"/>
  <c r="AB152" i="1"/>
  <c r="AC152" i="1"/>
  <c r="AD152" i="1"/>
  <c r="AG152" i="1"/>
  <c r="AH152" i="1"/>
  <c r="AI152" i="1"/>
  <c r="AJ152" i="1"/>
  <c r="AK152" i="1"/>
  <c r="AM152" i="1"/>
  <c r="AN152" i="1"/>
  <c r="AO152" i="1"/>
  <c r="AP152" i="1"/>
  <c r="AQ152" i="1"/>
  <c r="A153" i="1"/>
  <c r="B153" i="1"/>
  <c r="C153" i="1"/>
  <c r="D153" i="1"/>
  <c r="E153" i="1"/>
  <c r="F153" i="1"/>
  <c r="G153" i="1"/>
  <c r="K153" i="1"/>
  <c r="N153" i="1"/>
  <c r="O153" i="1"/>
  <c r="V153" i="1"/>
  <c r="AB153" i="1"/>
  <c r="AC153" i="1"/>
  <c r="AD153" i="1"/>
  <c r="AG153" i="1"/>
  <c r="AH153" i="1"/>
  <c r="AI153" i="1"/>
  <c r="AJ153" i="1"/>
  <c r="AK153" i="1"/>
  <c r="AM153" i="1"/>
  <c r="AN153" i="1"/>
  <c r="AO153" i="1"/>
  <c r="AP153" i="1"/>
  <c r="AQ153" i="1"/>
  <c r="A154" i="1"/>
  <c r="B154" i="1"/>
  <c r="C154" i="1"/>
  <c r="D154" i="1"/>
  <c r="E154" i="1"/>
  <c r="F154" i="1"/>
  <c r="G154" i="1"/>
  <c r="K154" i="1"/>
  <c r="N154" i="1"/>
  <c r="O154" i="1"/>
  <c r="V154" i="1"/>
  <c r="AB154" i="1"/>
  <c r="AC154" i="1"/>
  <c r="AD154" i="1"/>
  <c r="AG154" i="1"/>
  <c r="AH154" i="1"/>
  <c r="AI154" i="1"/>
  <c r="AJ154" i="1"/>
  <c r="AK154" i="1"/>
  <c r="AM154" i="1"/>
  <c r="AN154" i="1"/>
  <c r="AO154" i="1"/>
  <c r="AP154" i="1"/>
  <c r="AQ154" i="1"/>
  <c r="A155" i="1"/>
  <c r="B155" i="1"/>
  <c r="C155" i="1"/>
  <c r="D155" i="1"/>
  <c r="E155" i="1"/>
  <c r="F155" i="1"/>
  <c r="G155" i="1"/>
  <c r="K155" i="1"/>
  <c r="N155" i="1"/>
  <c r="O155" i="1"/>
  <c r="V155" i="1"/>
  <c r="AB155" i="1"/>
  <c r="AC155" i="1"/>
  <c r="AD155" i="1"/>
  <c r="AG155" i="1"/>
  <c r="AH155" i="1"/>
  <c r="AI155" i="1"/>
  <c r="AJ155" i="1"/>
  <c r="AK155" i="1"/>
  <c r="AM155" i="1"/>
  <c r="AN155" i="1"/>
  <c r="AO155" i="1"/>
  <c r="AP155" i="1"/>
  <c r="AQ155" i="1"/>
  <c r="A156" i="1"/>
  <c r="B156" i="1"/>
  <c r="C156" i="1"/>
  <c r="D156" i="1"/>
  <c r="E156" i="1"/>
  <c r="F156" i="1"/>
  <c r="G156" i="1"/>
  <c r="K156" i="1"/>
  <c r="N156" i="1"/>
  <c r="O156" i="1"/>
  <c r="V156" i="1"/>
  <c r="AB156" i="1"/>
  <c r="AC156" i="1"/>
  <c r="AD156" i="1"/>
  <c r="AG156" i="1"/>
  <c r="AH156" i="1"/>
  <c r="AI156" i="1"/>
  <c r="AJ156" i="1"/>
  <c r="AK156" i="1"/>
  <c r="AM156" i="1"/>
  <c r="AN156" i="1"/>
  <c r="AO156" i="1"/>
  <c r="AP156" i="1"/>
  <c r="AQ156" i="1"/>
  <c r="A157" i="1"/>
  <c r="B157" i="1"/>
  <c r="C157" i="1"/>
  <c r="D157" i="1"/>
  <c r="E157" i="1"/>
  <c r="F157" i="1"/>
  <c r="G157" i="1"/>
  <c r="K157" i="1"/>
  <c r="N157" i="1"/>
  <c r="O157" i="1"/>
  <c r="V157" i="1"/>
  <c r="AB157" i="1"/>
  <c r="AC157" i="1"/>
  <c r="AD157" i="1"/>
  <c r="AG157" i="1"/>
  <c r="AH157" i="1"/>
  <c r="AI157" i="1"/>
  <c r="AJ157" i="1"/>
  <c r="AK157" i="1"/>
  <c r="AM157" i="1"/>
  <c r="AN157" i="1"/>
  <c r="AO157" i="1"/>
  <c r="AP157" i="1"/>
  <c r="AQ157" i="1"/>
  <c r="A158" i="1"/>
  <c r="B158" i="1"/>
  <c r="C158" i="1"/>
  <c r="D158" i="1"/>
  <c r="E158" i="1"/>
  <c r="F158" i="1"/>
  <c r="G158" i="1"/>
  <c r="K158" i="1"/>
  <c r="N158" i="1"/>
  <c r="O158" i="1"/>
  <c r="V158" i="1"/>
  <c r="AB158" i="1"/>
  <c r="AC158" i="1"/>
  <c r="AD158" i="1"/>
  <c r="AG158" i="1"/>
  <c r="AH158" i="1"/>
  <c r="AI158" i="1"/>
  <c r="AJ158" i="1"/>
  <c r="AK158" i="1"/>
  <c r="AM158" i="1"/>
  <c r="AN158" i="1"/>
  <c r="AO158" i="1"/>
  <c r="AP158" i="1"/>
  <c r="AQ158" i="1"/>
  <c r="A159" i="1"/>
  <c r="B159" i="1"/>
  <c r="C159" i="1"/>
  <c r="D159" i="1"/>
  <c r="E159" i="1"/>
  <c r="F159" i="1"/>
  <c r="G159" i="1"/>
  <c r="K159" i="1"/>
  <c r="N159" i="1"/>
  <c r="O159" i="1"/>
  <c r="V159" i="1"/>
  <c r="AB159" i="1"/>
  <c r="AC159" i="1"/>
  <c r="AD159" i="1"/>
  <c r="AG159" i="1"/>
  <c r="AH159" i="1"/>
  <c r="AI159" i="1"/>
  <c r="AJ159" i="1"/>
  <c r="AK159" i="1"/>
  <c r="AM159" i="1"/>
  <c r="AN159" i="1"/>
  <c r="AO159" i="1"/>
  <c r="AP159" i="1"/>
  <c r="AQ159" i="1"/>
  <c r="A160" i="1"/>
  <c r="B160" i="1"/>
  <c r="C160" i="1"/>
  <c r="D160" i="1"/>
  <c r="E160" i="1"/>
  <c r="F160" i="1"/>
  <c r="G160" i="1"/>
  <c r="K160" i="1"/>
  <c r="N160" i="1"/>
  <c r="O160" i="1"/>
  <c r="V160" i="1"/>
  <c r="AB160" i="1"/>
  <c r="AC160" i="1"/>
  <c r="AD160" i="1"/>
  <c r="AG160" i="1"/>
  <c r="AH160" i="1"/>
  <c r="AI160" i="1"/>
  <c r="AJ160" i="1"/>
  <c r="AK160" i="1"/>
  <c r="AM160" i="1"/>
  <c r="AN160" i="1"/>
  <c r="AO160" i="1"/>
  <c r="AP160" i="1"/>
  <c r="AQ160" i="1"/>
  <c r="A161" i="1"/>
  <c r="B161" i="1"/>
  <c r="C161" i="1"/>
  <c r="D161" i="1"/>
  <c r="E161" i="1"/>
  <c r="F161" i="1"/>
  <c r="G161" i="1"/>
  <c r="K161" i="1"/>
  <c r="N161" i="1"/>
  <c r="O161" i="1"/>
  <c r="V161" i="1"/>
  <c r="AB161" i="1"/>
  <c r="AC161" i="1"/>
  <c r="AD161" i="1"/>
  <c r="AG161" i="1"/>
  <c r="AH161" i="1"/>
  <c r="AI161" i="1"/>
  <c r="AJ161" i="1"/>
  <c r="AK161" i="1"/>
  <c r="AM161" i="1"/>
  <c r="AN161" i="1"/>
  <c r="AO161" i="1"/>
  <c r="AP161" i="1"/>
  <c r="AQ161" i="1"/>
  <c r="A162" i="1"/>
  <c r="B162" i="1"/>
  <c r="C162" i="1"/>
  <c r="D162" i="1"/>
  <c r="E162" i="1"/>
  <c r="F162" i="1"/>
  <c r="G162" i="1"/>
  <c r="K162" i="1"/>
  <c r="N162" i="1"/>
  <c r="O162" i="1"/>
  <c r="V162" i="1"/>
  <c r="AB162" i="1"/>
  <c r="AC162" i="1"/>
  <c r="AD162" i="1"/>
  <c r="AG162" i="1"/>
  <c r="AH162" i="1"/>
  <c r="AI162" i="1"/>
  <c r="AJ162" i="1"/>
  <c r="AK162" i="1"/>
  <c r="AM162" i="1"/>
  <c r="AN162" i="1"/>
  <c r="AO162" i="1"/>
  <c r="AP162" i="1"/>
  <c r="AQ162" i="1"/>
  <c r="A163" i="1"/>
  <c r="B163" i="1"/>
  <c r="C163" i="1"/>
  <c r="D163" i="1"/>
  <c r="E163" i="1"/>
  <c r="F163" i="1"/>
  <c r="G163" i="1"/>
  <c r="K163" i="1"/>
  <c r="N163" i="1"/>
  <c r="O163" i="1"/>
  <c r="S163" i="1"/>
  <c r="U163" i="1"/>
  <c r="V163" i="1"/>
  <c r="AB163" i="1"/>
  <c r="AC163" i="1"/>
  <c r="AD163" i="1"/>
  <c r="AI163" i="1"/>
  <c r="AJ163" i="1"/>
  <c r="AK163" i="1"/>
  <c r="AM163" i="1"/>
  <c r="AN163" i="1"/>
  <c r="AO163" i="1"/>
  <c r="AP163" i="1"/>
  <c r="AQ163" i="1"/>
  <c r="A164" i="1"/>
  <c r="B164" i="1"/>
  <c r="C164" i="1"/>
  <c r="D164" i="1"/>
  <c r="E164" i="1"/>
  <c r="F164" i="1"/>
  <c r="G164" i="1"/>
  <c r="K164" i="1"/>
  <c r="N164" i="1"/>
  <c r="O164" i="1"/>
  <c r="V164" i="1"/>
  <c r="AB164" i="1"/>
  <c r="AC164" i="1"/>
  <c r="AD164" i="1"/>
  <c r="AG164" i="1"/>
  <c r="AH164" i="1"/>
  <c r="AI164" i="1"/>
  <c r="AJ164" i="1"/>
  <c r="AK164" i="1"/>
  <c r="AM164" i="1"/>
  <c r="AN164" i="1"/>
  <c r="AO164" i="1"/>
  <c r="AP164" i="1"/>
  <c r="AQ164" i="1"/>
  <c r="A165" i="1"/>
  <c r="B165" i="1"/>
  <c r="C165" i="1"/>
  <c r="D165" i="1"/>
  <c r="E165" i="1"/>
  <c r="F165" i="1"/>
  <c r="G165" i="1"/>
  <c r="K165" i="1"/>
  <c r="N165" i="1"/>
  <c r="O165" i="1"/>
  <c r="V165" i="1"/>
  <c r="AB165" i="1"/>
  <c r="AC165" i="1"/>
  <c r="AD165" i="1"/>
  <c r="AG165" i="1"/>
  <c r="AH165" i="1"/>
  <c r="AI165" i="1"/>
  <c r="AJ165" i="1"/>
  <c r="AK165" i="1"/>
  <c r="AM165" i="1"/>
  <c r="AN165" i="1"/>
  <c r="AO165" i="1"/>
  <c r="AP165" i="1"/>
  <c r="AQ165" i="1"/>
  <c r="A166" i="1"/>
  <c r="B166" i="1"/>
  <c r="C166" i="1"/>
  <c r="D166" i="1"/>
  <c r="E166" i="1"/>
  <c r="F166" i="1"/>
  <c r="G166" i="1"/>
  <c r="K166" i="1"/>
  <c r="N166" i="1"/>
  <c r="O166" i="1"/>
  <c r="V166" i="1"/>
  <c r="AB166" i="1"/>
  <c r="AC166" i="1"/>
  <c r="AD166" i="1"/>
  <c r="AG166" i="1"/>
  <c r="AH166" i="1"/>
  <c r="AI166" i="1"/>
  <c r="AJ166" i="1"/>
  <c r="AK166" i="1"/>
  <c r="AM166" i="1"/>
  <c r="AN166" i="1"/>
  <c r="AO166" i="1"/>
  <c r="AP166" i="1"/>
  <c r="AQ166" i="1"/>
  <c r="A167" i="1"/>
  <c r="B167" i="1"/>
  <c r="C167" i="1"/>
  <c r="D167" i="1"/>
  <c r="E167" i="1"/>
  <c r="F167" i="1"/>
  <c r="G167" i="1"/>
  <c r="K167" i="1"/>
  <c r="N167" i="1"/>
  <c r="O167" i="1"/>
  <c r="V167" i="1"/>
  <c r="AB167" i="1"/>
  <c r="AC167" i="1"/>
  <c r="AD167" i="1"/>
  <c r="AG167" i="1"/>
  <c r="AH167" i="1"/>
  <c r="AI167" i="1"/>
  <c r="AJ167" i="1"/>
  <c r="AK167" i="1"/>
  <c r="AM167" i="1"/>
  <c r="AN167" i="1"/>
  <c r="AO167" i="1"/>
  <c r="AP167" i="1"/>
  <c r="AQ167" i="1"/>
  <c r="A168" i="1"/>
  <c r="B168" i="1"/>
  <c r="C168" i="1"/>
  <c r="D168" i="1"/>
  <c r="E168" i="1"/>
  <c r="F168" i="1"/>
  <c r="G168" i="1"/>
  <c r="K168" i="1"/>
  <c r="N168" i="1"/>
  <c r="O168" i="1"/>
  <c r="V168" i="1"/>
  <c r="AB168" i="1"/>
  <c r="AC168" i="1"/>
  <c r="AD168" i="1"/>
  <c r="AG168" i="1"/>
  <c r="AH168" i="1"/>
  <c r="AI168" i="1"/>
  <c r="AJ168" i="1"/>
  <c r="AK168" i="1"/>
  <c r="AM168" i="1"/>
  <c r="AN168" i="1"/>
  <c r="AO168" i="1"/>
  <c r="AP168" i="1"/>
  <c r="AQ168" i="1"/>
  <c r="A169" i="1"/>
  <c r="B169" i="1"/>
  <c r="C169" i="1"/>
  <c r="D169" i="1"/>
  <c r="E169" i="1"/>
  <c r="F169" i="1"/>
  <c r="G169" i="1"/>
  <c r="K169" i="1"/>
  <c r="N169" i="1"/>
  <c r="O169" i="1"/>
  <c r="V169" i="1"/>
  <c r="AB169" i="1"/>
  <c r="AC169" i="1"/>
  <c r="AD169" i="1"/>
  <c r="AG169" i="1"/>
  <c r="AH169" i="1"/>
  <c r="AI169" i="1"/>
  <c r="AJ169" i="1"/>
  <c r="AK169" i="1"/>
  <c r="AM169" i="1"/>
  <c r="AN169" i="1"/>
  <c r="AO169" i="1"/>
  <c r="AP169" i="1"/>
  <c r="AQ169" i="1"/>
  <c r="A170" i="1"/>
  <c r="B170" i="1"/>
  <c r="C170" i="1"/>
  <c r="D170" i="1"/>
  <c r="E170" i="1"/>
  <c r="F170" i="1"/>
  <c r="G170" i="1"/>
  <c r="K170" i="1"/>
  <c r="N170" i="1"/>
  <c r="O170" i="1"/>
  <c r="V170" i="1"/>
  <c r="AB170" i="1"/>
  <c r="AC170" i="1"/>
  <c r="AD170" i="1"/>
  <c r="AG170" i="1"/>
  <c r="AH170" i="1"/>
  <c r="AI170" i="1"/>
  <c r="AJ170" i="1"/>
  <c r="AK170" i="1"/>
  <c r="AM170" i="1"/>
  <c r="AN170" i="1"/>
  <c r="AO170" i="1"/>
  <c r="AP170" i="1"/>
  <c r="AQ170" i="1"/>
  <c r="A171" i="1"/>
  <c r="B171" i="1"/>
  <c r="C171" i="1"/>
  <c r="D171" i="1"/>
  <c r="E171" i="1"/>
  <c r="F171" i="1"/>
  <c r="G171" i="1"/>
  <c r="K171" i="1"/>
  <c r="N171" i="1"/>
  <c r="O171" i="1"/>
  <c r="V171" i="1"/>
  <c r="AB171" i="1"/>
  <c r="AC171" i="1"/>
  <c r="AD171" i="1"/>
  <c r="AG171" i="1"/>
  <c r="AH171" i="1"/>
  <c r="AI171" i="1"/>
  <c r="AJ171" i="1"/>
  <c r="AK171" i="1"/>
  <c r="AM171" i="1"/>
  <c r="AN171" i="1"/>
  <c r="AO171" i="1"/>
  <c r="AP171" i="1"/>
  <c r="AQ171" i="1"/>
  <c r="A172" i="1"/>
  <c r="B172" i="1"/>
  <c r="C172" i="1"/>
  <c r="D172" i="1"/>
  <c r="E172" i="1"/>
  <c r="F172" i="1"/>
  <c r="G172" i="1"/>
  <c r="K172" i="1"/>
  <c r="N172" i="1"/>
  <c r="O172" i="1"/>
  <c r="V172" i="1"/>
  <c r="AB172" i="1"/>
  <c r="AC172" i="1"/>
  <c r="AD172" i="1"/>
  <c r="AG172" i="1"/>
  <c r="AH172" i="1"/>
  <c r="AI172" i="1"/>
  <c r="AJ172" i="1"/>
  <c r="AK172" i="1"/>
  <c r="AM172" i="1"/>
  <c r="AN172" i="1"/>
  <c r="AO172" i="1"/>
  <c r="AP172" i="1"/>
  <c r="AQ172" i="1"/>
  <c r="A173" i="1"/>
  <c r="B173" i="1"/>
  <c r="C173" i="1"/>
  <c r="D173" i="1"/>
  <c r="E173" i="1"/>
  <c r="F173" i="1"/>
  <c r="G173" i="1"/>
  <c r="K173" i="1"/>
  <c r="N173" i="1"/>
  <c r="O173" i="1"/>
  <c r="V173" i="1"/>
  <c r="AB173" i="1"/>
  <c r="AC173" i="1"/>
  <c r="AD173" i="1"/>
  <c r="AG173" i="1"/>
  <c r="AH173" i="1"/>
  <c r="AI173" i="1"/>
  <c r="AJ173" i="1"/>
  <c r="AK173" i="1"/>
  <c r="AM173" i="1"/>
  <c r="AN173" i="1"/>
  <c r="AO173" i="1"/>
  <c r="AP173" i="1"/>
  <c r="AQ173" i="1"/>
  <c r="A174" i="1"/>
  <c r="B174" i="1"/>
  <c r="C174" i="1"/>
  <c r="D174" i="1"/>
  <c r="E174" i="1"/>
  <c r="F174" i="1"/>
  <c r="G174" i="1"/>
  <c r="K174" i="1"/>
  <c r="N174" i="1"/>
  <c r="O174" i="1"/>
  <c r="V174" i="1"/>
  <c r="AB174" i="1"/>
  <c r="AC174" i="1"/>
  <c r="AD174" i="1"/>
  <c r="AG174" i="1"/>
  <c r="AH174" i="1"/>
  <c r="AI174" i="1"/>
  <c r="AJ174" i="1"/>
  <c r="AK174" i="1"/>
  <c r="AM174" i="1"/>
  <c r="AN174" i="1"/>
  <c r="AO174" i="1"/>
  <c r="AP174" i="1"/>
  <c r="AQ174" i="1"/>
  <c r="A175" i="1"/>
  <c r="B175" i="1"/>
  <c r="C175" i="1"/>
  <c r="D175" i="1"/>
  <c r="E175" i="1"/>
  <c r="F175" i="1"/>
  <c r="G175" i="1"/>
  <c r="K175" i="1"/>
  <c r="N175" i="1"/>
  <c r="O175" i="1"/>
  <c r="V175" i="1"/>
  <c r="AB175" i="1"/>
  <c r="AC175" i="1"/>
  <c r="AD175" i="1"/>
  <c r="AG175" i="1"/>
  <c r="AH175" i="1"/>
  <c r="AI175" i="1"/>
  <c r="AJ175" i="1"/>
  <c r="AK175" i="1"/>
  <c r="AM175" i="1"/>
  <c r="AN175" i="1"/>
  <c r="AO175" i="1"/>
  <c r="AP175" i="1"/>
  <c r="AQ175" i="1"/>
  <c r="A176" i="1"/>
  <c r="B176" i="1"/>
  <c r="C176" i="1"/>
  <c r="D176" i="1"/>
  <c r="E176" i="1"/>
  <c r="F176" i="1"/>
  <c r="G176" i="1"/>
  <c r="K176" i="1"/>
  <c r="N176" i="1"/>
  <c r="O176" i="1"/>
  <c r="V176" i="1"/>
  <c r="AB176" i="1"/>
  <c r="AC176" i="1"/>
  <c r="AD176" i="1"/>
  <c r="AG176" i="1"/>
  <c r="AH176" i="1"/>
  <c r="AI176" i="1"/>
  <c r="AJ176" i="1"/>
  <c r="AK176" i="1"/>
  <c r="AM176" i="1"/>
  <c r="AN176" i="1"/>
  <c r="AO176" i="1"/>
  <c r="AP176" i="1"/>
  <c r="AQ176" i="1"/>
  <c r="A177" i="1"/>
  <c r="B177" i="1"/>
  <c r="C177" i="1"/>
  <c r="D177" i="1"/>
  <c r="E177" i="1"/>
  <c r="F177" i="1"/>
  <c r="G177" i="1"/>
  <c r="K177" i="1"/>
  <c r="N177" i="1"/>
  <c r="O177" i="1"/>
  <c r="S177" i="1"/>
  <c r="U177" i="1"/>
  <c r="V177" i="1"/>
  <c r="AB177" i="1"/>
  <c r="AC177" i="1"/>
  <c r="AD177" i="1"/>
  <c r="AG177" i="1"/>
  <c r="AH177" i="1"/>
  <c r="AI177" i="1"/>
  <c r="AJ177" i="1"/>
  <c r="AK177" i="1"/>
  <c r="AM177" i="1"/>
  <c r="AN177" i="1"/>
  <c r="AO177" i="1"/>
  <c r="AP177" i="1"/>
  <c r="AQ177" i="1"/>
  <c r="A178" i="1"/>
  <c r="B178" i="1"/>
  <c r="C178" i="1"/>
  <c r="D178" i="1"/>
  <c r="E178" i="1"/>
  <c r="F178" i="1"/>
  <c r="G178" i="1"/>
  <c r="K178" i="1"/>
  <c r="N178" i="1"/>
  <c r="O178" i="1"/>
  <c r="V178" i="1"/>
  <c r="AB178" i="1"/>
  <c r="AC178" i="1"/>
  <c r="AD178" i="1"/>
  <c r="AG178" i="1"/>
  <c r="AH178" i="1"/>
  <c r="AI178" i="1"/>
  <c r="AJ178" i="1"/>
  <c r="AK178" i="1"/>
  <c r="AM178" i="1"/>
  <c r="AN178" i="1"/>
  <c r="AO178" i="1"/>
  <c r="AP178" i="1"/>
  <c r="AQ178" i="1"/>
  <c r="A179" i="1"/>
  <c r="B179" i="1"/>
  <c r="C179" i="1"/>
  <c r="D179" i="1"/>
  <c r="E179" i="1"/>
  <c r="F179" i="1"/>
  <c r="G179" i="1"/>
  <c r="K179" i="1"/>
  <c r="N179" i="1"/>
  <c r="O179" i="1"/>
  <c r="V179" i="1"/>
  <c r="AB179" i="1"/>
  <c r="AC179" i="1"/>
  <c r="AD179" i="1"/>
  <c r="AG179" i="1"/>
  <c r="AH179" i="1"/>
  <c r="AI179" i="1"/>
  <c r="AJ179" i="1"/>
  <c r="AK179" i="1"/>
  <c r="AM179" i="1"/>
  <c r="AN179" i="1"/>
  <c r="AO179" i="1"/>
  <c r="AP179" i="1"/>
  <c r="AQ179" i="1"/>
  <c r="A180" i="1"/>
  <c r="B180" i="1"/>
  <c r="C180" i="1"/>
  <c r="D180" i="1"/>
  <c r="E180" i="1"/>
  <c r="F180" i="1"/>
  <c r="G180" i="1"/>
  <c r="K180" i="1"/>
  <c r="N180" i="1"/>
  <c r="O180" i="1"/>
  <c r="V180" i="1"/>
  <c r="AB180" i="1"/>
  <c r="AC180" i="1"/>
  <c r="AD180" i="1"/>
  <c r="AG180" i="1"/>
  <c r="AH180" i="1"/>
  <c r="AI180" i="1"/>
  <c r="AJ180" i="1"/>
  <c r="AK180" i="1"/>
  <c r="AM180" i="1"/>
  <c r="AN180" i="1"/>
  <c r="AO180" i="1"/>
  <c r="AP180" i="1"/>
  <c r="AQ180" i="1"/>
  <c r="A181" i="1"/>
  <c r="B181" i="1"/>
  <c r="C181" i="1"/>
  <c r="D181" i="1"/>
  <c r="E181" i="1"/>
  <c r="F181" i="1"/>
  <c r="G181" i="1"/>
  <c r="K181" i="1"/>
  <c r="N181" i="1"/>
  <c r="O181" i="1"/>
  <c r="V181" i="1"/>
  <c r="AB181" i="1"/>
  <c r="AC181" i="1"/>
  <c r="AD181" i="1"/>
  <c r="AG181" i="1"/>
  <c r="AH181" i="1"/>
  <c r="AI181" i="1"/>
  <c r="AJ181" i="1"/>
  <c r="AK181" i="1"/>
  <c r="AM181" i="1"/>
  <c r="AN181" i="1"/>
  <c r="AO181" i="1"/>
  <c r="AP181" i="1"/>
  <c r="AQ181" i="1"/>
  <c r="A182" i="1"/>
  <c r="B182" i="1"/>
  <c r="C182" i="1"/>
  <c r="D182" i="1"/>
  <c r="E182" i="1"/>
  <c r="F182" i="1"/>
  <c r="G182" i="1"/>
  <c r="K182" i="1"/>
  <c r="N182" i="1"/>
  <c r="O182" i="1"/>
  <c r="V182" i="1"/>
  <c r="AB182" i="1"/>
  <c r="AC182" i="1"/>
  <c r="AD182" i="1"/>
  <c r="AG182" i="1"/>
  <c r="AH182" i="1"/>
  <c r="AI182" i="1"/>
  <c r="AJ182" i="1"/>
  <c r="AK182" i="1"/>
  <c r="AM182" i="1"/>
  <c r="AN182" i="1"/>
  <c r="AO182" i="1"/>
  <c r="AP182" i="1"/>
  <c r="AQ182" i="1"/>
  <c r="A183" i="1"/>
  <c r="B183" i="1"/>
  <c r="C183" i="1"/>
  <c r="D183" i="1"/>
  <c r="E183" i="1"/>
  <c r="F183" i="1"/>
  <c r="G183" i="1"/>
  <c r="K183" i="1"/>
  <c r="N183" i="1"/>
  <c r="O183" i="1"/>
  <c r="S183" i="1"/>
  <c r="U183" i="1"/>
  <c r="V183" i="1"/>
  <c r="AB183" i="1"/>
  <c r="AC183" i="1"/>
  <c r="AD183" i="1"/>
  <c r="AG183" i="1"/>
  <c r="AH183" i="1"/>
  <c r="AI183" i="1"/>
  <c r="AJ183" i="1"/>
  <c r="AK183" i="1"/>
  <c r="AM183" i="1"/>
  <c r="AN183" i="1"/>
  <c r="AO183" i="1"/>
  <c r="AP183" i="1"/>
  <c r="AQ183" i="1"/>
  <c r="A184" i="1"/>
  <c r="B184" i="1"/>
  <c r="C184" i="1"/>
  <c r="D184" i="1"/>
  <c r="E184" i="1"/>
  <c r="F184" i="1"/>
  <c r="G184" i="1"/>
  <c r="K184" i="1"/>
  <c r="N184" i="1"/>
  <c r="O184" i="1"/>
  <c r="V184" i="1"/>
  <c r="AB184" i="1"/>
  <c r="AC184" i="1"/>
  <c r="AD184" i="1"/>
  <c r="AG184" i="1"/>
  <c r="AH184" i="1"/>
  <c r="AI184" i="1"/>
  <c r="AJ184" i="1"/>
  <c r="AK184" i="1"/>
  <c r="AM184" i="1"/>
  <c r="AN184" i="1"/>
  <c r="AO184" i="1"/>
  <c r="AP184" i="1"/>
  <c r="AQ184" i="1"/>
  <c r="A185" i="1"/>
  <c r="B185" i="1"/>
  <c r="C185" i="1"/>
  <c r="D185" i="1"/>
  <c r="E185" i="1"/>
  <c r="F185" i="1"/>
  <c r="G185" i="1"/>
  <c r="K185" i="1"/>
  <c r="N185" i="1"/>
  <c r="O185" i="1"/>
  <c r="V185" i="1"/>
  <c r="AB185" i="1"/>
  <c r="AC185" i="1"/>
  <c r="AD185" i="1"/>
  <c r="AG185" i="1"/>
  <c r="AH185" i="1"/>
  <c r="AI185" i="1"/>
  <c r="AJ185" i="1"/>
  <c r="AK185" i="1"/>
  <c r="AM185" i="1"/>
  <c r="AN185" i="1"/>
  <c r="AO185" i="1"/>
  <c r="AP185" i="1"/>
  <c r="AQ185" i="1"/>
  <c r="A186" i="1"/>
  <c r="B186" i="1"/>
  <c r="C186" i="1"/>
  <c r="D186" i="1"/>
  <c r="E186" i="1"/>
  <c r="F186" i="1"/>
  <c r="G186" i="1"/>
  <c r="K186" i="1"/>
  <c r="N186" i="1"/>
  <c r="O186" i="1"/>
  <c r="V186" i="1"/>
  <c r="AB186" i="1"/>
  <c r="AC186" i="1"/>
  <c r="AD186" i="1"/>
  <c r="AG186" i="1"/>
  <c r="AH186" i="1"/>
  <c r="AI186" i="1"/>
  <c r="AJ186" i="1"/>
  <c r="AK186" i="1"/>
  <c r="AM186" i="1"/>
  <c r="AN186" i="1"/>
  <c r="AO186" i="1"/>
  <c r="AP186" i="1"/>
  <c r="AQ186" i="1"/>
  <c r="A187" i="1"/>
  <c r="B187" i="1"/>
  <c r="C187" i="1"/>
  <c r="D187" i="1"/>
  <c r="E187" i="1"/>
  <c r="F187" i="1"/>
  <c r="G187" i="1"/>
  <c r="N187" i="1"/>
  <c r="O187" i="1"/>
  <c r="V187" i="1"/>
  <c r="AB187" i="1"/>
  <c r="AC187" i="1"/>
  <c r="AD187" i="1"/>
  <c r="AG187" i="1"/>
  <c r="AH187" i="1"/>
  <c r="AI187" i="1"/>
  <c r="AJ187" i="1"/>
  <c r="AK187" i="1"/>
  <c r="AM187" i="1"/>
  <c r="AN187" i="1"/>
  <c r="AO187" i="1"/>
  <c r="AP187" i="1"/>
  <c r="AQ187" i="1"/>
  <c r="A188" i="1"/>
  <c r="B188" i="1"/>
  <c r="C188" i="1"/>
  <c r="D188" i="1"/>
  <c r="E188" i="1"/>
  <c r="F188" i="1"/>
  <c r="G188" i="1"/>
  <c r="K188" i="1"/>
  <c r="N188" i="1"/>
  <c r="O188" i="1"/>
  <c r="V188" i="1"/>
  <c r="AB188" i="1"/>
  <c r="AC188" i="1"/>
  <c r="AD188" i="1"/>
  <c r="AG188" i="1"/>
  <c r="AH188" i="1"/>
  <c r="AI188" i="1"/>
  <c r="AJ188" i="1"/>
  <c r="AK188" i="1"/>
  <c r="AM188" i="1"/>
  <c r="AN188" i="1"/>
  <c r="AO188" i="1"/>
  <c r="AP188" i="1"/>
  <c r="AQ188" i="1"/>
  <c r="A189" i="1"/>
  <c r="B189" i="1"/>
  <c r="C189" i="1"/>
  <c r="D189" i="1"/>
  <c r="E189" i="1"/>
  <c r="F189" i="1"/>
  <c r="G189" i="1"/>
  <c r="K189" i="1"/>
  <c r="N189" i="1"/>
  <c r="O189" i="1"/>
  <c r="V189" i="1"/>
  <c r="AB189" i="1"/>
  <c r="AC189" i="1"/>
  <c r="AD189" i="1"/>
  <c r="AG189" i="1"/>
  <c r="AH189" i="1"/>
  <c r="AI189" i="1"/>
  <c r="AJ189" i="1"/>
  <c r="AK189" i="1"/>
  <c r="AM189" i="1"/>
  <c r="AN189" i="1"/>
  <c r="AO189" i="1"/>
  <c r="AP189" i="1"/>
  <c r="AQ189" i="1"/>
  <c r="A190" i="1"/>
  <c r="B190" i="1"/>
  <c r="C190" i="1"/>
  <c r="D190" i="1"/>
  <c r="E190" i="1"/>
  <c r="F190" i="1"/>
  <c r="G190" i="1"/>
  <c r="N190" i="1"/>
  <c r="O190" i="1"/>
  <c r="V190" i="1"/>
  <c r="AB190" i="1"/>
  <c r="AC190" i="1"/>
  <c r="AD190" i="1"/>
  <c r="AG190" i="1"/>
  <c r="AH190" i="1"/>
  <c r="AI190" i="1"/>
  <c r="AJ190" i="1"/>
  <c r="AK190" i="1"/>
  <c r="AM190" i="1"/>
  <c r="AN190" i="1"/>
  <c r="AO190" i="1"/>
  <c r="AP190" i="1"/>
  <c r="AQ190" i="1"/>
  <c r="A191" i="1"/>
  <c r="B191" i="1"/>
  <c r="C191" i="1"/>
  <c r="D191" i="1"/>
  <c r="E191" i="1"/>
  <c r="F191" i="1"/>
  <c r="G191" i="1"/>
  <c r="K191" i="1"/>
  <c r="N191" i="1"/>
  <c r="O191" i="1"/>
  <c r="V191" i="1"/>
  <c r="Z191" i="1"/>
  <c r="AB191" i="1"/>
  <c r="AC191" i="1"/>
  <c r="AD191" i="1"/>
  <c r="AG191" i="1"/>
  <c r="AH191" i="1"/>
  <c r="AI191" i="1"/>
  <c r="AJ191" i="1"/>
  <c r="AK191" i="1"/>
  <c r="AM191" i="1"/>
  <c r="AN191" i="1"/>
  <c r="AO191" i="1"/>
  <c r="AP191" i="1"/>
  <c r="AQ191" i="1"/>
  <c r="A192" i="1"/>
  <c r="B192" i="1"/>
  <c r="C192" i="1"/>
  <c r="D192" i="1"/>
  <c r="E192" i="1"/>
  <c r="F192" i="1"/>
  <c r="G192" i="1"/>
  <c r="K192" i="1"/>
  <c r="N192" i="1"/>
  <c r="O192" i="1"/>
  <c r="V192" i="1"/>
  <c r="Z192" i="1"/>
  <c r="AB192" i="1"/>
  <c r="AC192" i="1"/>
  <c r="AD192" i="1"/>
  <c r="AG192" i="1"/>
  <c r="AH192" i="1"/>
  <c r="AI192" i="1"/>
  <c r="AJ192" i="1"/>
  <c r="AK192" i="1"/>
  <c r="AM192" i="1"/>
  <c r="AN192" i="1"/>
  <c r="AO192" i="1"/>
  <c r="AP192" i="1"/>
  <c r="AQ192" i="1"/>
  <c r="A193" i="1"/>
  <c r="B193" i="1"/>
  <c r="C193" i="1"/>
  <c r="D193" i="1"/>
  <c r="E193" i="1"/>
  <c r="F193" i="1"/>
  <c r="G193" i="1"/>
  <c r="K193" i="1"/>
  <c r="L193" i="1"/>
  <c r="N193" i="1"/>
  <c r="O193" i="1"/>
  <c r="V193" i="1"/>
  <c r="Z193" i="1"/>
  <c r="AB193" i="1"/>
  <c r="AC193" i="1"/>
  <c r="AD193" i="1"/>
  <c r="AG193" i="1"/>
  <c r="AH193" i="1"/>
  <c r="AI193" i="1"/>
  <c r="AJ193" i="1"/>
  <c r="AK193" i="1"/>
  <c r="AM193" i="1"/>
  <c r="AN193" i="1"/>
  <c r="AO193" i="1"/>
  <c r="AP193" i="1"/>
  <c r="AQ193" i="1"/>
  <c r="A194" i="1"/>
  <c r="B194" i="1"/>
  <c r="C194" i="1"/>
  <c r="D194" i="1"/>
  <c r="E194" i="1"/>
  <c r="F194" i="1"/>
  <c r="G194" i="1"/>
  <c r="K194" i="1"/>
  <c r="N194" i="1"/>
  <c r="O194" i="1"/>
  <c r="V194" i="1"/>
  <c r="Z194" i="1"/>
  <c r="AB194" i="1"/>
  <c r="AC194" i="1"/>
  <c r="AD194" i="1"/>
  <c r="AG194" i="1"/>
  <c r="AH194" i="1"/>
  <c r="AI194" i="1"/>
  <c r="AJ194" i="1"/>
  <c r="AK194" i="1"/>
  <c r="AM194" i="1"/>
  <c r="AN194" i="1"/>
  <c r="AO194" i="1"/>
  <c r="AP194" i="1"/>
  <c r="AQ194" i="1"/>
  <c r="A195" i="1"/>
  <c r="B195" i="1"/>
  <c r="C195" i="1"/>
  <c r="D195" i="1"/>
  <c r="E195" i="1"/>
  <c r="F195" i="1"/>
  <c r="G195" i="1"/>
  <c r="K195" i="1"/>
  <c r="N195" i="1"/>
  <c r="O195" i="1"/>
  <c r="V195" i="1"/>
  <c r="Z195" i="1"/>
  <c r="AB195" i="1"/>
  <c r="AC195" i="1"/>
  <c r="AD195" i="1"/>
  <c r="AG195" i="1"/>
  <c r="AH195" i="1"/>
  <c r="AI195" i="1"/>
  <c r="AJ195" i="1"/>
  <c r="AK195" i="1"/>
  <c r="AM195" i="1"/>
  <c r="AN195" i="1"/>
  <c r="AO195" i="1"/>
  <c r="AP195" i="1"/>
  <c r="AQ195" i="1"/>
  <c r="A196" i="1"/>
  <c r="B196" i="1"/>
  <c r="C196" i="1"/>
  <c r="D196" i="1"/>
  <c r="E196" i="1"/>
  <c r="F196" i="1"/>
  <c r="G196" i="1"/>
  <c r="K196" i="1"/>
  <c r="N196" i="1"/>
  <c r="O196" i="1"/>
  <c r="V196" i="1"/>
  <c r="Z196" i="1"/>
  <c r="AB196" i="1"/>
  <c r="AC196" i="1"/>
  <c r="AD196" i="1"/>
  <c r="AG196" i="1"/>
  <c r="AH196" i="1"/>
  <c r="AI196" i="1"/>
  <c r="AJ196" i="1"/>
  <c r="AK196" i="1"/>
  <c r="AM196" i="1"/>
  <c r="AN196" i="1"/>
  <c r="AO196" i="1"/>
  <c r="AP196" i="1"/>
  <c r="AQ196" i="1"/>
  <c r="A197" i="1"/>
  <c r="B197" i="1"/>
  <c r="C197" i="1"/>
  <c r="D197" i="1"/>
  <c r="E197" i="1"/>
  <c r="F197" i="1"/>
  <c r="G197" i="1"/>
  <c r="K197" i="1"/>
  <c r="N197" i="1"/>
  <c r="O197" i="1"/>
  <c r="V197" i="1"/>
  <c r="Z197" i="1"/>
  <c r="AB197" i="1"/>
  <c r="AC197" i="1"/>
  <c r="AD197" i="1"/>
  <c r="AG197" i="1"/>
  <c r="AH197" i="1"/>
  <c r="AI197" i="1"/>
  <c r="AJ197" i="1"/>
  <c r="AK197" i="1"/>
  <c r="AM197" i="1"/>
  <c r="AN197" i="1"/>
  <c r="AO197" i="1"/>
  <c r="AP197" i="1"/>
  <c r="AQ197" i="1"/>
  <c r="A198" i="1"/>
  <c r="B198" i="1"/>
  <c r="C198" i="1"/>
  <c r="D198" i="1"/>
  <c r="E198" i="1"/>
  <c r="F198" i="1"/>
  <c r="G198" i="1"/>
  <c r="K198" i="1"/>
  <c r="N198" i="1"/>
  <c r="O198" i="1"/>
  <c r="V198" i="1"/>
  <c r="Z198" i="1"/>
  <c r="AB198" i="1"/>
  <c r="AC198" i="1"/>
  <c r="AD198" i="1"/>
  <c r="AG198" i="1"/>
  <c r="AH198" i="1"/>
  <c r="AI198" i="1"/>
  <c r="AJ198" i="1"/>
  <c r="AK198" i="1"/>
  <c r="AM198" i="1"/>
  <c r="AN198" i="1"/>
  <c r="AO198" i="1"/>
  <c r="AP198" i="1"/>
  <c r="AQ198" i="1"/>
  <c r="A199" i="1"/>
  <c r="B199" i="1"/>
  <c r="C199" i="1"/>
  <c r="D199" i="1"/>
  <c r="E199" i="1"/>
  <c r="F199" i="1"/>
  <c r="G199" i="1"/>
  <c r="K199" i="1"/>
  <c r="N199" i="1"/>
  <c r="O199" i="1"/>
  <c r="V199" i="1"/>
  <c r="Z199" i="1"/>
  <c r="AB199" i="1"/>
  <c r="AC199" i="1"/>
  <c r="AD199" i="1"/>
  <c r="AG199" i="1"/>
  <c r="AH199" i="1"/>
  <c r="AI199" i="1"/>
  <c r="AJ199" i="1"/>
  <c r="AK199" i="1"/>
  <c r="AM199" i="1"/>
  <c r="AN199" i="1"/>
  <c r="AO199" i="1"/>
  <c r="AP199" i="1"/>
  <c r="AQ199" i="1"/>
  <c r="A200" i="1"/>
  <c r="B200" i="1"/>
  <c r="C200" i="1"/>
  <c r="D200" i="1"/>
  <c r="E200" i="1"/>
  <c r="F200" i="1"/>
  <c r="G200" i="1"/>
  <c r="K200" i="1"/>
  <c r="N200" i="1"/>
  <c r="O200" i="1"/>
  <c r="V200" i="1"/>
  <c r="Z200" i="1"/>
  <c r="AB200" i="1"/>
  <c r="AC200" i="1"/>
  <c r="AD200" i="1"/>
  <c r="AG200" i="1"/>
  <c r="AH200" i="1"/>
  <c r="AI200" i="1"/>
  <c r="AJ200" i="1"/>
  <c r="AK200" i="1"/>
  <c r="AM200" i="1"/>
  <c r="AN200" i="1"/>
  <c r="AO200" i="1"/>
  <c r="AP200" i="1"/>
  <c r="AQ200" i="1"/>
  <c r="A201" i="1"/>
  <c r="B201" i="1"/>
  <c r="C201" i="1"/>
  <c r="D201" i="1"/>
  <c r="E201" i="1"/>
  <c r="F201" i="1"/>
  <c r="G201" i="1"/>
  <c r="K201" i="1"/>
  <c r="N201" i="1"/>
  <c r="O201" i="1"/>
  <c r="V201" i="1"/>
  <c r="AB201" i="1"/>
  <c r="AC201" i="1"/>
  <c r="AD201" i="1"/>
  <c r="AE201" i="1"/>
  <c r="AG201" i="1"/>
  <c r="AH201" i="1"/>
  <c r="AI201" i="1"/>
  <c r="AJ201" i="1"/>
  <c r="AK201" i="1"/>
  <c r="AM201" i="1"/>
  <c r="AN201" i="1"/>
  <c r="AO201" i="1"/>
  <c r="AP201" i="1"/>
  <c r="AQ201" i="1"/>
  <c r="A202" i="1"/>
  <c r="B202" i="1"/>
  <c r="C202" i="1"/>
  <c r="D202" i="1"/>
  <c r="E202" i="1"/>
  <c r="F202" i="1"/>
  <c r="G202" i="1"/>
  <c r="K202" i="1"/>
  <c r="N202" i="1"/>
  <c r="O202" i="1"/>
  <c r="S202" i="1"/>
  <c r="U202" i="1"/>
  <c r="V202" i="1"/>
  <c r="AB202" i="1"/>
  <c r="AC202" i="1"/>
  <c r="AD202" i="1"/>
  <c r="AE202" i="1"/>
  <c r="AG202" i="1"/>
  <c r="AH202" i="1"/>
  <c r="AI202" i="1"/>
  <c r="AJ202" i="1"/>
  <c r="AK202" i="1"/>
  <c r="AM202" i="1"/>
  <c r="AN202" i="1"/>
  <c r="AO202" i="1"/>
  <c r="AP202" i="1"/>
  <c r="AQ202" i="1"/>
  <c r="A203" i="1"/>
  <c r="B203" i="1"/>
  <c r="C203" i="1"/>
  <c r="D203" i="1"/>
  <c r="E203" i="1"/>
  <c r="F203" i="1"/>
  <c r="G203" i="1"/>
  <c r="K203" i="1"/>
  <c r="N203" i="1"/>
  <c r="O203" i="1"/>
  <c r="V203" i="1"/>
  <c r="AB203" i="1"/>
  <c r="AC203" i="1"/>
  <c r="AD203" i="1"/>
  <c r="AG203" i="1"/>
  <c r="AH203" i="1"/>
  <c r="AI203" i="1"/>
  <c r="AJ203" i="1"/>
  <c r="AK203" i="1"/>
  <c r="AM203" i="1"/>
  <c r="AN203" i="1"/>
  <c r="AO203" i="1"/>
  <c r="AP203" i="1"/>
  <c r="AQ203" i="1"/>
  <c r="A204" i="1"/>
  <c r="B204" i="1"/>
  <c r="C204" i="1"/>
  <c r="D204" i="1"/>
  <c r="E204" i="1"/>
  <c r="F204" i="1"/>
  <c r="G204" i="1"/>
  <c r="K204" i="1"/>
  <c r="N204" i="1"/>
  <c r="O204" i="1"/>
  <c r="S204" i="1"/>
  <c r="U204" i="1"/>
  <c r="V204" i="1"/>
  <c r="AB204" i="1"/>
  <c r="AC204" i="1"/>
  <c r="AD204" i="1"/>
  <c r="AG204" i="1"/>
  <c r="AH204" i="1"/>
  <c r="AI204" i="1"/>
  <c r="AJ204" i="1"/>
  <c r="AK204" i="1"/>
  <c r="AM204" i="1"/>
  <c r="AN204" i="1"/>
  <c r="AO204" i="1"/>
  <c r="AP204" i="1"/>
  <c r="AQ204" i="1"/>
  <c r="A205" i="1"/>
  <c r="B205" i="1"/>
  <c r="C205" i="1"/>
  <c r="D205" i="1"/>
  <c r="E205" i="1"/>
  <c r="F205" i="1"/>
  <c r="G205" i="1"/>
  <c r="K205" i="1"/>
  <c r="N205" i="1"/>
  <c r="O205" i="1"/>
  <c r="V205" i="1"/>
  <c r="AB205" i="1"/>
  <c r="AC205" i="1"/>
  <c r="AD205" i="1"/>
  <c r="AG205" i="1"/>
  <c r="AH205" i="1"/>
  <c r="AI205" i="1"/>
  <c r="AJ205" i="1"/>
  <c r="AK205" i="1"/>
  <c r="AM205" i="1"/>
  <c r="AN205" i="1"/>
  <c r="AO205" i="1"/>
  <c r="AP205" i="1"/>
  <c r="AQ205" i="1"/>
  <c r="A206" i="1"/>
  <c r="B206" i="1"/>
  <c r="C206" i="1"/>
  <c r="D206" i="1"/>
  <c r="E206" i="1"/>
  <c r="F206" i="1"/>
  <c r="G206" i="1"/>
  <c r="K206" i="1"/>
  <c r="N206" i="1"/>
  <c r="O206" i="1"/>
  <c r="V206" i="1"/>
  <c r="AB206" i="1"/>
  <c r="AC206" i="1"/>
  <c r="AD206" i="1"/>
  <c r="AG206" i="1"/>
  <c r="AH206" i="1"/>
  <c r="AI206" i="1"/>
  <c r="AJ206" i="1"/>
  <c r="AK206" i="1"/>
  <c r="AM206" i="1"/>
  <c r="AN206" i="1"/>
  <c r="AO206" i="1"/>
  <c r="AP206" i="1"/>
  <c r="AQ206" i="1"/>
  <c r="A207" i="1"/>
  <c r="B207" i="1"/>
  <c r="C207" i="1"/>
  <c r="D207" i="1"/>
  <c r="E207" i="1"/>
  <c r="F207" i="1"/>
  <c r="G207" i="1"/>
  <c r="K207" i="1"/>
  <c r="N207" i="1"/>
  <c r="O207" i="1"/>
  <c r="V207" i="1"/>
  <c r="AB207" i="1"/>
  <c r="AC207" i="1"/>
  <c r="AD207" i="1"/>
  <c r="AG207" i="1"/>
  <c r="AH207" i="1"/>
  <c r="AI207" i="1"/>
  <c r="AJ207" i="1"/>
  <c r="AK207" i="1"/>
  <c r="AM207" i="1"/>
  <c r="AN207" i="1"/>
  <c r="AO207" i="1"/>
  <c r="AP207" i="1"/>
  <c r="AQ207" i="1"/>
  <c r="A208" i="1"/>
  <c r="B208" i="1"/>
  <c r="C208" i="1"/>
  <c r="D208" i="1"/>
  <c r="E208" i="1"/>
  <c r="F208" i="1"/>
  <c r="G208" i="1"/>
  <c r="K208" i="1"/>
  <c r="N208" i="1"/>
  <c r="O208" i="1"/>
  <c r="V208" i="1"/>
  <c r="AB208" i="1"/>
  <c r="AC208" i="1"/>
  <c r="AD208" i="1"/>
  <c r="AG208" i="1"/>
  <c r="AH208" i="1"/>
  <c r="AI208" i="1"/>
  <c r="AJ208" i="1"/>
  <c r="AK208" i="1"/>
  <c r="AM208" i="1"/>
  <c r="AN208" i="1"/>
  <c r="AO208" i="1"/>
  <c r="AP208" i="1"/>
  <c r="AQ208" i="1"/>
  <c r="A209" i="1"/>
  <c r="B209" i="1"/>
  <c r="C209" i="1"/>
  <c r="D209" i="1"/>
  <c r="E209" i="1"/>
  <c r="F209" i="1"/>
  <c r="G209" i="1"/>
  <c r="K209" i="1"/>
  <c r="N209" i="1"/>
  <c r="O209" i="1"/>
  <c r="V209" i="1"/>
  <c r="AB209" i="1"/>
  <c r="AC209" i="1"/>
  <c r="AD209" i="1"/>
  <c r="AE209" i="1"/>
  <c r="AG209" i="1"/>
  <c r="AH209" i="1"/>
  <c r="AI209" i="1"/>
  <c r="AJ209" i="1"/>
  <c r="AK209" i="1"/>
  <c r="AM209" i="1"/>
  <c r="AN209" i="1"/>
  <c r="AO209" i="1"/>
  <c r="AP209" i="1"/>
  <c r="AQ209" i="1"/>
  <c r="A210" i="1"/>
  <c r="B210" i="1"/>
  <c r="C210" i="1"/>
  <c r="D210" i="1"/>
  <c r="E210" i="1"/>
  <c r="F210" i="1"/>
  <c r="G210" i="1"/>
  <c r="K210" i="1"/>
  <c r="N210" i="1"/>
  <c r="O210" i="1"/>
  <c r="V210" i="1"/>
  <c r="AB210" i="1"/>
  <c r="AC210" i="1"/>
  <c r="AD210" i="1"/>
  <c r="AG210" i="1"/>
  <c r="AH210" i="1"/>
  <c r="AI210" i="1"/>
  <c r="AJ210" i="1"/>
  <c r="AK210" i="1"/>
  <c r="AM210" i="1"/>
  <c r="AN210" i="1"/>
  <c r="AO210" i="1"/>
  <c r="AP210" i="1"/>
  <c r="AQ210" i="1"/>
  <c r="A211" i="1"/>
  <c r="B211" i="1"/>
  <c r="C211" i="1"/>
  <c r="D211" i="1"/>
  <c r="E211" i="1"/>
  <c r="F211" i="1"/>
  <c r="G211" i="1"/>
  <c r="K211" i="1"/>
  <c r="N211" i="1"/>
  <c r="O211" i="1"/>
  <c r="V211" i="1"/>
  <c r="AB211" i="1"/>
  <c r="AC211" i="1"/>
  <c r="AD211" i="1"/>
  <c r="AG211" i="1"/>
  <c r="AH211" i="1"/>
  <c r="AI211" i="1"/>
  <c r="AJ211" i="1"/>
  <c r="AK211" i="1"/>
  <c r="AM211" i="1"/>
  <c r="AN211" i="1"/>
  <c r="AO211" i="1"/>
  <c r="AP211" i="1"/>
  <c r="AQ211" i="1"/>
  <c r="A212" i="1"/>
  <c r="B212" i="1"/>
  <c r="C212" i="1"/>
  <c r="D212" i="1"/>
  <c r="E212" i="1"/>
  <c r="F212" i="1"/>
  <c r="G212" i="1"/>
  <c r="K212" i="1"/>
  <c r="N212" i="1"/>
  <c r="O212" i="1"/>
  <c r="V212" i="1"/>
  <c r="AB212" i="1"/>
  <c r="AC212" i="1"/>
  <c r="AD212" i="1"/>
  <c r="AE212" i="1"/>
  <c r="AG212" i="1"/>
  <c r="AH212" i="1"/>
  <c r="AI212" i="1"/>
  <c r="AJ212" i="1"/>
  <c r="AK212" i="1"/>
  <c r="AM212" i="1"/>
  <c r="AN212" i="1"/>
  <c r="AO212" i="1"/>
  <c r="AP212" i="1"/>
  <c r="AQ212" i="1"/>
  <c r="A213" i="1"/>
  <c r="B213" i="1"/>
  <c r="C213" i="1"/>
  <c r="D213" i="1"/>
  <c r="E213" i="1"/>
  <c r="F213" i="1"/>
  <c r="G213" i="1"/>
  <c r="K213" i="1"/>
  <c r="N213" i="1"/>
  <c r="O213" i="1"/>
  <c r="V213" i="1"/>
  <c r="AB213" i="1"/>
  <c r="AC213" i="1"/>
  <c r="AD213" i="1"/>
  <c r="AG213" i="1"/>
  <c r="AH213" i="1"/>
  <c r="AI213" i="1"/>
  <c r="AJ213" i="1"/>
  <c r="AK213" i="1"/>
  <c r="AM213" i="1"/>
  <c r="AN213" i="1"/>
  <c r="AO213" i="1"/>
  <c r="AP213" i="1"/>
  <c r="AQ213" i="1"/>
  <c r="A214" i="1"/>
  <c r="B214" i="1"/>
  <c r="C214" i="1"/>
  <c r="D214" i="1"/>
  <c r="E214" i="1"/>
  <c r="F214" i="1"/>
  <c r="G214" i="1"/>
  <c r="K214" i="1"/>
  <c r="N214" i="1"/>
  <c r="O214" i="1"/>
  <c r="V214" i="1"/>
  <c r="AB214" i="1"/>
  <c r="AC214" i="1"/>
  <c r="AD214" i="1"/>
  <c r="AG214" i="1"/>
  <c r="AH214" i="1"/>
  <c r="AI214" i="1"/>
  <c r="AJ214" i="1"/>
  <c r="AK214" i="1"/>
  <c r="AM214" i="1"/>
  <c r="AN214" i="1"/>
  <c r="AO214" i="1"/>
  <c r="AP214" i="1"/>
  <c r="AQ214" i="1"/>
  <c r="A215" i="1"/>
  <c r="B215" i="1"/>
  <c r="C215" i="1"/>
  <c r="D215" i="1"/>
  <c r="E215" i="1"/>
  <c r="F215" i="1"/>
  <c r="G215" i="1"/>
  <c r="K215" i="1"/>
  <c r="N215" i="1"/>
  <c r="O215" i="1"/>
  <c r="V215" i="1"/>
  <c r="AB215" i="1"/>
  <c r="AC215" i="1"/>
  <c r="AD215" i="1"/>
  <c r="AG215" i="1"/>
  <c r="AH215" i="1"/>
  <c r="AI215" i="1"/>
  <c r="AJ215" i="1"/>
  <c r="AK215" i="1"/>
  <c r="AM215" i="1"/>
  <c r="AN215" i="1"/>
  <c r="AO215" i="1"/>
  <c r="AP215" i="1"/>
  <c r="AQ215" i="1"/>
  <c r="A216" i="1"/>
  <c r="B216" i="1"/>
  <c r="C216" i="1"/>
  <c r="D216" i="1"/>
  <c r="E216" i="1"/>
  <c r="F216" i="1"/>
  <c r="G216" i="1"/>
  <c r="K216" i="1"/>
  <c r="N216" i="1"/>
  <c r="O216" i="1"/>
  <c r="V216" i="1"/>
  <c r="AB216" i="1"/>
  <c r="AC216" i="1"/>
  <c r="AD216" i="1"/>
  <c r="AG216" i="1"/>
  <c r="AH216" i="1"/>
  <c r="AI216" i="1"/>
  <c r="AJ216" i="1"/>
  <c r="AK216" i="1"/>
  <c r="AM216" i="1"/>
  <c r="AN216" i="1"/>
  <c r="AO216" i="1"/>
  <c r="AP216" i="1"/>
  <c r="AQ216" i="1"/>
  <c r="A217" i="1"/>
  <c r="B217" i="1"/>
  <c r="C217" i="1"/>
  <c r="D217" i="1"/>
  <c r="E217" i="1"/>
  <c r="F217" i="1"/>
  <c r="G217" i="1"/>
  <c r="K217" i="1"/>
  <c r="N217" i="1"/>
  <c r="O217" i="1"/>
  <c r="V217" i="1"/>
  <c r="AB217" i="1"/>
  <c r="AC217" i="1"/>
  <c r="AD217" i="1"/>
  <c r="AG217" i="1"/>
  <c r="AH217" i="1"/>
  <c r="AI217" i="1"/>
  <c r="AJ217" i="1"/>
  <c r="AK217" i="1"/>
  <c r="AM217" i="1"/>
  <c r="AN217" i="1"/>
  <c r="AO217" i="1"/>
  <c r="AP217" i="1"/>
  <c r="AQ217" i="1"/>
  <c r="A218" i="1"/>
  <c r="B218" i="1"/>
  <c r="C218" i="1"/>
  <c r="D218" i="1"/>
  <c r="E218" i="1"/>
  <c r="F218" i="1"/>
  <c r="G218" i="1"/>
  <c r="K218" i="1"/>
  <c r="N218" i="1"/>
  <c r="O218" i="1"/>
  <c r="V218" i="1"/>
  <c r="AB218" i="1"/>
  <c r="AC218" i="1"/>
  <c r="AD218" i="1"/>
  <c r="AG218" i="1"/>
  <c r="AH218" i="1"/>
  <c r="AI218" i="1"/>
  <c r="AJ218" i="1"/>
  <c r="AK218" i="1"/>
  <c r="AM218" i="1"/>
  <c r="AN218" i="1"/>
  <c r="AO218" i="1"/>
  <c r="AP218" i="1"/>
  <c r="AQ218" i="1"/>
  <c r="A219" i="1"/>
  <c r="B219" i="1"/>
  <c r="C219" i="1"/>
  <c r="D219" i="1"/>
  <c r="E219" i="1"/>
  <c r="F219" i="1"/>
  <c r="G219" i="1"/>
  <c r="K219" i="1"/>
  <c r="N219" i="1"/>
  <c r="O219" i="1"/>
  <c r="S219" i="1"/>
  <c r="U219" i="1"/>
  <c r="V219" i="1"/>
  <c r="AB219" i="1"/>
  <c r="AC219" i="1"/>
  <c r="AD219" i="1"/>
  <c r="AG219" i="1"/>
  <c r="AH219" i="1"/>
  <c r="AI219" i="1"/>
  <c r="AJ219" i="1"/>
  <c r="AK219" i="1"/>
  <c r="AM219" i="1"/>
  <c r="AN219" i="1"/>
  <c r="AO219" i="1"/>
  <c r="AP219" i="1"/>
  <c r="AQ219" i="1"/>
  <c r="A220" i="1"/>
  <c r="B220" i="1"/>
  <c r="C220" i="1"/>
  <c r="D220" i="1"/>
  <c r="E220" i="1"/>
  <c r="F220" i="1"/>
  <c r="G220" i="1"/>
  <c r="K220" i="1"/>
  <c r="N220" i="1"/>
  <c r="O220" i="1"/>
  <c r="V220" i="1"/>
  <c r="AB220" i="1"/>
  <c r="AC220" i="1"/>
  <c r="AD220" i="1"/>
  <c r="AG220" i="1"/>
  <c r="AH220" i="1"/>
  <c r="AI220" i="1"/>
  <c r="AJ220" i="1"/>
  <c r="AK220" i="1"/>
  <c r="AM220" i="1"/>
  <c r="AN220" i="1"/>
  <c r="AO220" i="1"/>
  <c r="AP220" i="1"/>
  <c r="AQ220" i="1"/>
  <c r="A221" i="1"/>
  <c r="B221" i="1"/>
  <c r="C221" i="1"/>
  <c r="D221" i="1"/>
  <c r="E221" i="1"/>
  <c r="F221" i="1"/>
  <c r="G221" i="1"/>
  <c r="K221" i="1"/>
  <c r="N221" i="1"/>
  <c r="O221" i="1"/>
  <c r="V221" i="1"/>
  <c r="AB221" i="1"/>
  <c r="AC221" i="1"/>
  <c r="AD221" i="1"/>
  <c r="AG221" i="1"/>
  <c r="AH221" i="1"/>
  <c r="AI221" i="1"/>
  <c r="AJ221" i="1"/>
  <c r="AK221" i="1"/>
  <c r="AM221" i="1"/>
  <c r="AN221" i="1"/>
  <c r="AO221" i="1"/>
  <c r="AP221" i="1"/>
  <c r="AQ221" i="1"/>
  <c r="A222" i="1"/>
  <c r="B222" i="1"/>
  <c r="C222" i="1"/>
  <c r="D222" i="1"/>
  <c r="E222" i="1"/>
  <c r="F222" i="1"/>
  <c r="G222" i="1"/>
  <c r="K222" i="1"/>
  <c r="N222" i="1"/>
  <c r="O222" i="1"/>
  <c r="V222" i="1"/>
  <c r="AB222" i="1"/>
  <c r="AC222" i="1"/>
  <c r="AD222" i="1"/>
  <c r="AG222" i="1"/>
  <c r="AH222" i="1"/>
  <c r="AI222" i="1"/>
  <c r="AJ222" i="1"/>
  <c r="AK222" i="1"/>
  <c r="AM222" i="1"/>
  <c r="AN222" i="1"/>
  <c r="AO222" i="1"/>
  <c r="AP222" i="1"/>
  <c r="AQ222" i="1"/>
  <c r="A223" i="1"/>
  <c r="B223" i="1"/>
  <c r="C223" i="1"/>
  <c r="D223" i="1"/>
  <c r="E223" i="1"/>
  <c r="F223" i="1"/>
  <c r="G223" i="1"/>
  <c r="K223" i="1"/>
  <c r="N223" i="1"/>
  <c r="O223" i="1"/>
  <c r="V223" i="1"/>
  <c r="AB223" i="1"/>
  <c r="AC223" i="1"/>
  <c r="AD223" i="1"/>
  <c r="AG223" i="1"/>
  <c r="AH223" i="1"/>
  <c r="AI223" i="1"/>
  <c r="AJ223" i="1"/>
  <c r="AK223" i="1"/>
  <c r="AM223" i="1"/>
  <c r="AN223" i="1"/>
  <c r="AO223" i="1"/>
  <c r="AP223" i="1"/>
  <c r="AQ223" i="1"/>
  <c r="A224" i="1"/>
  <c r="B224" i="1"/>
  <c r="C224" i="1"/>
  <c r="D224" i="1"/>
  <c r="E224" i="1"/>
  <c r="F224" i="1"/>
  <c r="G224" i="1"/>
  <c r="K224" i="1"/>
  <c r="N224" i="1"/>
  <c r="O224" i="1"/>
  <c r="V224" i="1"/>
  <c r="AB224" i="1"/>
  <c r="AC224" i="1"/>
  <c r="AD224" i="1"/>
  <c r="AG224" i="1"/>
  <c r="AH224" i="1"/>
  <c r="AI224" i="1"/>
  <c r="AJ224" i="1"/>
  <c r="AK224" i="1"/>
  <c r="AM224" i="1"/>
  <c r="AN224" i="1"/>
  <c r="AO224" i="1"/>
  <c r="AP224" i="1"/>
  <c r="AQ224" i="1"/>
  <c r="A225" i="1"/>
  <c r="B225" i="1"/>
  <c r="C225" i="1"/>
  <c r="D225" i="1"/>
  <c r="E225" i="1"/>
  <c r="F225" i="1"/>
  <c r="G225" i="1"/>
  <c r="K225" i="1"/>
  <c r="N225" i="1"/>
  <c r="O225" i="1"/>
  <c r="V225" i="1"/>
  <c r="AB225" i="1"/>
  <c r="AC225" i="1"/>
  <c r="AD225" i="1"/>
  <c r="AG225" i="1"/>
  <c r="AH225" i="1"/>
  <c r="AI225" i="1"/>
  <c r="AJ225" i="1"/>
  <c r="AK225" i="1"/>
  <c r="AM225" i="1"/>
  <c r="AN225" i="1"/>
  <c r="AO225" i="1"/>
  <c r="AP225" i="1"/>
  <c r="AQ225" i="1"/>
  <c r="A226" i="1"/>
  <c r="B226" i="1"/>
  <c r="C226" i="1"/>
  <c r="D226" i="1"/>
  <c r="E226" i="1"/>
  <c r="F226" i="1"/>
  <c r="G226" i="1"/>
  <c r="K226" i="1"/>
  <c r="N226" i="1"/>
  <c r="O226" i="1"/>
  <c r="V226" i="1"/>
  <c r="AB226" i="1"/>
  <c r="AC226" i="1"/>
  <c r="AD226" i="1"/>
  <c r="AG226" i="1"/>
  <c r="AH226" i="1"/>
  <c r="AI226" i="1"/>
  <c r="AJ226" i="1"/>
  <c r="AK226" i="1"/>
  <c r="AM226" i="1"/>
  <c r="AN226" i="1"/>
  <c r="AO226" i="1"/>
  <c r="AP226" i="1"/>
  <c r="AQ226" i="1"/>
  <c r="A227" i="1"/>
  <c r="B227" i="1"/>
  <c r="C227" i="1"/>
  <c r="D227" i="1"/>
  <c r="E227" i="1"/>
  <c r="F227" i="1"/>
  <c r="G227" i="1"/>
  <c r="K227" i="1"/>
  <c r="N227" i="1"/>
  <c r="O227" i="1"/>
  <c r="V227" i="1"/>
  <c r="AB227" i="1"/>
  <c r="AC227" i="1"/>
  <c r="AD227" i="1"/>
  <c r="AG227" i="1"/>
  <c r="AH227" i="1"/>
  <c r="AI227" i="1"/>
  <c r="AJ227" i="1"/>
  <c r="AK227" i="1"/>
  <c r="AM227" i="1"/>
  <c r="AN227" i="1"/>
  <c r="AO227" i="1"/>
  <c r="AP227" i="1"/>
  <c r="AQ227" i="1"/>
  <c r="A228" i="1"/>
  <c r="B228" i="1"/>
  <c r="C228" i="1"/>
  <c r="D228" i="1"/>
  <c r="E228" i="1"/>
  <c r="F228" i="1"/>
  <c r="G228" i="1"/>
  <c r="K228" i="1"/>
  <c r="N228" i="1"/>
  <c r="O228" i="1"/>
  <c r="V228" i="1"/>
  <c r="AB228" i="1"/>
  <c r="AC228" i="1"/>
  <c r="AD228" i="1"/>
  <c r="AG228" i="1"/>
  <c r="AH228" i="1"/>
  <c r="AI228" i="1"/>
  <c r="AJ228" i="1"/>
  <c r="AK228" i="1"/>
  <c r="AM228" i="1"/>
  <c r="AN228" i="1"/>
  <c r="AO228" i="1"/>
  <c r="AP228" i="1"/>
  <c r="AQ228" i="1"/>
  <c r="A229" i="1"/>
  <c r="B229" i="1"/>
  <c r="C229" i="1"/>
  <c r="D229" i="1"/>
  <c r="E229" i="1"/>
  <c r="F229" i="1"/>
  <c r="G229" i="1"/>
  <c r="K229" i="1"/>
  <c r="N229" i="1"/>
  <c r="O229" i="1"/>
  <c r="V229" i="1"/>
  <c r="AB229" i="1"/>
  <c r="AC229" i="1"/>
  <c r="AD229" i="1"/>
  <c r="AG229" i="1"/>
  <c r="AH229" i="1"/>
  <c r="AI229" i="1"/>
  <c r="AJ229" i="1"/>
  <c r="AK229" i="1"/>
  <c r="AM229" i="1"/>
  <c r="AN229" i="1"/>
  <c r="AO229" i="1"/>
  <c r="AP229" i="1"/>
  <c r="AQ229" i="1"/>
  <c r="A230" i="1"/>
  <c r="B230" i="1"/>
  <c r="C230" i="1"/>
  <c r="D230" i="1"/>
  <c r="E230" i="1"/>
  <c r="F230" i="1"/>
  <c r="G230" i="1"/>
  <c r="K230" i="1"/>
  <c r="N230" i="1"/>
  <c r="O230" i="1"/>
  <c r="V230" i="1"/>
  <c r="AB230" i="1"/>
  <c r="AC230" i="1"/>
  <c r="AD230" i="1"/>
  <c r="AG230" i="1"/>
  <c r="AH230" i="1"/>
  <c r="AI230" i="1"/>
  <c r="AJ230" i="1"/>
  <c r="AK230" i="1"/>
  <c r="AM230" i="1"/>
  <c r="AN230" i="1"/>
  <c r="AO230" i="1"/>
  <c r="AP230" i="1"/>
  <c r="AQ230" i="1"/>
  <c r="A231" i="1"/>
  <c r="B231" i="1"/>
  <c r="C231" i="1"/>
  <c r="D231" i="1"/>
  <c r="E231" i="1"/>
  <c r="F231" i="1"/>
  <c r="G231" i="1"/>
  <c r="K231" i="1"/>
  <c r="N231" i="1"/>
  <c r="O231" i="1"/>
  <c r="S231" i="1"/>
  <c r="U231" i="1"/>
  <c r="V231" i="1"/>
  <c r="AB231" i="1"/>
  <c r="AC231" i="1"/>
  <c r="AD231" i="1"/>
  <c r="AG231" i="1"/>
  <c r="AH231" i="1"/>
  <c r="AI231" i="1"/>
  <c r="AJ231" i="1"/>
  <c r="AK231" i="1"/>
  <c r="AM231" i="1"/>
  <c r="AN231" i="1"/>
  <c r="AO231" i="1"/>
  <c r="AP231" i="1"/>
  <c r="AQ231" i="1"/>
  <c r="A232" i="1"/>
  <c r="B232" i="1"/>
  <c r="C232" i="1"/>
  <c r="D232" i="1"/>
  <c r="E232" i="1"/>
  <c r="F232" i="1"/>
  <c r="G232" i="1"/>
  <c r="K232" i="1"/>
  <c r="N232" i="1"/>
  <c r="O232" i="1"/>
  <c r="V232" i="1"/>
  <c r="AB232" i="1"/>
  <c r="AC232" i="1"/>
  <c r="AD232" i="1"/>
  <c r="AG232" i="1"/>
  <c r="AH232" i="1"/>
  <c r="AI232" i="1"/>
  <c r="AJ232" i="1"/>
  <c r="AK232" i="1"/>
  <c r="AM232" i="1"/>
  <c r="AN232" i="1"/>
  <c r="AO232" i="1"/>
  <c r="AP232" i="1"/>
  <c r="AQ232" i="1"/>
  <c r="A233" i="1"/>
  <c r="B233" i="1"/>
  <c r="C233" i="1"/>
  <c r="D233" i="1"/>
  <c r="E233" i="1"/>
  <c r="F233" i="1"/>
  <c r="G233" i="1"/>
  <c r="K233" i="1"/>
  <c r="N233" i="1"/>
  <c r="O233" i="1"/>
  <c r="V233" i="1"/>
  <c r="AB233" i="1"/>
  <c r="AC233" i="1"/>
  <c r="AD233" i="1"/>
  <c r="AG233" i="1"/>
  <c r="AH233" i="1"/>
  <c r="AI233" i="1"/>
  <c r="AJ233" i="1"/>
  <c r="AK233" i="1"/>
  <c r="AM233" i="1"/>
  <c r="AN233" i="1"/>
  <c r="AO233" i="1"/>
  <c r="AP233" i="1"/>
  <c r="AQ233" i="1"/>
  <c r="A234" i="1"/>
  <c r="B234" i="1"/>
  <c r="C234" i="1"/>
  <c r="D234" i="1"/>
  <c r="E234" i="1"/>
  <c r="F234" i="1"/>
  <c r="G234" i="1"/>
  <c r="K234" i="1"/>
  <c r="N234" i="1"/>
  <c r="O234" i="1"/>
  <c r="V234" i="1"/>
  <c r="AB234" i="1"/>
  <c r="AC234" i="1"/>
  <c r="AD234" i="1"/>
  <c r="AG234" i="1"/>
  <c r="AH234" i="1"/>
  <c r="AI234" i="1"/>
  <c r="AJ234" i="1"/>
  <c r="AK234" i="1"/>
  <c r="AM234" i="1"/>
  <c r="AN234" i="1"/>
  <c r="AO234" i="1"/>
  <c r="AP234" i="1"/>
  <c r="AQ234" i="1"/>
  <c r="A235" i="1"/>
  <c r="B235" i="1"/>
  <c r="C235" i="1"/>
  <c r="D235" i="1"/>
  <c r="E235" i="1"/>
  <c r="F235" i="1"/>
  <c r="G235" i="1"/>
  <c r="K235" i="1"/>
  <c r="N235" i="1"/>
  <c r="O235" i="1"/>
  <c r="V235" i="1"/>
  <c r="AB235" i="1"/>
  <c r="AC235" i="1"/>
  <c r="AD235" i="1"/>
  <c r="AG235" i="1"/>
  <c r="AH235" i="1"/>
  <c r="AI235" i="1"/>
  <c r="AJ235" i="1"/>
  <c r="AK235" i="1"/>
  <c r="AM235" i="1"/>
  <c r="AN235" i="1"/>
  <c r="AO235" i="1"/>
  <c r="AP235" i="1"/>
  <c r="AQ235" i="1"/>
  <c r="A236" i="1"/>
  <c r="B236" i="1"/>
  <c r="C236" i="1"/>
  <c r="D236" i="1"/>
  <c r="E236" i="1"/>
  <c r="F236" i="1"/>
  <c r="G236" i="1"/>
  <c r="K236" i="1"/>
  <c r="L236" i="1"/>
  <c r="N236" i="1"/>
  <c r="O236" i="1"/>
  <c r="V236" i="1"/>
  <c r="AB236" i="1"/>
  <c r="AC236" i="1"/>
  <c r="AD236" i="1"/>
  <c r="AG236" i="1"/>
  <c r="AH236" i="1"/>
  <c r="AI236" i="1"/>
  <c r="AJ236" i="1"/>
  <c r="AK236" i="1"/>
  <c r="AM236" i="1"/>
  <c r="AN236" i="1"/>
  <c r="AO236" i="1"/>
  <c r="AP236" i="1"/>
  <c r="AQ236" i="1"/>
  <c r="A237" i="1"/>
  <c r="B237" i="1"/>
  <c r="C237" i="1"/>
  <c r="D237" i="1"/>
  <c r="E237" i="1"/>
  <c r="F237" i="1"/>
  <c r="G237" i="1"/>
  <c r="K237" i="1"/>
  <c r="N237" i="1"/>
  <c r="O237" i="1"/>
  <c r="V237" i="1"/>
  <c r="AB237" i="1"/>
  <c r="AC237" i="1"/>
  <c r="AD237" i="1"/>
  <c r="AG237" i="1"/>
  <c r="AH237" i="1"/>
  <c r="AI237" i="1"/>
  <c r="AJ237" i="1"/>
  <c r="AK237" i="1"/>
  <c r="AM237" i="1"/>
  <c r="AN237" i="1"/>
  <c r="AO237" i="1"/>
  <c r="AP237" i="1"/>
  <c r="AQ237" i="1"/>
  <c r="A238" i="1"/>
  <c r="B238" i="1"/>
  <c r="C238" i="1"/>
  <c r="D238" i="1"/>
  <c r="E238" i="1"/>
  <c r="F238" i="1"/>
  <c r="G238" i="1"/>
  <c r="K238" i="1"/>
  <c r="N238" i="1"/>
  <c r="O238" i="1"/>
  <c r="S238" i="1"/>
  <c r="U238" i="1"/>
  <c r="V238" i="1"/>
  <c r="AB238" i="1"/>
  <c r="AC238" i="1"/>
  <c r="AD238" i="1"/>
  <c r="AG238" i="1"/>
  <c r="AH238" i="1"/>
  <c r="AI238" i="1"/>
  <c r="AJ238" i="1"/>
  <c r="AK238" i="1"/>
  <c r="AM238" i="1"/>
  <c r="AN238" i="1"/>
  <c r="AO238" i="1"/>
  <c r="AP238" i="1"/>
  <c r="AQ238" i="1"/>
  <c r="A239" i="1"/>
  <c r="B239" i="1"/>
  <c r="C239" i="1"/>
  <c r="D239" i="1"/>
  <c r="E239" i="1"/>
  <c r="F239" i="1"/>
  <c r="G239" i="1"/>
  <c r="K239" i="1"/>
  <c r="N239" i="1"/>
  <c r="O239" i="1"/>
  <c r="V239" i="1"/>
  <c r="AB239" i="1"/>
  <c r="AC239" i="1"/>
  <c r="AD239" i="1"/>
  <c r="AG239" i="1"/>
  <c r="AH239" i="1"/>
  <c r="AI239" i="1"/>
  <c r="AJ239" i="1"/>
  <c r="AK239" i="1"/>
  <c r="AM239" i="1"/>
  <c r="AN239" i="1"/>
  <c r="AO239" i="1"/>
  <c r="AP239" i="1"/>
  <c r="AQ239" i="1"/>
  <c r="A240" i="1"/>
  <c r="B240" i="1"/>
  <c r="C240" i="1"/>
  <c r="D240" i="1"/>
  <c r="E240" i="1"/>
  <c r="F240" i="1"/>
  <c r="G240" i="1"/>
  <c r="K240" i="1"/>
  <c r="N240" i="1"/>
  <c r="O240" i="1"/>
  <c r="S240" i="1"/>
  <c r="U240" i="1"/>
  <c r="V240" i="1"/>
  <c r="AB240" i="1"/>
  <c r="AC240" i="1"/>
  <c r="AD240" i="1"/>
  <c r="AI240" i="1"/>
  <c r="AJ240" i="1"/>
  <c r="AK240" i="1"/>
  <c r="AM240" i="1"/>
  <c r="AN240" i="1"/>
  <c r="AO240" i="1"/>
  <c r="AP240" i="1"/>
  <c r="AQ240" i="1"/>
  <c r="A241" i="1"/>
  <c r="B241" i="1"/>
  <c r="C241" i="1"/>
  <c r="D241" i="1"/>
  <c r="E241" i="1"/>
  <c r="F241" i="1"/>
  <c r="G241" i="1"/>
  <c r="K241" i="1"/>
  <c r="N241" i="1"/>
  <c r="O241" i="1"/>
  <c r="V241" i="1"/>
  <c r="AB241" i="1"/>
  <c r="AC241" i="1"/>
  <c r="AD241" i="1"/>
  <c r="AG241" i="1"/>
  <c r="AH241" i="1"/>
  <c r="AI241" i="1"/>
  <c r="AJ241" i="1"/>
  <c r="AK241" i="1"/>
  <c r="AM241" i="1"/>
  <c r="AN241" i="1"/>
  <c r="AO241" i="1"/>
  <c r="AP241" i="1"/>
  <c r="AQ241" i="1"/>
  <c r="A242" i="1"/>
  <c r="B242" i="1"/>
  <c r="C242" i="1"/>
  <c r="D242" i="1"/>
  <c r="E242" i="1"/>
  <c r="F242" i="1"/>
  <c r="G242" i="1"/>
  <c r="K242" i="1"/>
  <c r="N242" i="1"/>
  <c r="O242" i="1"/>
  <c r="V242" i="1"/>
  <c r="AB242" i="1"/>
  <c r="AC242" i="1"/>
  <c r="AD242" i="1"/>
  <c r="AG242" i="1"/>
  <c r="AH242" i="1"/>
  <c r="AI242" i="1"/>
  <c r="AJ242" i="1"/>
  <c r="AK242" i="1"/>
  <c r="AM242" i="1"/>
  <c r="AN242" i="1"/>
  <c r="AO242" i="1"/>
  <c r="AP242" i="1"/>
  <c r="AQ242" i="1"/>
  <c r="A243" i="1"/>
  <c r="B243" i="1"/>
  <c r="C243" i="1"/>
  <c r="D243" i="1"/>
  <c r="E243" i="1"/>
  <c r="F243" i="1"/>
  <c r="G243" i="1"/>
  <c r="K243" i="1"/>
  <c r="N243" i="1"/>
  <c r="O243" i="1"/>
  <c r="V243" i="1"/>
  <c r="AB243" i="1"/>
  <c r="AC243" i="1"/>
  <c r="AD243" i="1"/>
  <c r="AG243" i="1"/>
  <c r="AH243" i="1"/>
  <c r="AI243" i="1"/>
  <c r="AJ243" i="1"/>
  <c r="AK243" i="1"/>
  <c r="AM243" i="1"/>
  <c r="AN243" i="1"/>
  <c r="AO243" i="1"/>
  <c r="AP243" i="1"/>
  <c r="AQ243" i="1"/>
  <c r="A244" i="1"/>
  <c r="B244" i="1"/>
  <c r="C244" i="1"/>
  <c r="D244" i="1"/>
  <c r="E244" i="1"/>
  <c r="F244" i="1"/>
  <c r="G244" i="1"/>
  <c r="K244" i="1"/>
  <c r="N244" i="1"/>
  <c r="O244" i="1"/>
  <c r="V244" i="1"/>
  <c r="AB244" i="1"/>
  <c r="AC244" i="1"/>
  <c r="AD244" i="1"/>
  <c r="AG244" i="1"/>
  <c r="AH244" i="1"/>
  <c r="AI244" i="1"/>
  <c r="AJ244" i="1"/>
  <c r="AK244" i="1"/>
  <c r="AM244" i="1"/>
  <c r="AN244" i="1"/>
  <c r="AO244" i="1"/>
  <c r="AP244" i="1"/>
  <c r="AQ244" i="1"/>
  <c r="A245" i="1"/>
  <c r="B245" i="1"/>
  <c r="C245" i="1"/>
  <c r="D245" i="1"/>
  <c r="E245" i="1"/>
  <c r="F245" i="1"/>
  <c r="G245" i="1"/>
  <c r="K245" i="1"/>
  <c r="N245" i="1"/>
  <c r="O245" i="1"/>
  <c r="S245" i="1"/>
  <c r="U245" i="1"/>
  <c r="V245" i="1"/>
  <c r="AB245" i="1"/>
  <c r="AC245" i="1"/>
  <c r="AD245" i="1"/>
  <c r="AG245" i="1"/>
  <c r="AH245" i="1"/>
  <c r="AI245" i="1"/>
  <c r="AJ245" i="1"/>
  <c r="AK245" i="1"/>
  <c r="AM245" i="1"/>
  <c r="AN245" i="1"/>
  <c r="AO245" i="1"/>
  <c r="AP245" i="1"/>
  <c r="AQ245" i="1"/>
  <c r="A246" i="1"/>
  <c r="B246" i="1"/>
  <c r="C246" i="1"/>
  <c r="D246" i="1"/>
  <c r="E246" i="1"/>
  <c r="F246" i="1"/>
  <c r="G246" i="1"/>
  <c r="K246" i="1"/>
  <c r="N246" i="1"/>
  <c r="O246" i="1"/>
  <c r="V246" i="1"/>
  <c r="AB246" i="1"/>
  <c r="AC246" i="1"/>
  <c r="AD246" i="1"/>
  <c r="AG246" i="1"/>
  <c r="AH246" i="1"/>
  <c r="AI246" i="1"/>
  <c r="AJ246" i="1"/>
  <c r="AK246" i="1"/>
  <c r="AM246" i="1"/>
  <c r="AN246" i="1"/>
  <c r="AO246" i="1"/>
  <c r="AP246" i="1"/>
  <c r="AQ246" i="1"/>
  <c r="A247" i="1"/>
  <c r="B247" i="1"/>
  <c r="C247" i="1"/>
  <c r="D247" i="1"/>
  <c r="E247" i="1"/>
  <c r="F247" i="1"/>
  <c r="G247" i="1"/>
  <c r="K247" i="1"/>
  <c r="N247" i="1"/>
  <c r="O247" i="1"/>
  <c r="V247" i="1"/>
  <c r="AB247" i="1"/>
  <c r="AC247" i="1"/>
  <c r="AD247" i="1"/>
  <c r="AG247" i="1"/>
  <c r="AH247" i="1"/>
  <c r="AI247" i="1"/>
  <c r="AJ247" i="1"/>
  <c r="AK247" i="1"/>
  <c r="AM247" i="1"/>
  <c r="AN247" i="1"/>
  <c r="AO247" i="1"/>
  <c r="AP247" i="1"/>
  <c r="AQ247" i="1"/>
  <c r="A248" i="1"/>
  <c r="B248" i="1"/>
  <c r="C248" i="1"/>
  <c r="D248" i="1"/>
  <c r="E248" i="1"/>
  <c r="F248" i="1"/>
  <c r="G248" i="1"/>
  <c r="K248" i="1"/>
  <c r="N248" i="1"/>
  <c r="O248" i="1"/>
  <c r="V248" i="1"/>
  <c r="AB248" i="1"/>
  <c r="AC248" i="1"/>
  <c r="AD248" i="1"/>
  <c r="AG248" i="1"/>
  <c r="AH248" i="1"/>
  <c r="AI248" i="1"/>
  <c r="AJ248" i="1"/>
  <c r="AK248" i="1"/>
  <c r="AM248" i="1"/>
  <c r="AN248" i="1"/>
  <c r="AO248" i="1"/>
  <c r="AP248" i="1"/>
  <c r="AQ248" i="1"/>
  <c r="A249" i="1"/>
  <c r="B249" i="1"/>
  <c r="C249" i="1"/>
  <c r="D249" i="1"/>
  <c r="E249" i="1"/>
  <c r="F249" i="1"/>
  <c r="G249" i="1"/>
  <c r="K249" i="1"/>
  <c r="N249" i="1"/>
  <c r="O249" i="1"/>
  <c r="V249" i="1"/>
  <c r="AB249" i="1"/>
  <c r="AC249" i="1"/>
  <c r="AD249" i="1"/>
  <c r="AG249" i="1"/>
  <c r="AH249" i="1"/>
  <c r="AI249" i="1"/>
  <c r="AJ249" i="1"/>
  <c r="AK249" i="1"/>
  <c r="AM249" i="1"/>
  <c r="AN249" i="1"/>
  <c r="AO249" i="1"/>
  <c r="AP249" i="1"/>
  <c r="AQ249" i="1"/>
  <c r="A250" i="1"/>
  <c r="B250" i="1"/>
  <c r="C250" i="1"/>
  <c r="D250" i="1"/>
  <c r="E250" i="1"/>
  <c r="F250" i="1"/>
  <c r="G250" i="1"/>
  <c r="K250" i="1"/>
  <c r="N250" i="1"/>
  <c r="O250" i="1"/>
  <c r="V250" i="1"/>
  <c r="AB250" i="1"/>
  <c r="AC250" i="1"/>
  <c r="AD250" i="1"/>
  <c r="AG250" i="1"/>
  <c r="AH250" i="1"/>
  <c r="AI250" i="1"/>
  <c r="AJ250" i="1"/>
  <c r="AK250" i="1"/>
  <c r="AM250" i="1"/>
  <c r="AN250" i="1"/>
  <c r="AO250" i="1"/>
  <c r="AP250" i="1"/>
  <c r="AQ250" i="1"/>
  <c r="A251" i="1"/>
  <c r="B251" i="1"/>
  <c r="C251" i="1"/>
  <c r="D251" i="1"/>
  <c r="E251" i="1"/>
  <c r="F251" i="1"/>
  <c r="G251" i="1"/>
  <c r="K251" i="1"/>
  <c r="N251" i="1"/>
  <c r="V251" i="1"/>
  <c r="AB251" i="1"/>
  <c r="AC251" i="1"/>
  <c r="AD251" i="1"/>
  <c r="AG251" i="1"/>
  <c r="AH251" i="1"/>
  <c r="AI251" i="1"/>
  <c r="AJ251" i="1"/>
  <c r="AK251" i="1"/>
  <c r="AM251" i="1"/>
  <c r="AN251" i="1"/>
  <c r="AO251" i="1"/>
  <c r="AP251" i="1"/>
  <c r="AQ251" i="1"/>
  <c r="A252" i="1"/>
  <c r="B252" i="1"/>
  <c r="C252" i="1"/>
  <c r="D252" i="1"/>
  <c r="E252" i="1"/>
  <c r="F252" i="1"/>
  <c r="G252" i="1"/>
  <c r="K252" i="1"/>
  <c r="L252" i="1"/>
  <c r="M252" i="1"/>
  <c r="N252" i="1"/>
  <c r="O252" i="1"/>
  <c r="V252" i="1"/>
  <c r="AB252" i="1"/>
  <c r="AC252" i="1"/>
  <c r="AD252" i="1"/>
  <c r="AG252" i="1"/>
  <c r="AH252" i="1"/>
  <c r="AI252" i="1"/>
  <c r="AJ252" i="1"/>
  <c r="AK252" i="1"/>
  <c r="AM252" i="1"/>
  <c r="AN252" i="1"/>
  <c r="AO252" i="1"/>
  <c r="AP252" i="1"/>
  <c r="AQ252" i="1"/>
  <c r="A253" i="1"/>
  <c r="B253" i="1"/>
  <c r="C253" i="1"/>
  <c r="D253" i="1"/>
  <c r="E253" i="1"/>
  <c r="F253" i="1"/>
  <c r="G253" i="1"/>
  <c r="K253" i="1"/>
  <c r="N253" i="1"/>
  <c r="O253" i="1"/>
  <c r="V253" i="1"/>
  <c r="AB253" i="1"/>
  <c r="AC253" i="1"/>
  <c r="AD253" i="1"/>
  <c r="AG253" i="1"/>
  <c r="AH253" i="1"/>
  <c r="AI253" i="1"/>
  <c r="AJ253" i="1"/>
  <c r="AK253" i="1"/>
  <c r="AM253" i="1"/>
  <c r="AN253" i="1"/>
  <c r="AO253" i="1"/>
  <c r="AP253" i="1"/>
  <c r="AQ253" i="1"/>
  <c r="A254" i="1"/>
  <c r="B254" i="1"/>
  <c r="C254" i="1"/>
  <c r="D254" i="1"/>
  <c r="E254" i="1"/>
  <c r="F254" i="1"/>
  <c r="G254" i="1"/>
  <c r="K254" i="1"/>
  <c r="N254" i="1"/>
  <c r="O254" i="1"/>
  <c r="V254" i="1"/>
  <c r="AB254" i="1"/>
  <c r="AC254" i="1"/>
  <c r="AD254" i="1"/>
  <c r="AG254" i="1"/>
  <c r="AH254" i="1"/>
  <c r="AI254" i="1"/>
  <c r="AJ254" i="1"/>
  <c r="AK254" i="1"/>
  <c r="AM254" i="1"/>
  <c r="AN254" i="1"/>
  <c r="AO254" i="1"/>
  <c r="AP254" i="1"/>
  <c r="AQ254" i="1"/>
  <c r="A255" i="1"/>
  <c r="B255" i="1"/>
  <c r="C255" i="1"/>
  <c r="D255" i="1"/>
  <c r="E255" i="1"/>
  <c r="F255" i="1"/>
  <c r="G255" i="1"/>
  <c r="K255" i="1"/>
  <c r="N255" i="1"/>
  <c r="O255" i="1"/>
  <c r="V255" i="1"/>
  <c r="AB255" i="1"/>
  <c r="AC255" i="1"/>
  <c r="AD255" i="1"/>
  <c r="AG255" i="1"/>
  <c r="AH255" i="1"/>
  <c r="AI255" i="1"/>
  <c r="AJ255" i="1"/>
  <c r="AK255" i="1"/>
  <c r="AM255" i="1"/>
  <c r="AN255" i="1"/>
  <c r="AO255" i="1"/>
  <c r="AP255" i="1"/>
  <c r="AQ255" i="1"/>
  <c r="A256" i="1"/>
  <c r="B256" i="1"/>
  <c r="C256" i="1"/>
  <c r="D256" i="1"/>
  <c r="E256" i="1"/>
  <c r="F256" i="1"/>
  <c r="G256" i="1"/>
  <c r="K256" i="1"/>
  <c r="N256" i="1"/>
  <c r="S256" i="1"/>
  <c r="U256" i="1"/>
  <c r="V256" i="1"/>
  <c r="AB256" i="1"/>
  <c r="AC256" i="1"/>
  <c r="AD256" i="1"/>
  <c r="AG256" i="1"/>
  <c r="AH256" i="1"/>
  <c r="AI256" i="1"/>
  <c r="AJ256" i="1"/>
  <c r="AK256" i="1"/>
  <c r="AM256" i="1"/>
  <c r="AN256" i="1"/>
  <c r="AO256" i="1"/>
  <c r="AP256" i="1"/>
  <c r="AQ256" i="1"/>
  <c r="A257" i="1"/>
  <c r="B257" i="1"/>
  <c r="C257" i="1"/>
  <c r="D257" i="1"/>
  <c r="E257" i="1"/>
  <c r="F257" i="1"/>
  <c r="G257" i="1"/>
  <c r="K257" i="1"/>
  <c r="L257" i="1"/>
  <c r="M257" i="1"/>
  <c r="N257" i="1"/>
  <c r="O257" i="1"/>
  <c r="V257" i="1"/>
  <c r="AB257" i="1"/>
  <c r="AC257" i="1"/>
  <c r="AD257" i="1"/>
  <c r="AG257" i="1"/>
  <c r="AH257" i="1"/>
  <c r="AI257" i="1"/>
  <c r="AJ257" i="1"/>
  <c r="AK257" i="1"/>
  <c r="AM257" i="1"/>
  <c r="AN257" i="1"/>
  <c r="AO257" i="1"/>
  <c r="AP257" i="1"/>
  <c r="AQ257" i="1"/>
  <c r="A258" i="1"/>
  <c r="B258" i="1"/>
  <c r="C258" i="1"/>
  <c r="D258" i="1"/>
  <c r="E258" i="1"/>
  <c r="F258" i="1"/>
  <c r="G258" i="1"/>
  <c r="K258" i="1"/>
  <c r="N258" i="1"/>
  <c r="V258" i="1"/>
  <c r="AB258" i="1"/>
  <c r="AC258" i="1"/>
  <c r="AD258" i="1"/>
  <c r="AG258" i="1"/>
  <c r="AH258" i="1"/>
  <c r="AI258" i="1"/>
  <c r="AJ258" i="1"/>
  <c r="AK258" i="1"/>
  <c r="AM258" i="1"/>
  <c r="AN258" i="1"/>
  <c r="AO258" i="1"/>
  <c r="AP258" i="1"/>
  <c r="AQ258" i="1"/>
  <c r="A259" i="1"/>
  <c r="B259" i="1"/>
  <c r="C259" i="1"/>
  <c r="D259" i="1"/>
  <c r="E259" i="1"/>
  <c r="F259" i="1"/>
  <c r="G259" i="1"/>
  <c r="N259" i="1"/>
  <c r="V259" i="1"/>
  <c r="AB259" i="1"/>
  <c r="AC259" i="1"/>
  <c r="AD259" i="1"/>
  <c r="AG259" i="1"/>
  <c r="AH259" i="1"/>
  <c r="AI259" i="1"/>
  <c r="AJ259" i="1"/>
  <c r="AK259" i="1"/>
  <c r="AM259" i="1"/>
  <c r="AN259" i="1"/>
  <c r="AO259" i="1"/>
  <c r="AP259" i="1"/>
  <c r="AQ259" i="1"/>
  <c r="A260" i="1"/>
  <c r="B260" i="1"/>
  <c r="C260" i="1"/>
  <c r="D260" i="1"/>
  <c r="E260" i="1"/>
  <c r="F260" i="1"/>
  <c r="G260" i="1"/>
  <c r="K260" i="1"/>
  <c r="N260" i="1"/>
  <c r="O260" i="1"/>
  <c r="V260" i="1"/>
  <c r="AB260" i="1"/>
  <c r="AC260" i="1"/>
  <c r="AD260" i="1"/>
  <c r="AG260" i="1"/>
  <c r="AH260" i="1"/>
  <c r="AI260" i="1"/>
  <c r="AJ260" i="1"/>
  <c r="AK260" i="1"/>
  <c r="AM260" i="1"/>
  <c r="AN260" i="1"/>
  <c r="AO260" i="1"/>
  <c r="AP260" i="1"/>
  <c r="AQ260" i="1"/>
  <c r="A261" i="1"/>
  <c r="B261" i="1"/>
  <c r="C261" i="1"/>
  <c r="D261" i="1"/>
  <c r="E261" i="1"/>
  <c r="F261" i="1"/>
  <c r="G261" i="1"/>
  <c r="K261" i="1"/>
  <c r="N261" i="1"/>
  <c r="O261" i="1"/>
  <c r="V261" i="1"/>
  <c r="AB261" i="1"/>
  <c r="AC261" i="1"/>
  <c r="AD261" i="1"/>
  <c r="AG261" i="1"/>
  <c r="AH261" i="1"/>
  <c r="AI261" i="1"/>
  <c r="AJ261" i="1"/>
  <c r="AK261" i="1"/>
  <c r="AM261" i="1"/>
  <c r="AN261" i="1"/>
  <c r="AO261" i="1"/>
  <c r="AP261" i="1"/>
  <c r="AQ261" i="1"/>
  <c r="A262" i="1"/>
  <c r="B262" i="1"/>
  <c r="C262" i="1"/>
  <c r="D262" i="1"/>
  <c r="E262" i="1"/>
  <c r="F262" i="1"/>
  <c r="G262" i="1"/>
  <c r="N262" i="1"/>
  <c r="O262" i="1"/>
  <c r="S262" i="1"/>
  <c r="U262" i="1"/>
  <c r="V262" i="1"/>
  <c r="AB262" i="1"/>
  <c r="AC262" i="1"/>
  <c r="AD262" i="1"/>
  <c r="AG262" i="1"/>
  <c r="AH262" i="1"/>
  <c r="AI262" i="1"/>
  <c r="AJ262" i="1"/>
  <c r="AK262" i="1"/>
  <c r="AM262" i="1"/>
  <c r="AN262" i="1"/>
  <c r="AO262" i="1"/>
  <c r="AP262" i="1"/>
  <c r="AQ262" i="1"/>
  <c r="A263" i="1"/>
  <c r="B263" i="1"/>
  <c r="C263" i="1"/>
  <c r="D263" i="1"/>
  <c r="E263" i="1"/>
  <c r="F263" i="1"/>
  <c r="G263" i="1"/>
  <c r="K263" i="1"/>
  <c r="N263" i="1"/>
  <c r="O263" i="1"/>
  <c r="S263" i="1"/>
  <c r="U263" i="1"/>
  <c r="V263" i="1"/>
  <c r="AB263" i="1"/>
  <c r="AC263" i="1"/>
  <c r="AD263" i="1"/>
  <c r="AG263" i="1"/>
  <c r="AH263" i="1"/>
  <c r="AI263" i="1"/>
  <c r="AJ263" i="1"/>
  <c r="AK263" i="1"/>
  <c r="AM263" i="1"/>
  <c r="AN263" i="1"/>
  <c r="AO263" i="1"/>
  <c r="AP263" i="1"/>
  <c r="AQ263" i="1"/>
  <c r="A264" i="1"/>
  <c r="B264" i="1"/>
  <c r="C264" i="1"/>
  <c r="D264" i="1"/>
  <c r="E264" i="1"/>
  <c r="F264" i="1"/>
  <c r="G264" i="1"/>
  <c r="N264" i="1"/>
  <c r="V264" i="1"/>
  <c r="AB264" i="1"/>
  <c r="AC264" i="1"/>
  <c r="AD264" i="1"/>
  <c r="AG264" i="1"/>
  <c r="AH264" i="1"/>
  <c r="AI264" i="1"/>
  <c r="AJ264" i="1"/>
  <c r="AK264" i="1"/>
  <c r="AM264" i="1"/>
  <c r="AN264" i="1"/>
  <c r="AO264" i="1"/>
  <c r="AP264" i="1"/>
  <c r="AQ264" i="1"/>
  <c r="A265" i="1"/>
  <c r="B265" i="1"/>
  <c r="C265" i="1"/>
  <c r="D265" i="1"/>
  <c r="E265" i="1"/>
  <c r="F265" i="1"/>
  <c r="G265" i="1"/>
  <c r="K265" i="1"/>
  <c r="N265" i="1"/>
  <c r="O265" i="1"/>
  <c r="V265" i="1"/>
  <c r="AB265" i="1"/>
  <c r="AC265" i="1"/>
  <c r="AD265" i="1"/>
  <c r="AG265" i="1"/>
  <c r="AH265" i="1"/>
  <c r="AI265" i="1"/>
  <c r="AJ265" i="1"/>
  <c r="AK265" i="1"/>
  <c r="AM265" i="1"/>
  <c r="AN265" i="1"/>
  <c r="AO265" i="1"/>
  <c r="AP265" i="1"/>
  <c r="AQ265" i="1"/>
  <c r="A266" i="1"/>
  <c r="B266" i="1"/>
  <c r="C266" i="1"/>
  <c r="D266" i="1"/>
  <c r="E266" i="1"/>
  <c r="F266" i="1"/>
  <c r="G266" i="1"/>
  <c r="K266" i="1"/>
  <c r="N266" i="1"/>
  <c r="V266" i="1"/>
  <c r="AB266" i="1"/>
  <c r="AC266" i="1"/>
  <c r="AD266" i="1"/>
  <c r="AG266" i="1"/>
  <c r="AH266" i="1"/>
  <c r="AI266" i="1"/>
  <c r="AJ266" i="1"/>
  <c r="AK266" i="1"/>
  <c r="AM266" i="1"/>
  <c r="AN266" i="1"/>
  <c r="AO266" i="1"/>
  <c r="AP266" i="1"/>
  <c r="AQ266" i="1"/>
  <c r="A267" i="1"/>
  <c r="B267" i="1"/>
  <c r="C267" i="1"/>
  <c r="D267" i="1"/>
  <c r="E267" i="1"/>
  <c r="F267" i="1"/>
  <c r="G267" i="1"/>
  <c r="K267" i="1"/>
  <c r="L267" i="1"/>
  <c r="M267" i="1"/>
  <c r="N267" i="1"/>
  <c r="O267" i="1"/>
  <c r="V267" i="1"/>
  <c r="AB267" i="1"/>
  <c r="AC267" i="1"/>
  <c r="AD267" i="1"/>
  <c r="AG267" i="1"/>
  <c r="AH267" i="1"/>
  <c r="AI267" i="1"/>
  <c r="AJ267" i="1"/>
  <c r="AK267" i="1"/>
  <c r="AM267" i="1"/>
  <c r="AN267" i="1"/>
  <c r="AO267" i="1"/>
  <c r="AP267" i="1"/>
  <c r="AQ267" i="1"/>
  <c r="A268" i="1"/>
  <c r="B268" i="1"/>
  <c r="C268" i="1"/>
  <c r="D268" i="1"/>
  <c r="E268" i="1"/>
  <c r="F268" i="1"/>
  <c r="G268" i="1"/>
  <c r="K268" i="1"/>
  <c r="N268" i="1"/>
  <c r="V268" i="1"/>
  <c r="AB268" i="1"/>
  <c r="AC268" i="1"/>
  <c r="AD268" i="1"/>
  <c r="AG268" i="1"/>
  <c r="AH268" i="1"/>
  <c r="AI268" i="1"/>
  <c r="AJ268" i="1"/>
  <c r="AK268" i="1"/>
  <c r="AM268" i="1"/>
  <c r="AN268" i="1"/>
  <c r="AO268" i="1"/>
  <c r="AP268" i="1"/>
  <c r="AQ268" i="1"/>
  <c r="A269" i="1"/>
  <c r="B269" i="1"/>
  <c r="C269" i="1"/>
  <c r="D269" i="1"/>
  <c r="E269" i="1"/>
  <c r="F269" i="1"/>
  <c r="G269" i="1"/>
  <c r="K269" i="1"/>
  <c r="L269" i="1"/>
  <c r="N269" i="1"/>
  <c r="O269" i="1"/>
  <c r="V269" i="1"/>
  <c r="AB269" i="1"/>
  <c r="AC269" i="1"/>
  <c r="AD269" i="1"/>
  <c r="AG269" i="1"/>
  <c r="AH269" i="1"/>
  <c r="AI269" i="1"/>
  <c r="AJ269" i="1"/>
  <c r="AK269" i="1"/>
  <c r="AM269" i="1"/>
  <c r="AN269" i="1"/>
  <c r="AO269" i="1"/>
  <c r="AP269" i="1"/>
  <c r="AQ269" i="1"/>
  <c r="A270" i="1"/>
  <c r="B270" i="1"/>
  <c r="C270" i="1"/>
  <c r="D270" i="1"/>
  <c r="E270" i="1"/>
  <c r="F270" i="1"/>
  <c r="G270" i="1"/>
  <c r="K270" i="1"/>
  <c r="N270" i="1"/>
  <c r="O270" i="1"/>
  <c r="V270" i="1"/>
  <c r="AB270" i="1"/>
  <c r="AC270" i="1"/>
  <c r="AD270" i="1"/>
  <c r="AG270" i="1"/>
  <c r="AH270" i="1"/>
  <c r="AI270" i="1"/>
  <c r="AJ270" i="1"/>
  <c r="AK270" i="1"/>
  <c r="AM270" i="1"/>
  <c r="AN270" i="1"/>
  <c r="AO270" i="1"/>
  <c r="AP270" i="1"/>
  <c r="AQ270" i="1"/>
  <c r="A271" i="1"/>
  <c r="B271" i="1"/>
  <c r="C271" i="1"/>
  <c r="D271" i="1"/>
  <c r="E271" i="1"/>
  <c r="F271" i="1"/>
  <c r="G271" i="1"/>
  <c r="K271" i="1"/>
  <c r="N271" i="1"/>
  <c r="O271" i="1"/>
  <c r="V271" i="1"/>
  <c r="AB271" i="1"/>
  <c r="AC271" i="1"/>
  <c r="AD271" i="1"/>
  <c r="AG271" i="1"/>
  <c r="AH271" i="1"/>
  <c r="AI271" i="1"/>
  <c r="AJ271" i="1"/>
  <c r="AK271" i="1"/>
  <c r="AM271" i="1"/>
  <c r="AN271" i="1"/>
  <c r="AO271" i="1"/>
  <c r="AP271" i="1"/>
  <c r="AQ271" i="1"/>
  <c r="A272" i="1"/>
  <c r="B272" i="1"/>
  <c r="C272" i="1"/>
  <c r="D272" i="1"/>
  <c r="E272" i="1"/>
  <c r="F272" i="1"/>
  <c r="G272" i="1"/>
  <c r="N272" i="1"/>
  <c r="O272" i="1"/>
  <c r="V272" i="1"/>
  <c r="AB272" i="1"/>
  <c r="AC272" i="1"/>
  <c r="AD272" i="1"/>
  <c r="AG272" i="1"/>
  <c r="AH272" i="1"/>
  <c r="AI272" i="1"/>
  <c r="AJ272" i="1"/>
  <c r="AK272" i="1"/>
  <c r="AM272" i="1"/>
  <c r="AN272" i="1"/>
  <c r="AO272" i="1"/>
  <c r="AP272" i="1"/>
  <c r="AQ272" i="1"/>
  <c r="A273" i="1"/>
  <c r="B273" i="1"/>
  <c r="C273" i="1"/>
  <c r="D273" i="1"/>
  <c r="E273" i="1"/>
  <c r="F273" i="1"/>
  <c r="G273" i="1"/>
  <c r="K273" i="1"/>
  <c r="N273" i="1"/>
  <c r="O273" i="1"/>
  <c r="V273" i="1"/>
  <c r="AB273" i="1"/>
  <c r="AC273" i="1"/>
  <c r="AD273" i="1"/>
  <c r="AG273" i="1"/>
  <c r="AH273" i="1"/>
  <c r="AI273" i="1"/>
  <c r="AJ273" i="1"/>
  <c r="AK273" i="1"/>
  <c r="AM273" i="1"/>
  <c r="AN273" i="1"/>
  <c r="AO273" i="1"/>
  <c r="AP273" i="1"/>
  <c r="AQ273" i="1"/>
  <c r="A274" i="1"/>
  <c r="B274" i="1"/>
  <c r="C274" i="1"/>
  <c r="D274" i="1"/>
  <c r="E274" i="1"/>
  <c r="F274" i="1"/>
  <c r="G274" i="1"/>
  <c r="K274" i="1"/>
  <c r="N274" i="1"/>
  <c r="O274" i="1"/>
  <c r="V274" i="1"/>
  <c r="AB274" i="1"/>
  <c r="AC274" i="1"/>
  <c r="AD274" i="1"/>
  <c r="AG274" i="1"/>
  <c r="AH274" i="1"/>
  <c r="AI274" i="1"/>
  <c r="AJ274" i="1"/>
  <c r="AK274" i="1"/>
  <c r="AM274" i="1"/>
  <c r="AN274" i="1"/>
  <c r="AO274" i="1"/>
  <c r="AP274" i="1"/>
  <c r="AQ274" i="1"/>
  <c r="A275" i="1"/>
  <c r="B275" i="1"/>
  <c r="C275" i="1"/>
  <c r="D275" i="1"/>
  <c r="E275" i="1"/>
  <c r="F275" i="1"/>
  <c r="G275" i="1"/>
  <c r="K275" i="1"/>
  <c r="N275" i="1"/>
  <c r="O275" i="1"/>
  <c r="S275" i="1"/>
  <c r="U275" i="1"/>
  <c r="V275" i="1"/>
  <c r="AB275" i="1"/>
  <c r="AC275" i="1"/>
  <c r="AD275" i="1"/>
  <c r="AG275" i="1"/>
  <c r="AH275" i="1"/>
  <c r="AI275" i="1"/>
  <c r="AJ275" i="1"/>
  <c r="AK275" i="1"/>
  <c r="AM275" i="1"/>
  <c r="AN275" i="1"/>
  <c r="AO275" i="1"/>
  <c r="AP275" i="1"/>
  <c r="AQ275" i="1"/>
  <c r="A276" i="1"/>
  <c r="B276" i="1"/>
  <c r="C276" i="1"/>
  <c r="D276" i="1"/>
  <c r="E276" i="1"/>
  <c r="F276" i="1"/>
  <c r="G276" i="1"/>
  <c r="K276" i="1"/>
  <c r="N276" i="1"/>
  <c r="O276" i="1"/>
  <c r="V276" i="1"/>
  <c r="AB276" i="1"/>
  <c r="AC276" i="1"/>
  <c r="AD276" i="1"/>
  <c r="AG276" i="1"/>
  <c r="AH276" i="1"/>
  <c r="AI276" i="1"/>
  <c r="AJ276" i="1"/>
  <c r="AK276" i="1"/>
  <c r="AM276" i="1"/>
  <c r="AN276" i="1"/>
  <c r="AO276" i="1"/>
  <c r="AP276" i="1"/>
  <c r="AQ276" i="1"/>
  <c r="A277" i="1"/>
  <c r="B277" i="1"/>
  <c r="C277" i="1"/>
  <c r="D277" i="1"/>
  <c r="E277" i="1"/>
  <c r="F277" i="1"/>
  <c r="G277" i="1"/>
  <c r="K277" i="1"/>
  <c r="L277" i="1"/>
  <c r="M277" i="1"/>
  <c r="N277" i="1"/>
  <c r="O277" i="1"/>
  <c r="S277" i="1"/>
  <c r="U277" i="1"/>
  <c r="V277" i="1"/>
  <c r="AB277" i="1"/>
  <c r="AC277" i="1"/>
  <c r="AD277" i="1"/>
  <c r="AE277" i="1"/>
  <c r="AG277" i="1"/>
  <c r="AH277" i="1"/>
  <c r="AI277" i="1"/>
  <c r="AJ277" i="1"/>
  <c r="AK277" i="1"/>
  <c r="AM277" i="1"/>
  <c r="AN277" i="1"/>
  <c r="AO277" i="1"/>
  <c r="AP277" i="1"/>
  <c r="AQ277" i="1"/>
  <c r="A278" i="1"/>
  <c r="B278" i="1"/>
  <c r="C278" i="1"/>
  <c r="D278" i="1"/>
  <c r="E278" i="1"/>
  <c r="F278" i="1"/>
  <c r="G278" i="1"/>
  <c r="K278" i="1"/>
  <c r="N278" i="1"/>
  <c r="O278" i="1"/>
  <c r="V278" i="1"/>
  <c r="AB278" i="1"/>
  <c r="AC278" i="1"/>
  <c r="AD278" i="1"/>
  <c r="AG278" i="1"/>
  <c r="AH278" i="1"/>
  <c r="AI278" i="1"/>
  <c r="AJ278" i="1"/>
  <c r="AK278" i="1"/>
  <c r="AM278" i="1"/>
  <c r="AN278" i="1"/>
  <c r="AO278" i="1"/>
  <c r="AP278" i="1"/>
  <c r="AQ278" i="1"/>
  <c r="A279" i="1"/>
  <c r="B279" i="1"/>
  <c r="C279" i="1"/>
  <c r="D279" i="1"/>
  <c r="E279" i="1"/>
  <c r="F279" i="1"/>
  <c r="G279" i="1"/>
  <c r="K279" i="1"/>
  <c r="N279" i="1"/>
  <c r="O279" i="1"/>
  <c r="V279" i="1"/>
  <c r="AB279" i="1"/>
  <c r="AC279" i="1"/>
  <c r="AD279" i="1"/>
  <c r="AG279" i="1"/>
  <c r="AH279" i="1"/>
  <c r="AI279" i="1"/>
  <c r="AJ279" i="1"/>
  <c r="AK279" i="1"/>
  <c r="AM279" i="1"/>
  <c r="AN279" i="1"/>
  <c r="AO279" i="1"/>
  <c r="AP279" i="1"/>
  <c r="AQ279" i="1"/>
  <c r="A280" i="1"/>
  <c r="B280" i="1"/>
  <c r="C280" i="1"/>
  <c r="D280" i="1"/>
  <c r="E280" i="1"/>
  <c r="F280" i="1"/>
  <c r="G280" i="1"/>
  <c r="K280" i="1"/>
  <c r="N280" i="1"/>
  <c r="O280" i="1"/>
  <c r="V280" i="1"/>
  <c r="AB280" i="1"/>
  <c r="AC280" i="1"/>
  <c r="AD280" i="1"/>
  <c r="AG280" i="1"/>
  <c r="AH280" i="1"/>
  <c r="AI280" i="1"/>
  <c r="AJ280" i="1"/>
  <c r="AK280" i="1"/>
  <c r="AM280" i="1"/>
  <c r="AN280" i="1"/>
  <c r="AO280" i="1"/>
  <c r="AP280" i="1"/>
  <c r="AQ280" i="1"/>
  <c r="A281" i="1"/>
  <c r="B281" i="1"/>
  <c r="C281" i="1"/>
  <c r="D281" i="1"/>
  <c r="E281" i="1"/>
  <c r="F281" i="1"/>
  <c r="G281" i="1"/>
  <c r="N281" i="1"/>
  <c r="O281" i="1"/>
  <c r="V281" i="1"/>
  <c r="AB281" i="1"/>
  <c r="AC281" i="1"/>
  <c r="AD281" i="1"/>
  <c r="AG281" i="1"/>
  <c r="AH281" i="1"/>
  <c r="AI281" i="1"/>
  <c r="AJ281" i="1"/>
  <c r="AK281" i="1"/>
  <c r="AM281" i="1"/>
  <c r="AN281" i="1"/>
  <c r="AO281" i="1"/>
  <c r="AP281" i="1"/>
  <c r="AQ281" i="1"/>
  <c r="A282" i="1"/>
  <c r="B282" i="1"/>
  <c r="C282" i="1"/>
  <c r="D282" i="1"/>
  <c r="E282" i="1"/>
  <c r="F282" i="1"/>
  <c r="G282" i="1"/>
  <c r="K282" i="1"/>
  <c r="N282" i="1"/>
  <c r="O282" i="1"/>
  <c r="V282" i="1"/>
  <c r="AB282" i="1"/>
  <c r="AC282" i="1"/>
  <c r="AD282" i="1"/>
  <c r="AG282" i="1"/>
  <c r="AH282" i="1"/>
  <c r="AI282" i="1"/>
  <c r="AJ282" i="1"/>
  <c r="AK282" i="1"/>
  <c r="AM282" i="1"/>
  <c r="AN282" i="1"/>
  <c r="AO282" i="1"/>
  <c r="AP282" i="1"/>
  <c r="AQ282" i="1"/>
  <c r="A283" i="1"/>
  <c r="B283" i="1"/>
  <c r="C283" i="1"/>
  <c r="D283" i="1"/>
  <c r="E283" i="1"/>
  <c r="F283" i="1"/>
  <c r="G283" i="1"/>
  <c r="K283" i="1"/>
  <c r="N283" i="1"/>
  <c r="O283" i="1"/>
  <c r="V283" i="1"/>
  <c r="AB283" i="1"/>
  <c r="AC283" i="1"/>
  <c r="AD283" i="1"/>
  <c r="AG283" i="1"/>
  <c r="AH283" i="1"/>
  <c r="AI283" i="1"/>
  <c r="AJ283" i="1"/>
  <c r="AK283" i="1"/>
  <c r="AM283" i="1"/>
  <c r="AN283" i="1"/>
  <c r="AO283" i="1"/>
  <c r="AP283" i="1"/>
  <c r="AQ283" i="1"/>
  <c r="A284" i="1"/>
  <c r="B284" i="1"/>
  <c r="C284" i="1"/>
  <c r="D284" i="1"/>
  <c r="E284" i="1"/>
  <c r="F284" i="1"/>
  <c r="G284" i="1"/>
  <c r="K284" i="1"/>
  <c r="N284" i="1"/>
  <c r="O284" i="1"/>
  <c r="V284" i="1"/>
  <c r="AB284" i="1"/>
  <c r="AC284" i="1"/>
  <c r="AD284" i="1"/>
  <c r="AG284" i="1"/>
  <c r="AH284" i="1"/>
  <c r="AI284" i="1"/>
  <c r="AJ284" i="1"/>
  <c r="AK284" i="1"/>
  <c r="AM284" i="1"/>
  <c r="AN284" i="1"/>
  <c r="AO284" i="1"/>
  <c r="AP284" i="1"/>
  <c r="AQ284" i="1"/>
  <c r="A285" i="1"/>
  <c r="B285" i="1"/>
  <c r="C285" i="1"/>
  <c r="D285" i="1"/>
  <c r="E285" i="1"/>
  <c r="F285" i="1"/>
  <c r="G285" i="1"/>
  <c r="K285" i="1"/>
  <c r="N285" i="1"/>
  <c r="O285" i="1"/>
  <c r="V285" i="1"/>
  <c r="AB285" i="1"/>
  <c r="AC285" i="1"/>
  <c r="AD285" i="1"/>
  <c r="AE285" i="1"/>
  <c r="AG285" i="1"/>
  <c r="AH285" i="1"/>
  <c r="AI285" i="1"/>
  <c r="AJ285" i="1"/>
  <c r="AK285" i="1"/>
  <c r="AM285" i="1"/>
  <c r="AN285" i="1"/>
  <c r="AO285" i="1"/>
  <c r="AP285" i="1"/>
  <c r="AQ285" i="1"/>
  <c r="A286" i="1"/>
  <c r="B286" i="1"/>
  <c r="C286" i="1"/>
  <c r="D286" i="1"/>
  <c r="E286" i="1"/>
  <c r="F286" i="1"/>
  <c r="G286" i="1"/>
  <c r="N286" i="1"/>
  <c r="O286" i="1"/>
  <c r="V286" i="1"/>
  <c r="AB286" i="1"/>
  <c r="AC286" i="1"/>
  <c r="AD286" i="1"/>
  <c r="AG286" i="1"/>
  <c r="AH286" i="1"/>
  <c r="AI286" i="1"/>
  <c r="AJ286" i="1"/>
  <c r="AK286" i="1"/>
  <c r="AM286" i="1"/>
  <c r="AN286" i="1"/>
  <c r="AO286" i="1"/>
  <c r="AP286" i="1"/>
  <c r="AQ286" i="1"/>
  <c r="A287" i="1"/>
  <c r="B287" i="1"/>
  <c r="C287" i="1"/>
  <c r="D287" i="1"/>
  <c r="E287" i="1"/>
  <c r="F287" i="1"/>
  <c r="G287" i="1"/>
  <c r="K287" i="1"/>
  <c r="L287" i="1"/>
  <c r="N287" i="1"/>
  <c r="O287" i="1"/>
  <c r="Q287" i="1"/>
  <c r="V287" i="1"/>
  <c r="AB287" i="1"/>
  <c r="AC287" i="1"/>
  <c r="AD287" i="1"/>
  <c r="AE287" i="1"/>
  <c r="AG287" i="1"/>
  <c r="AH287" i="1"/>
  <c r="AI287" i="1"/>
  <c r="AJ287" i="1"/>
  <c r="AK287" i="1"/>
  <c r="AM287" i="1"/>
  <c r="AN287" i="1"/>
  <c r="AO287" i="1"/>
  <c r="AP287" i="1"/>
  <c r="AQ287" i="1"/>
  <c r="A288" i="1"/>
  <c r="B288" i="1"/>
  <c r="C288" i="1"/>
  <c r="D288" i="1"/>
  <c r="E288" i="1"/>
  <c r="F288" i="1"/>
  <c r="G288" i="1"/>
  <c r="N288" i="1"/>
  <c r="O288" i="1"/>
  <c r="V288" i="1"/>
  <c r="AB288" i="1"/>
  <c r="AC288" i="1"/>
  <c r="AD288" i="1"/>
  <c r="AG288" i="1"/>
  <c r="AH288" i="1"/>
  <c r="AI288" i="1"/>
  <c r="AJ288" i="1"/>
  <c r="AK288" i="1"/>
  <c r="AM288" i="1"/>
  <c r="AN288" i="1"/>
  <c r="AO288" i="1"/>
  <c r="AP288" i="1"/>
  <c r="AQ288" i="1"/>
  <c r="A289" i="1"/>
  <c r="B289" i="1"/>
  <c r="C289" i="1"/>
  <c r="D289" i="1"/>
  <c r="E289" i="1"/>
  <c r="F289" i="1"/>
  <c r="G289" i="1"/>
  <c r="K289" i="1"/>
  <c r="N289" i="1"/>
  <c r="O289" i="1"/>
  <c r="V289" i="1"/>
  <c r="AB289" i="1"/>
  <c r="AC289" i="1"/>
  <c r="AD289" i="1"/>
  <c r="AG289" i="1"/>
  <c r="AH289" i="1"/>
  <c r="AI289" i="1"/>
  <c r="AJ289" i="1"/>
  <c r="AK289" i="1"/>
  <c r="AM289" i="1"/>
  <c r="AN289" i="1"/>
  <c r="AO289" i="1"/>
  <c r="AP289" i="1"/>
  <c r="AQ289" i="1"/>
  <c r="A290" i="1"/>
  <c r="B290" i="1"/>
  <c r="C290" i="1"/>
  <c r="D290" i="1"/>
  <c r="E290" i="1"/>
  <c r="F290" i="1"/>
  <c r="G290" i="1"/>
  <c r="K290" i="1"/>
  <c r="N290" i="1"/>
  <c r="O290" i="1"/>
  <c r="V290" i="1"/>
  <c r="AB290" i="1"/>
  <c r="AC290" i="1"/>
  <c r="AD290" i="1"/>
  <c r="AG290" i="1"/>
  <c r="AH290" i="1"/>
  <c r="AI290" i="1"/>
  <c r="AJ290" i="1"/>
  <c r="AK290" i="1"/>
  <c r="AM290" i="1"/>
  <c r="AN290" i="1"/>
  <c r="AO290" i="1"/>
  <c r="AP290" i="1"/>
  <c r="AQ290" i="1"/>
  <c r="A291" i="1"/>
  <c r="B291" i="1"/>
  <c r="C291" i="1"/>
  <c r="D291" i="1"/>
  <c r="E291" i="1"/>
  <c r="F291" i="1"/>
  <c r="G291" i="1"/>
  <c r="K291" i="1"/>
  <c r="N291" i="1"/>
  <c r="O291" i="1"/>
  <c r="V291" i="1"/>
  <c r="AB291" i="1"/>
  <c r="AC291" i="1"/>
  <c r="AD291" i="1"/>
  <c r="AG291" i="1"/>
  <c r="AH291" i="1"/>
  <c r="AI291" i="1"/>
  <c r="AJ291" i="1"/>
  <c r="AK291" i="1"/>
  <c r="AM291" i="1"/>
  <c r="AN291" i="1"/>
  <c r="AO291" i="1"/>
  <c r="AP291" i="1"/>
  <c r="AQ291" i="1"/>
  <c r="A292" i="1"/>
  <c r="B292" i="1"/>
  <c r="C292" i="1"/>
  <c r="D292" i="1"/>
  <c r="E292" i="1"/>
  <c r="F292" i="1"/>
  <c r="G292" i="1"/>
  <c r="K292" i="1"/>
  <c r="N292" i="1"/>
  <c r="O292" i="1"/>
  <c r="V292" i="1"/>
  <c r="AB292" i="1"/>
  <c r="AC292" i="1"/>
  <c r="AD292" i="1"/>
  <c r="AG292" i="1"/>
  <c r="AH292" i="1"/>
  <c r="AI292" i="1"/>
  <c r="AJ292" i="1"/>
  <c r="AK292" i="1"/>
  <c r="AM292" i="1"/>
  <c r="AN292" i="1"/>
  <c r="AO292" i="1"/>
  <c r="AP292" i="1"/>
  <c r="AQ292" i="1"/>
  <c r="A293" i="1"/>
  <c r="B293" i="1"/>
  <c r="C293" i="1"/>
  <c r="D293" i="1"/>
  <c r="E293" i="1"/>
  <c r="F293" i="1"/>
  <c r="G293" i="1"/>
  <c r="K293" i="1"/>
  <c r="N293" i="1"/>
  <c r="O293" i="1"/>
  <c r="V293" i="1"/>
  <c r="AB293" i="1"/>
  <c r="AC293" i="1"/>
  <c r="AD293" i="1"/>
  <c r="AG293" i="1"/>
  <c r="AH293" i="1"/>
  <c r="AI293" i="1"/>
  <c r="AJ293" i="1"/>
  <c r="AK293" i="1"/>
  <c r="AM293" i="1"/>
  <c r="AN293" i="1"/>
  <c r="AO293" i="1"/>
  <c r="AP293" i="1"/>
  <c r="AQ293" i="1"/>
  <c r="A294" i="1"/>
  <c r="B294" i="1"/>
  <c r="C294" i="1"/>
  <c r="D294" i="1"/>
  <c r="E294" i="1"/>
  <c r="F294" i="1"/>
  <c r="G294" i="1"/>
  <c r="N294" i="1"/>
  <c r="O294" i="1"/>
  <c r="S294" i="1"/>
  <c r="U294" i="1"/>
  <c r="V294" i="1"/>
  <c r="AB294" i="1"/>
  <c r="AC294" i="1"/>
  <c r="AD294" i="1"/>
  <c r="AI294" i="1"/>
  <c r="AJ294" i="1"/>
  <c r="AK294" i="1"/>
  <c r="AM294" i="1"/>
  <c r="AN294" i="1"/>
  <c r="AO294" i="1"/>
  <c r="AP294" i="1"/>
  <c r="AQ294" i="1"/>
  <c r="A295" i="1"/>
  <c r="B295" i="1"/>
  <c r="C295" i="1"/>
  <c r="D295" i="1"/>
  <c r="E295" i="1"/>
  <c r="F295" i="1"/>
  <c r="G295" i="1"/>
  <c r="K295" i="1"/>
  <c r="L295" i="1"/>
  <c r="N295" i="1"/>
  <c r="O295" i="1"/>
  <c r="V295" i="1"/>
  <c r="AB295" i="1"/>
  <c r="AC295" i="1"/>
  <c r="AD295" i="1"/>
  <c r="AG295" i="1"/>
  <c r="AH295" i="1"/>
  <c r="AI295" i="1"/>
  <c r="AJ295" i="1"/>
  <c r="AK295" i="1"/>
  <c r="AM295" i="1"/>
  <c r="AN295" i="1"/>
  <c r="AO295" i="1"/>
  <c r="AP295" i="1"/>
  <c r="AQ295" i="1"/>
  <c r="A296" i="1"/>
  <c r="B296" i="1"/>
  <c r="C296" i="1"/>
  <c r="D296" i="1"/>
  <c r="E296" i="1"/>
  <c r="F296" i="1"/>
  <c r="G296" i="1"/>
  <c r="K296" i="1"/>
  <c r="N296" i="1"/>
  <c r="O296" i="1"/>
  <c r="V296" i="1"/>
  <c r="AB296" i="1"/>
  <c r="AC296" i="1"/>
  <c r="AD296" i="1"/>
  <c r="AG296" i="1"/>
  <c r="AH296" i="1"/>
  <c r="AI296" i="1"/>
  <c r="AJ296" i="1"/>
  <c r="AK296" i="1"/>
  <c r="AM296" i="1"/>
  <c r="AN296" i="1"/>
  <c r="AO296" i="1"/>
  <c r="AP296" i="1"/>
  <c r="AQ296" i="1"/>
  <c r="A297" i="1"/>
  <c r="B297" i="1"/>
  <c r="C297" i="1"/>
  <c r="D297" i="1"/>
  <c r="E297" i="1"/>
  <c r="F297" i="1"/>
  <c r="G297" i="1"/>
  <c r="K297" i="1"/>
  <c r="N297" i="1"/>
  <c r="O297" i="1"/>
  <c r="V297" i="1"/>
  <c r="AB297" i="1"/>
  <c r="AC297" i="1"/>
  <c r="AD297" i="1"/>
  <c r="AG297" i="1"/>
  <c r="AH297" i="1"/>
  <c r="AI297" i="1"/>
  <c r="AJ297" i="1"/>
  <c r="AK297" i="1"/>
  <c r="AM297" i="1"/>
  <c r="AN297" i="1"/>
  <c r="AO297" i="1"/>
  <c r="AP297" i="1"/>
  <c r="AQ297" i="1"/>
  <c r="A298" i="1"/>
  <c r="B298" i="1"/>
  <c r="C298" i="1"/>
  <c r="D298" i="1"/>
  <c r="E298" i="1"/>
  <c r="F298" i="1"/>
  <c r="G298" i="1"/>
  <c r="K298" i="1"/>
  <c r="N298" i="1"/>
  <c r="O298" i="1"/>
  <c r="V298" i="1"/>
  <c r="AB298" i="1"/>
  <c r="AC298" i="1"/>
  <c r="AD298" i="1"/>
  <c r="AG298" i="1"/>
  <c r="AH298" i="1"/>
  <c r="AI298" i="1"/>
  <c r="AJ298" i="1"/>
  <c r="AK298" i="1"/>
  <c r="AM298" i="1"/>
  <c r="AN298" i="1"/>
  <c r="AO298" i="1"/>
  <c r="AP298" i="1"/>
  <c r="AQ298" i="1"/>
  <c r="A299" i="1"/>
  <c r="B299" i="1"/>
  <c r="C299" i="1"/>
  <c r="D299" i="1"/>
  <c r="E299" i="1"/>
  <c r="F299" i="1"/>
  <c r="G299" i="1"/>
  <c r="K299" i="1"/>
  <c r="N299" i="1"/>
  <c r="O299" i="1"/>
  <c r="V299" i="1"/>
  <c r="AB299" i="1"/>
  <c r="AC299" i="1"/>
  <c r="AD299" i="1"/>
  <c r="AG299" i="1"/>
  <c r="AH299" i="1"/>
  <c r="AI299" i="1"/>
  <c r="AJ299" i="1"/>
  <c r="AK299" i="1"/>
  <c r="AM299" i="1"/>
  <c r="AN299" i="1"/>
  <c r="AO299" i="1"/>
  <c r="AP299" i="1"/>
  <c r="AQ299" i="1"/>
  <c r="A300" i="1"/>
  <c r="B300" i="1"/>
  <c r="C300" i="1"/>
  <c r="D300" i="1"/>
  <c r="E300" i="1"/>
  <c r="F300" i="1"/>
  <c r="G300" i="1"/>
  <c r="K300" i="1"/>
  <c r="N300" i="1"/>
  <c r="O300" i="1"/>
  <c r="V300" i="1"/>
  <c r="AB300" i="1"/>
  <c r="AC300" i="1"/>
  <c r="AD300" i="1"/>
  <c r="AG300" i="1"/>
  <c r="AH300" i="1"/>
  <c r="AI300" i="1"/>
  <c r="AJ300" i="1"/>
  <c r="AK300" i="1"/>
  <c r="AM300" i="1"/>
  <c r="AN300" i="1"/>
  <c r="AO300" i="1"/>
  <c r="AP300" i="1"/>
  <c r="AQ300" i="1"/>
  <c r="A301" i="1"/>
  <c r="B301" i="1"/>
  <c r="C301" i="1"/>
  <c r="D301" i="1"/>
  <c r="E301" i="1"/>
  <c r="F301" i="1"/>
  <c r="G301" i="1"/>
  <c r="K301" i="1"/>
  <c r="L301" i="1"/>
  <c r="N301" i="1"/>
  <c r="O301" i="1"/>
  <c r="V301" i="1"/>
  <c r="AB301" i="1"/>
  <c r="AC301" i="1"/>
  <c r="AD301" i="1"/>
  <c r="AG301" i="1"/>
  <c r="AH301" i="1"/>
  <c r="AI301" i="1"/>
  <c r="AJ301" i="1"/>
  <c r="AK301" i="1"/>
  <c r="AM301" i="1"/>
  <c r="AN301" i="1"/>
  <c r="AO301" i="1"/>
  <c r="AP301" i="1"/>
  <c r="AQ301" i="1"/>
  <c r="A302" i="1"/>
  <c r="B302" i="1"/>
  <c r="C302" i="1"/>
  <c r="D302" i="1"/>
  <c r="E302" i="1"/>
  <c r="F302" i="1"/>
  <c r="G302" i="1"/>
  <c r="K302" i="1"/>
  <c r="N302" i="1"/>
  <c r="O302" i="1"/>
  <c r="V302" i="1"/>
  <c r="AB302" i="1"/>
  <c r="AC302" i="1"/>
  <c r="AD302" i="1"/>
  <c r="AG302" i="1"/>
  <c r="AH302" i="1"/>
  <c r="AI302" i="1"/>
  <c r="AJ302" i="1"/>
  <c r="AK302" i="1"/>
  <c r="AM302" i="1"/>
  <c r="AN302" i="1"/>
  <c r="AO302" i="1"/>
  <c r="AP302" i="1"/>
  <c r="AQ302" i="1"/>
  <c r="A303" i="1"/>
  <c r="B303" i="1"/>
  <c r="C303" i="1"/>
  <c r="D303" i="1"/>
  <c r="E303" i="1"/>
  <c r="F303" i="1"/>
  <c r="G303" i="1"/>
  <c r="K303" i="1"/>
  <c r="N303" i="1"/>
  <c r="O303" i="1"/>
  <c r="V303" i="1"/>
  <c r="AB303" i="1"/>
  <c r="AC303" i="1"/>
  <c r="AD303" i="1"/>
  <c r="AG303" i="1"/>
  <c r="AH303" i="1"/>
  <c r="AI303" i="1"/>
  <c r="AJ303" i="1"/>
  <c r="AK303" i="1"/>
  <c r="AM303" i="1"/>
  <c r="AN303" i="1"/>
  <c r="AO303" i="1"/>
  <c r="AP303" i="1"/>
  <c r="AQ303" i="1"/>
  <c r="A304" i="1"/>
  <c r="B304" i="1"/>
  <c r="C304" i="1"/>
  <c r="D304" i="1"/>
  <c r="E304" i="1"/>
  <c r="F304" i="1"/>
  <c r="G304" i="1"/>
  <c r="K304" i="1"/>
  <c r="N304" i="1"/>
  <c r="O304" i="1"/>
  <c r="V304" i="1"/>
  <c r="AB304" i="1"/>
  <c r="AC304" i="1"/>
  <c r="AD304" i="1"/>
  <c r="AG304" i="1"/>
  <c r="AH304" i="1"/>
  <c r="AI304" i="1"/>
  <c r="AJ304" i="1"/>
  <c r="AK304" i="1"/>
  <c r="AM304" i="1"/>
  <c r="AN304" i="1"/>
  <c r="AO304" i="1"/>
  <c r="AP304" i="1"/>
  <c r="AQ304" i="1"/>
  <c r="A305" i="1"/>
  <c r="B305" i="1"/>
  <c r="C305" i="1"/>
  <c r="D305" i="1"/>
  <c r="E305" i="1"/>
  <c r="F305" i="1"/>
  <c r="G305" i="1"/>
  <c r="K305" i="1"/>
  <c r="N305" i="1"/>
  <c r="O305" i="1"/>
  <c r="V305" i="1"/>
  <c r="AB305" i="1"/>
  <c r="AC305" i="1"/>
  <c r="AD305" i="1"/>
  <c r="AG305" i="1"/>
  <c r="AH305" i="1"/>
  <c r="AI305" i="1"/>
  <c r="AJ305" i="1"/>
  <c r="AK305" i="1"/>
  <c r="AM305" i="1"/>
  <c r="AN305" i="1"/>
  <c r="AO305" i="1"/>
  <c r="AP305" i="1"/>
  <c r="AQ305" i="1"/>
  <c r="A306" i="1"/>
  <c r="B306" i="1"/>
  <c r="C306" i="1"/>
  <c r="D306" i="1"/>
  <c r="E306" i="1"/>
  <c r="F306" i="1"/>
  <c r="G306" i="1"/>
  <c r="K306" i="1"/>
  <c r="N306" i="1"/>
  <c r="O306" i="1"/>
  <c r="V306" i="1"/>
  <c r="AB306" i="1"/>
  <c r="AC306" i="1"/>
  <c r="AD306" i="1"/>
  <c r="AG306" i="1"/>
  <c r="AH306" i="1"/>
  <c r="AI306" i="1"/>
  <c r="AJ306" i="1"/>
  <c r="AK306" i="1"/>
  <c r="AM306" i="1"/>
  <c r="AN306" i="1"/>
  <c r="AO306" i="1"/>
  <c r="AP306" i="1"/>
  <c r="AQ306" i="1"/>
  <c r="A307" i="1"/>
  <c r="B307" i="1"/>
  <c r="C307" i="1"/>
  <c r="D307" i="1"/>
  <c r="E307" i="1"/>
  <c r="F307" i="1"/>
  <c r="G307" i="1"/>
  <c r="K307" i="1"/>
  <c r="L307" i="1"/>
  <c r="N307" i="1"/>
  <c r="O307" i="1"/>
  <c r="V307" i="1"/>
  <c r="AB307" i="1"/>
  <c r="AC307" i="1"/>
  <c r="AD307" i="1"/>
  <c r="AG307" i="1"/>
  <c r="AH307" i="1"/>
  <c r="AI307" i="1"/>
  <c r="AJ307" i="1"/>
  <c r="AK307" i="1"/>
  <c r="AM307" i="1"/>
  <c r="AN307" i="1"/>
  <c r="AO307" i="1"/>
  <c r="AP307" i="1"/>
  <c r="AQ307" i="1"/>
  <c r="A308" i="1"/>
  <c r="B308" i="1"/>
  <c r="C308" i="1"/>
  <c r="D308" i="1"/>
  <c r="E308" i="1"/>
  <c r="F308" i="1"/>
  <c r="G308" i="1"/>
  <c r="K308" i="1"/>
  <c r="N308" i="1"/>
  <c r="O308" i="1"/>
  <c r="S308" i="1"/>
  <c r="U308" i="1"/>
  <c r="V308" i="1"/>
  <c r="AB308" i="1"/>
  <c r="AC308" i="1"/>
  <c r="AD308" i="1"/>
  <c r="AE308" i="1"/>
  <c r="AG308" i="1"/>
  <c r="AH308" i="1"/>
  <c r="AI308" i="1"/>
  <c r="AJ308" i="1"/>
  <c r="AK308" i="1"/>
  <c r="AM308" i="1"/>
  <c r="AN308" i="1"/>
  <c r="AO308" i="1"/>
  <c r="AP308" i="1"/>
  <c r="AQ308" i="1"/>
  <c r="A309" i="1"/>
  <c r="B309" i="1"/>
  <c r="C309" i="1"/>
  <c r="D309" i="1"/>
  <c r="E309" i="1"/>
  <c r="F309" i="1"/>
  <c r="G309" i="1"/>
  <c r="K309" i="1"/>
  <c r="N309" i="1"/>
  <c r="O309" i="1"/>
  <c r="V309" i="1"/>
  <c r="AB309" i="1"/>
  <c r="AC309" i="1"/>
  <c r="AD309" i="1"/>
  <c r="AG309" i="1"/>
  <c r="AH309" i="1"/>
  <c r="AI309" i="1"/>
  <c r="AJ309" i="1"/>
  <c r="AK309" i="1"/>
  <c r="AM309" i="1"/>
  <c r="AN309" i="1"/>
  <c r="AO309" i="1"/>
  <c r="AP309" i="1"/>
  <c r="AQ309" i="1"/>
  <c r="A310" i="1"/>
  <c r="B310" i="1"/>
  <c r="C310" i="1"/>
  <c r="D310" i="1"/>
  <c r="E310" i="1"/>
  <c r="F310" i="1"/>
  <c r="G310" i="1"/>
  <c r="K310" i="1"/>
  <c r="N310" i="1"/>
  <c r="O310" i="1"/>
  <c r="V310" i="1"/>
  <c r="AB310" i="1"/>
  <c r="AC310" i="1"/>
  <c r="AD310" i="1"/>
  <c r="AG310" i="1"/>
  <c r="AH310" i="1"/>
  <c r="AI310" i="1"/>
  <c r="AJ310" i="1"/>
  <c r="AK310" i="1"/>
  <c r="AM310" i="1"/>
  <c r="AN310" i="1"/>
  <c r="AO310" i="1"/>
  <c r="AP310" i="1"/>
  <c r="AQ310" i="1"/>
  <c r="A311" i="1"/>
  <c r="B311" i="1"/>
  <c r="C311" i="1"/>
  <c r="D311" i="1"/>
  <c r="E311" i="1"/>
  <c r="F311" i="1"/>
  <c r="G311" i="1"/>
  <c r="K311" i="1"/>
  <c r="N311" i="1"/>
  <c r="O311" i="1"/>
  <c r="V311" i="1"/>
  <c r="AB311" i="1"/>
  <c r="AC311" i="1"/>
  <c r="AD311" i="1"/>
  <c r="AG311" i="1"/>
  <c r="AH311" i="1"/>
  <c r="AI311" i="1"/>
  <c r="AJ311" i="1"/>
  <c r="AK311" i="1"/>
  <c r="AM311" i="1"/>
  <c r="AN311" i="1"/>
  <c r="AO311" i="1"/>
  <c r="AP311" i="1"/>
  <c r="AQ311" i="1"/>
  <c r="A312" i="1"/>
  <c r="B312" i="1"/>
  <c r="C312" i="1"/>
  <c r="D312" i="1"/>
  <c r="E312" i="1"/>
  <c r="F312" i="1"/>
  <c r="G312" i="1"/>
  <c r="K312" i="1"/>
  <c r="N312" i="1"/>
  <c r="O312" i="1"/>
  <c r="V312" i="1"/>
  <c r="AB312" i="1"/>
  <c r="AC312" i="1"/>
  <c r="AD312" i="1"/>
  <c r="AG312" i="1"/>
  <c r="AH312" i="1"/>
  <c r="AI312" i="1"/>
  <c r="AJ312" i="1"/>
  <c r="AK312" i="1"/>
  <c r="AM312" i="1"/>
  <c r="AN312" i="1"/>
  <c r="AO312" i="1"/>
  <c r="AP312" i="1"/>
  <c r="AQ312" i="1"/>
  <c r="A313" i="1"/>
  <c r="B313" i="1"/>
  <c r="C313" i="1"/>
  <c r="D313" i="1"/>
  <c r="E313" i="1"/>
  <c r="F313" i="1"/>
  <c r="G313" i="1"/>
  <c r="N313" i="1"/>
  <c r="V313" i="1"/>
  <c r="AB313" i="1"/>
  <c r="AC313" i="1"/>
  <c r="AD313" i="1"/>
  <c r="AG313" i="1"/>
  <c r="AH313" i="1"/>
  <c r="AI313" i="1"/>
  <c r="AJ313" i="1"/>
  <c r="AK313" i="1"/>
  <c r="AM313" i="1"/>
  <c r="AN313" i="1"/>
  <c r="AO313" i="1"/>
  <c r="AP313" i="1"/>
  <c r="AQ313" i="1"/>
  <c r="A314" i="1"/>
  <c r="B314" i="1"/>
  <c r="C314" i="1"/>
  <c r="D314" i="1"/>
  <c r="E314" i="1"/>
  <c r="F314" i="1"/>
  <c r="G314" i="1"/>
  <c r="K314" i="1"/>
  <c r="N314" i="1"/>
  <c r="O314" i="1"/>
  <c r="V314" i="1"/>
  <c r="AB314" i="1"/>
  <c r="AC314" i="1"/>
  <c r="AD314" i="1"/>
  <c r="AG314" i="1"/>
  <c r="AH314" i="1"/>
  <c r="AI314" i="1"/>
  <c r="AJ314" i="1"/>
  <c r="AK314" i="1"/>
  <c r="AM314" i="1"/>
  <c r="AN314" i="1"/>
  <c r="AO314" i="1"/>
  <c r="AP314" i="1"/>
  <c r="AQ314" i="1"/>
  <c r="A315" i="1"/>
  <c r="B315" i="1"/>
  <c r="C315" i="1"/>
  <c r="D315" i="1"/>
  <c r="E315" i="1"/>
  <c r="F315" i="1"/>
  <c r="G315" i="1"/>
  <c r="K315" i="1"/>
  <c r="N315" i="1"/>
  <c r="O315" i="1"/>
  <c r="V315" i="1"/>
  <c r="AB315" i="1"/>
  <c r="AC315" i="1"/>
  <c r="AD315" i="1"/>
  <c r="AG315" i="1"/>
  <c r="AH315" i="1"/>
  <c r="AI315" i="1"/>
  <c r="AJ315" i="1"/>
  <c r="AK315" i="1"/>
  <c r="AM315" i="1"/>
  <c r="AN315" i="1"/>
  <c r="AO315" i="1"/>
  <c r="AP315" i="1"/>
  <c r="AQ315" i="1"/>
  <c r="A316" i="1"/>
  <c r="B316" i="1"/>
  <c r="C316" i="1"/>
  <c r="D316" i="1"/>
  <c r="E316" i="1"/>
  <c r="F316" i="1"/>
  <c r="G316" i="1"/>
  <c r="K316" i="1"/>
  <c r="N316" i="1"/>
  <c r="O316" i="1"/>
  <c r="V316" i="1"/>
  <c r="AB316" i="1"/>
  <c r="AC316" i="1"/>
  <c r="AD316" i="1"/>
  <c r="AG316" i="1"/>
  <c r="AH316" i="1"/>
  <c r="AI316" i="1"/>
  <c r="AJ316" i="1"/>
  <c r="AK316" i="1"/>
  <c r="AM316" i="1"/>
  <c r="AN316" i="1"/>
  <c r="AO316" i="1"/>
  <c r="AP316" i="1"/>
  <c r="AQ316" i="1"/>
  <c r="A317" i="1"/>
  <c r="B317" i="1"/>
  <c r="C317" i="1"/>
  <c r="D317" i="1"/>
  <c r="E317" i="1"/>
  <c r="F317" i="1"/>
  <c r="G317" i="1"/>
  <c r="K317" i="1"/>
  <c r="N317" i="1"/>
  <c r="O317" i="1"/>
  <c r="V317" i="1"/>
  <c r="AB317" i="1"/>
  <c r="AC317" i="1"/>
  <c r="AD317" i="1"/>
  <c r="AG317" i="1"/>
  <c r="AH317" i="1"/>
  <c r="AI317" i="1"/>
  <c r="AJ317" i="1"/>
  <c r="AK317" i="1"/>
  <c r="AM317" i="1"/>
  <c r="AN317" i="1"/>
  <c r="AO317" i="1"/>
  <c r="AP317" i="1"/>
  <c r="AQ317" i="1"/>
  <c r="A318" i="1"/>
  <c r="B318" i="1"/>
  <c r="C318" i="1"/>
  <c r="D318" i="1"/>
  <c r="E318" i="1"/>
  <c r="F318" i="1"/>
  <c r="G318" i="1"/>
  <c r="K318" i="1"/>
  <c r="N318" i="1"/>
  <c r="O318" i="1"/>
  <c r="S318" i="1"/>
  <c r="U318" i="1"/>
  <c r="V318" i="1"/>
  <c r="AB318" i="1"/>
  <c r="AC318" i="1"/>
  <c r="AD318" i="1"/>
  <c r="AG318" i="1"/>
  <c r="AH318" i="1"/>
  <c r="AI318" i="1"/>
  <c r="AJ318" i="1"/>
  <c r="AK318" i="1"/>
  <c r="AM318" i="1"/>
  <c r="AN318" i="1"/>
  <c r="AO318" i="1"/>
  <c r="AP318" i="1"/>
  <c r="AQ318" i="1"/>
  <c r="A319" i="1"/>
  <c r="B319" i="1"/>
  <c r="C319" i="1"/>
  <c r="D319" i="1"/>
  <c r="E319" i="1"/>
  <c r="F319" i="1"/>
  <c r="G319" i="1"/>
  <c r="K319" i="1"/>
  <c r="N319" i="1"/>
  <c r="O319" i="1"/>
  <c r="S319" i="1"/>
  <c r="U319" i="1"/>
  <c r="V319" i="1"/>
  <c r="AB319" i="1"/>
  <c r="AC319" i="1"/>
  <c r="AD319" i="1"/>
  <c r="AG319" i="1"/>
  <c r="AH319" i="1"/>
  <c r="AI319" i="1"/>
  <c r="AJ319" i="1"/>
  <c r="AK319" i="1"/>
  <c r="AM319" i="1"/>
  <c r="AN319" i="1"/>
  <c r="AO319" i="1"/>
  <c r="AP319" i="1"/>
  <c r="AQ319" i="1"/>
  <c r="A320" i="1"/>
  <c r="B320" i="1"/>
  <c r="C320" i="1"/>
  <c r="D320" i="1"/>
  <c r="E320" i="1"/>
  <c r="F320" i="1"/>
  <c r="G320" i="1"/>
  <c r="K320" i="1"/>
  <c r="L320" i="1"/>
  <c r="N320" i="1"/>
  <c r="O320" i="1"/>
  <c r="V320" i="1"/>
  <c r="AB320" i="1"/>
  <c r="AC320" i="1"/>
  <c r="AD320" i="1"/>
  <c r="AE320" i="1"/>
  <c r="AG320" i="1"/>
  <c r="AH320" i="1"/>
  <c r="AI320" i="1"/>
  <c r="AJ320" i="1"/>
  <c r="AK320" i="1"/>
  <c r="AM320" i="1"/>
  <c r="AN320" i="1"/>
  <c r="AO320" i="1"/>
  <c r="AP320" i="1"/>
  <c r="AQ320" i="1"/>
  <c r="A321" i="1"/>
  <c r="B321" i="1"/>
  <c r="C321" i="1"/>
  <c r="D321" i="1"/>
  <c r="E321" i="1"/>
  <c r="F321" i="1"/>
  <c r="G321" i="1"/>
  <c r="K321" i="1"/>
  <c r="N321" i="1"/>
  <c r="O321" i="1"/>
  <c r="V321" i="1"/>
  <c r="AB321" i="1"/>
  <c r="AC321" i="1"/>
  <c r="AD321" i="1"/>
  <c r="AG321" i="1"/>
  <c r="AH321" i="1"/>
  <c r="AI321" i="1"/>
  <c r="AJ321" i="1"/>
  <c r="AK321" i="1"/>
  <c r="AM321" i="1"/>
  <c r="AN321" i="1"/>
  <c r="AO321" i="1"/>
  <c r="AP321" i="1"/>
  <c r="AQ321" i="1"/>
  <c r="A322" i="1"/>
  <c r="B322" i="1"/>
  <c r="C322" i="1"/>
  <c r="D322" i="1"/>
  <c r="E322" i="1"/>
  <c r="F322" i="1"/>
  <c r="G322" i="1"/>
  <c r="K322" i="1"/>
  <c r="N322" i="1"/>
  <c r="O322" i="1"/>
  <c r="V322" i="1"/>
  <c r="AB322" i="1"/>
  <c r="AC322" i="1"/>
  <c r="AD322" i="1"/>
  <c r="AG322" i="1"/>
  <c r="AH322" i="1"/>
  <c r="AI322" i="1"/>
  <c r="AJ322" i="1"/>
  <c r="AK322" i="1"/>
  <c r="AM322" i="1"/>
  <c r="AN322" i="1"/>
  <c r="AO322" i="1"/>
  <c r="AP322" i="1"/>
  <c r="AQ322" i="1"/>
  <c r="A323" i="1"/>
  <c r="B323" i="1"/>
  <c r="C323" i="1"/>
  <c r="D323" i="1"/>
  <c r="E323" i="1"/>
  <c r="F323" i="1"/>
  <c r="G323" i="1"/>
  <c r="K323" i="1"/>
  <c r="N323" i="1"/>
  <c r="O323" i="1"/>
  <c r="V323" i="1"/>
  <c r="AB323" i="1"/>
  <c r="AC323" i="1"/>
  <c r="AD323" i="1"/>
  <c r="AE323" i="1"/>
  <c r="AG323" i="1"/>
  <c r="AH323" i="1"/>
  <c r="AI323" i="1"/>
  <c r="AJ323" i="1"/>
  <c r="AK323" i="1"/>
  <c r="AM323" i="1"/>
  <c r="AN323" i="1"/>
  <c r="AO323" i="1"/>
  <c r="AP323" i="1"/>
  <c r="AQ323" i="1"/>
  <c r="A324" i="1"/>
  <c r="B324" i="1"/>
  <c r="C324" i="1"/>
  <c r="D324" i="1"/>
  <c r="E324" i="1"/>
  <c r="F324" i="1"/>
  <c r="G324" i="1"/>
  <c r="K324" i="1"/>
  <c r="N324" i="1"/>
  <c r="O324" i="1"/>
  <c r="V324" i="1"/>
  <c r="AB324" i="1"/>
  <c r="AC324" i="1"/>
  <c r="AD324" i="1"/>
  <c r="AG324" i="1"/>
  <c r="AH324" i="1"/>
  <c r="AI324" i="1"/>
  <c r="AJ324" i="1"/>
  <c r="AK324" i="1"/>
  <c r="AM324" i="1"/>
  <c r="AN324" i="1"/>
  <c r="AO324" i="1"/>
  <c r="AP324" i="1"/>
  <c r="AQ324" i="1"/>
  <c r="A325" i="1"/>
  <c r="B325" i="1"/>
  <c r="C325" i="1"/>
  <c r="D325" i="1"/>
  <c r="E325" i="1"/>
  <c r="F325" i="1"/>
  <c r="G325" i="1"/>
  <c r="K325" i="1"/>
  <c r="N325" i="1"/>
  <c r="O325" i="1"/>
  <c r="V325" i="1"/>
  <c r="AB325" i="1"/>
  <c r="AC325" i="1"/>
  <c r="AD325" i="1"/>
  <c r="AG325" i="1"/>
  <c r="AH325" i="1"/>
  <c r="AI325" i="1"/>
  <c r="AJ325" i="1"/>
  <c r="AK325" i="1"/>
  <c r="AM325" i="1"/>
  <c r="AN325" i="1"/>
  <c r="AO325" i="1"/>
  <c r="AP325" i="1"/>
  <c r="AQ325" i="1"/>
  <c r="A326" i="1"/>
  <c r="B326" i="1"/>
  <c r="C326" i="1"/>
  <c r="D326" i="1"/>
  <c r="E326" i="1"/>
  <c r="F326" i="1"/>
  <c r="G326" i="1"/>
  <c r="K326" i="1"/>
  <c r="N326" i="1"/>
  <c r="O326" i="1"/>
  <c r="V326" i="1"/>
  <c r="AB326" i="1"/>
  <c r="AC326" i="1"/>
  <c r="AD326" i="1"/>
  <c r="AG326" i="1"/>
  <c r="AH326" i="1"/>
  <c r="AI326" i="1"/>
  <c r="AJ326" i="1"/>
  <c r="AK326" i="1"/>
  <c r="AM326" i="1"/>
  <c r="AN326" i="1"/>
  <c r="AO326" i="1"/>
  <c r="AP326" i="1"/>
  <c r="AQ326" i="1"/>
  <c r="A327" i="1"/>
  <c r="B327" i="1"/>
  <c r="C327" i="1"/>
  <c r="D327" i="1"/>
  <c r="E327" i="1"/>
  <c r="F327" i="1"/>
  <c r="G327" i="1"/>
  <c r="K327" i="1"/>
  <c r="N327" i="1"/>
  <c r="O327" i="1"/>
  <c r="V327" i="1"/>
  <c r="AB327" i="1"/>
  <c r="AC327" i="1"/>
  <c r="AD327" i="1"/>
  <c r="AG327" i="1"/>
  <c r="AH327" i="1"/>
  <c r="AI327" i="1"/>
  <c r="AJ327" i="1"/>
  <c r="AK327" i="1"/>
  <c r="AM327" i="1"/>
  <c r="AN327" i="1"/>
  <c r="AO327" i="1"/>
  <c r="AP327" i="1"/>
  <c r="AQ327" i="1"/>
  <c r="A328" i="1"/>
  <c r="B328" i="1"/>
  <c r="C328" i="1"/>
  <c r="D328" i="1"/>
  <c r="E328" i="1"/>
  <c r="F328" i="1"/>
  <c r="G328" i="1"/>
  <c r="K328" i="1"/>
  <c r="N328" i="1"/>
  <c r="O328" i="1"/>
  <c r="V328" i="1"/>
  <c r="AB328" i="1"/>
  <c r="AC328" i="1"/>
  <c r="AD328" i="1"/>
  <c r="AG328" i="1"/>
  <c r="AH328" i="1"/>
  <c r="AI328" i="1"/>
  <c r="AJ328" i="1"/>
  <c r="AK328" i="1"/>
  <c r="AM328" i="1"/>
  <c r="AN328" i="1"/>
  <c r="AO328" i="1"/>
  <c r="AP328" i="1"/>
  <c r="AQ328" i="1"/>
  <c r="A329" i="1"/>
  <c r="B329" i="1"/>
  <c r="C329" i="1"/>
  <c r="D329" i="1"/>
  <c r="E329" i="1"/>
  <c r="F329" i="1"/>
  <c r="G329" i="1"/>
  <c r="K329" i="1"/>
  <c r="N329" i="1"/>
  <c r="O329" i="1"/>
  <c r="V329" i="1"/>
  <c r="AB329" i="1"/>
  <c r="AC329" i="1"/>
  <c r="AD329" i="1"/>
  <c r="AG329" i="1"/>
  <c r="AH329" i="1"/>
  <c r="AI329" i="1"/>
  <c r="AJ329" i="1"/>
  <c r="AK329" i="1"/>
  <c r="AM329" i="1"/>
  <c r="AN329" i="1"/>
  <c r="AO329" i="1"/>
  <c r="AP329" i="1"/>
  <c r="AQ329" i="1"/>
  <c r="A330" i="1"/>
  <c r="B330" i="1"/>
  <c r="C330" i="1"/>
  <c r="D330" i="1"/>
  <c r="E330" i="1"/>
  <c r="F330" i="1"/>
  <c r="G330" i="1"/>
  <c r="K330" i="1"/>
  <c r="N330" i="1"/>
  <c r="O330" i="1"/>
  <c r="V330" i="1"/>
  <c r="AB330" i="1"/>
  <c r="AC330" i="1"/>
  <c r="AD330" i="1"/>
  <c r="AG330" i="1"/>
  <c r="AH330" i="1"/>
  <c r="AI330" i="1"/>
  <c r="AJ330" i="1"/>
  <c r="AK330" i="1"/>
  <c r="AM330" i="1"/>
  <c r="AN330" i="1"/>
  <c r="AO330" i="1"/>
  <c r="AP330" i="1"/>
  <c r="AQ330" i="1"/>
  <c r="A331" i="1"/>
  <c r="B331" i="1"/>
  <c r="C331" i="1"/>
  <c r="D331" i="1"/>
  <c r="E331" i="1"/>
  <c r="F331" i="1"/>
  <c r="G331" i="1"/>
  <c r="K331" i="1"/>
  <c r="N331" i="1"/>
  <c r="O331" i="1"/>
  <c r="V331" i="1"/>
  <c r="AB331" i="1"/>
  <c r="AC331" i="1"/>
  <c r="AD331" i="1"/>
  <c r="AG331" i="1"/>
  <c r="AH331" i="1"/>
  <c r="AI331" i="1"/>
  <c r="AJ331" i="1"/>
  <c r="AK331" i="1"/>
  <c r="AM331" i="1"/>
  <c r="AN331" i="1"/>
  <c r="AO331" i="1"/>
  <c r="AP331" i="1"/>
  <c r="AQ331" i="1"/>
  <c r="A332" i="1"/>
  <c r="B332" i="1"/>
  <c r="C332" i="1"/>
  <c r="D332" i="1"/>
  <c r="E332" i="1"/>
  <c r="F332" i="1"/>
  <c r="G332" i="1"/>
  <c r="K332" i="1"/>
  <c r="N332" i="1"/>
  <c r="O332" i="1"/>
  <c r="V332" i="1"/>
  <c r="AB332" i="1"/>
  <c r="AC332" i="1"/>
  <c r="AD332" i="1"/>
  <c r="AG332" i="1"/>
  <c r="AH332" i="1"/>
  <c r="AI332" i="1"/>
  <c r="AJ332" i="1"/>
  <c r="AK332" i="1"/>
  <c r="AM332" i="1"/>
  <c r="AN332" i="1"/>
  <c r="AO332" i="1"/>
  <c r="AP332" i="1"/>
  <c r="AQ332" i="1"/>
  <c r="A333" i="1"/>
  <c r="B333" i="1"/>
  <c r="C333" i="1"/>
  <c r="D333" i="1"/>
  <c r="E333" i="1"/>
  <c r="F333" i="1"/>
  <c r="G333" i="1"/>
  <c r="K333" i="1"/>
  <c r="N333" i="1"/>
  <c r="O333" i="1"/>
  <c r="V333" i="1"/>
  <c r="AB333" i="1"/>
  <c r="AC333" i="1"/>
  <c r="AD333" i="1"/>
  <c r="AG333" i="1"/>
  <c r="AH333" i="1"/>
  <c r="AI333" i="1"/>
  <c r="AJ333" i="1"/>
  <c r="AK333" i="1"/>
  <c r="AM333" i="1"/>
  <c r="AN333" i="1"/>
  <c r="AO333" i="1"/>
  <c r="AP333" i="1"/>
  <c r="AQ333" i="1"/>
  <c r="A334" i="1"/>
  <c r="B334" i="1"/>
  <c r="C334" i="1"/>
  <c r="D334" i="1"/>
  <c r="E334" i="1"/>
  <c r="F334" i="1"/>
  <c r="G334" i="1"/>
  <c r="K334" i="1"/>
  <c r="N334" i="1"/>
  <c r="O334" i="1"/>
  <c r="S334" i="1"/>
  <c r="U334" i="1"/>
  <c r="V334" i="1"/>
  <c r="AB334" i="1"/>
  <c r="AC334" i="1"/>
  <c r="AD334" i="1"/>
  <c r="AG334" i="1"/>
  <c r="AH334" i="1"/>
  <c r="AI334" i="1"/>
  <c r="AJ334" i="1"/>
  <c r="AK334" i="1"/>
  <c r="AM334" i="1"/>
  <c r="AN334" i="1"/>
  <c r="AO334" i="1"/>
  <c r="AP334" i="1"/>
  <c r="AQ334" i="1"/>
  <c r="A335" i="1"/>
  <c r="B335" i="1"/>
  <c r="C335" i="1"/>
  <c r="D335" i="1"/>
  <c r="E335" i="1"/>
  <c r="F335" i="1"/>
  <c r="G335" i="1"/>
  <c r="K335" i="1"/>
  <c r="N335" i="1"/>
  <c r="O335" i="1"/>
  <c r="V335" i="1"/>
  <c r="AB335" i="1"/>
  <c r="AC335" i="1"/>
  <c r="AD335" i="1"/>
  <c r="AG335" i="1"/>
  <c r="AH335" i="1"/>
  <c r="AI335" i="1"/>
  <c r="AJ335" i="1"/>
  <c r="AK335" i="1"/>
  <c r="AM335" i="1"/>
  <c r="AN335" i="1"/>
  <c r="AO335" i="1"/>
  <c r="AP335" i="1"/>
  <c r="AQ335" i="1"/>
  <c r="A336" i="1"/>
  <c r="B336" i="1"/>
  <c r="C336" i="1"/>
  <c r="D336" i="1"/>
  <c r="E336" i="1"/>
  <c r="F336" i="1"/>
  <c r="G336" i="1"/>
  <c r="K336" i="1"/>
  <c r="N336" i="1"/>
  <c r="O336" i="1"/>
  <c r="V336" i="1"/>
  <c r="AB336" i="1"/>
  <c r="AC336" i="1"/>
  <c r="AD336" i="1"/>
  <c r="AG336" i="1"/>
  <c r="AH336" i="1"/>
  <c r="AI336" i="1"/>
  <c r="AJ336" i="1"/>
  <c r="AK336" i="1"/>
  <c r="AM336" i="1"/>
  <c r="AN336" i="1"/>
  <c r="AO336" i="1"/>
  <c r="AP336" i="1"/>
  <c r="AQ336" i="1"/>
  <c r="A337" i="1"/>
  <c r="B337" i="1"/>
  <c r="C337" i="1"/>
  <c r="D337" i="1"/>
  <c r="E337" i="1"/>
  <c r="F337" i="1"/>
  <c r="G337" i="1"/>
  <c r="K337" i="1"/>
  <c r="N337" i="1"/>
  <c r="O337" i="1"/>
  <c r="V337" i="1"/>
  <c r="AB337" i="1"/>
  <c r="AC337" i="1"/>
  <c r="AD337" i="1"/>
  <c r="AG337" i="1"/>
  <c r="AH337" i="1"/>
  <c r="AI337" i="1"/>
  <c r="AJ337" i="1"/>
  <c r="AK337" i="1"/>
  <c r="AM337" i="1"/>
  <c r="AN337" i="1"/>
  <c r="AO337" i="1"/>
  <c r="AP337" i="1"/>
  <c r="AQ337" i="1"/>
  <c r="A338" i="1"/>
  <c r="B338" i="1"/>
  <c r="C338" i="1"/>
  <c r="D338" i="1"/>
  <c r="E338" i="1"/>
  <c r="F338" i="1"/>
  <c r="G338" i="1"/>
  <c r="K338" i="1"/>
  <c r="N338" i="1"/>
  <c r="O338" i="1"/>
  <c r="V338" i="1"/>
  <c r="AB338" i="1"/>
  <c r="AC338" i="1"/>
  <c r="AD338" i="1"/>
  <c r="AG338" i="1"/>
  <c r="AH338" i="1"/>
  <c r="AI338" i="1"/>
  <c r="AJ338" i="1"/>
  <c r="AK338" i="1"/>
  <c r="AM338" i="1"/>
  <c r="AN338" i="1"/>
  <c r="AO338" i="1"/>
  <c r="AP338" i="1"/>
  <c r="AQ338" i="1"/>
  <c r="A339" i="1"/>
  <c r="B339" i="1"/>
  <c r="C339" i="1"/>
  <c r="D339" i="1"/>
  <c r="E339" i="1"/>
  <c r="F339" i="1"/>
  <c r="G339" i="1"/>
  <c r="K339" i="1"/>
  <c r="N339" i="1"/>
  <c r="O339" i="1"/>
  <c r="V339" i="1"/>
  <c r="AB339" i="1"/>
  <c r="AC339" i="1"/>
  <c r="AD339" i="1"/>
  <c r="AG339" i="1"/>
  <c r="AH339" i="1"/>
  <c r="AI339" i="1"/>
  <c r="AJ339" i="1"/>
  <c r="AK339" i="1"/>
  <c r="AM339" i="1"/>
  <c r="AN339" i="1"/>
  <c r="AO339" i="1"/>
  <c r="AP339" i="1"/>
  <c r="AQ339" i="1"/>
  <c r="A340" i="1"/>
  <c r="B340" i="1"/>
  <c r="C340" i="1"/>
  <c r="D340" i="1"/>
  <c r="E340" i="1"/>
  <c r="F340" i="1"/>
  <c r="G340" i="1"/>
  <c r="N340" i="1"/>
  <c r="O340" i="1"/>
  <c r="V340" i="1"/>
  <c r="AB340" i="1"/>
  <c r="AC340" i="1"/>
  <c r="AD340" i="1"/>
  <c r="AG340" i="1"/>
  <c r="AH340" i="1"/>
  <c r="AI340" i="1"/>
  <c r="AJ340" i="1"/>
  <c r="AK340" i="1"/>
  <c r="AM340" i="1"/>
  <c r="AN340" i="1"/>
  <c r="AO340" i="1"/>
  <c r="AP340" i="1"/>
  <c r="AQ340" i="1"/>
  <c r="A341" i="1"/>
  <c r="B341" i="1"/>
  <c r="C341" i="1"/>
  <c r="D341" i="1"/>
  <c r="E341" i="1"/>
  <c r="F341" i="1"/>
  <c r="G341" i="1"/>
  <c r="K341" i="1"/>
  <c r="N341" i="1"/>
  <c r="O341" i="1"/>
  <c r="V341" i="1"/>
  <c r="AB341" i="1"/>
  <c r="AC341" i="1"/>
  <c r="AD341" i="1"/>
  <c r="AG341" i="1"/>
  <c r="AH341" i="1"/>
  <c r="AI341" i="1"/>
  <c r="AJ341" i="1"/>
  <c r="AK341" i="1"/>
  <c r="AM341" i="1"/>
  <c r="AN341" i="1"/>
  <c r="AO341" i="1"/>
  <c r="AP341" i="1"/>
  <c r="AQ341" i="1"/>
  <c r="A342" i="1"/>
  <c r="B342" i="1"/>
  <c r="C342" i="1"/>
  <c r="D342" i="1"/>
  <c r="E342" i="1"/>
  <c r="F342" i="1"/>
  <c r="G342" i="1"/>
  <c r="K342" i="1"/>
  <c r="N342" i="1"/>
  <c r="O342" i="1"/>
  <c r="V342" i="1"/>
  <c r="AB342" i="1"/>
  <c r="AC342" i="1"/>
  <c r="AD342" i="1"/>
  <c r="AG342" i="1"/>
  <c r="AH342" i="1"/>
  <c r="AI342" i="1"/>
  <c r="AJ342" i="1"/>
  <c r="AK342" i="1"/>
  <c r="AM342" i="1"/>
  <c r="AN342" i="1"/>
  <c r="AO342" i="1"/>
  <c r="AP342" i="1"/>
  <c r="AQ342" i="1"/>
  <c r="A343" i="1"/>
  <c r="B343" i="1"/>
  <c r="C343" i="1"/>
  <c r="D343" i="1"/>
  <c r="E343" i="1"/>
  <c r="F343" i="1"/>
  <c r="G343" i="1"/>
  <c r="K343" i="1"/>
  <c r="N343" i="1"/>
  <c r="O343" i="1"/>
  <c r="V343" i="1"/>
  <c r="AB343" i="1"/>
  <c r="AC343" i="1"/>
  <c r="AD343" i="1"/>
  <c r="AG343" i="1"/>
  <c r="AH343" i="1"/>
  <c r="AI343" i="1"/>
  <c r="AJ343" i="1"/>
  <c r="AK343" i="1"/>
  <c r="AM343" i="1"/>
  <c r="AN343" i="1"/>
  <c r="AO343" i="1"/>
  <c r="AP343" i="1"/>
  <c r="AQ343" i="1"/>
  <c r="A344" i="1"/>
  <c r="B344" i="1"/>
  <c r="C344" i="1"/>
  <c r="D344" i="1"/>
  <c r="E344" i="1"/>
  <c r="F344" i="1"/>
  <c r="G344" i="1"/>
  <c r="K344" i="1"/>
  <c r="N344" i="1"/>
  <c r="O344" i="1"/>
  <c r="V344" i="1"/>
  <c r="AB344" i="1"/>
  <c r="AC344" i="1"/>
  <c r="AD344" i="1"/>
  <c r="AG344" i="1"/>
  <c r="AH344" i="1"/>
  <c r="AI344" i="1"/>
  <c r="AJ344" i="1"/>
  <c r="AK344" i="1"/>
  <c r="AM344" i="1"/>
  <c r="AN344" i="1"/>
  <c r="AO344" i="1"/>
  <c r="AP344" i="1"/>
  <c r="AQ344" i="1"/>
  <c r="A345" i="1"/>
  <c r="B345" i="1"/>
  <c r="C345" i="1"/>
  <c r="D345" i="1"/>
  <c r="E345" i="1"/>
  <c r="F345" i="1"/>
  <c r="G345" i="1"/>
  <c r="N345" i="1"/>
  <c r="O345" i="1"/>
  <c r="S345" i="1"/>
  <c r="U345" i="1"/>
  <c r="V345" i="1"/>
  <c r="AB345" i="1"/>
  <c r="AC345" i="1"/>
  <c r="AD345" i="1"/>
  <c r="AG345" i="1"/>
  <c r="AH345" i="1"/>
  <c r="AI345" i="1"/>
  <c r="AJ345" i="1"/>
  <c r="AK345" i="1"/>
  <c r="AM345" i="1"/>
  <c r="AN345" i="1"/>
  <c r="AO345" i="1"/>
  <c r="AP345" i="1"/>
  <c r="AQ345" i="1"/>
  <c r="A346" i="1"/>
  <c r="B346" i="1"/>
  <c r="C346" i="1"/>
  <c r="D346" i="1"/>
  <c r="E346" i="1"/>
  <c r="F346" i="1"/>
  <c r="G346" i="1"/>
  <c r="K346" i="1"/>
  <c r="N346" i="1"/>
  <c r="O346" i="1"/>
  <c r="V346" i="1"/>
  <c r="AB346" i="1"/>
  <c r="AC346" i="1"/>
  <c r="AD346" i="1"/>
  <c r="AG346" i="1"/>
  <c r="AH346" i="1"/>
  <c r="AI346" i="1"/>
  <c r="AJ346" i="1"/>
  <c r="AK346" i="1"/>
  <c r="AM346" i="1"/>
  <c r="AN346" i="1"/>
  <c r="AO346" i="1"/>
  <c r="AP346" i="1"/>
  <c r="AQ346" i="1"/>
  <c r="A347" i="1"/>
  <c r="B347" i="1"/>
  <c r="C347" i="1"/>
  <c r="D347" i="1"/>
  <c r="E347" i="1"/>
  <c r="F347" i="1"/>
  <c r="G347" i="1"/>
  <c r="K347" i="1"/>
  <c r="N347" i="1"/>
  <c r="O347" i="1"/>
  <c r="V347" i="1"/>
  <c r="AB347" i="1"/>
  <c r="AC347" i="1"/>
  <c r="AD347" i="1"/>
  <c r="AG347" i="1"/>
  <c r="AH347" i="1"/>
  <c r="AI347" i="1"/>
  <c r="AJ347" i="1"/>
  <c r="AK347" i="1"/>
  <c r="AM347" i="1"/>
  <c r="AN347" i="1"/>
  <c r="AO347" i="1"/>
  <c r="AP347" i="1"/>
  <c r="AQ347" i="1"/>
  <c r="A348" i="1"/>
  <c r="B348" i="1"/>
  <c r="C348" i="1"/>
  <c r="D348" i="1"/>
  <c r="E348" i="1"/>
  <c r="F348" i="1"/>
  <c r="G348" i="1"/>
  <c r="K348" i="1"/>
  <c r="N348" i="1"/>
  <c r="O348" i="1"/>
  <c r="V348" i="1"/>
  <c r="AB348" i="1"/>
  <c r="AC348" i="1"/>
  <c r="AD348" i="1"/>
  <c r="AG348" i="1"/>
  <c r="AH348" i="1"/>
  <c r="AI348" i="1"/>
  <c r="AJ348" i="1"/>
  <c r="AK348" i="1"/>
  <c r="AM348" i="1"/>
  <c r="AN348" i="1"/>
  <c r="AO348" i="1"/>
  <c r="AP348" i="1"/>
  <c r="AQ348" i="1"/>
  <c r="A349" i="1"/>
  <c r="B349" i="1"/>
  <c r="C349" i="1"/>
  <c r="D349" i="1"/>
  <c r="E349" i="1"/>
  <c r="F349" i="1"/>
  <c r="G349" i="1"/>
  <c r="K349" i="1"/>
  <c r="N349" i="1"/>
  <c r="O349" i="1"/>
  <c r="V349" i="1"/>
  <c r="AB349" i="1"/>
  <c r="AC349" i="1"/>
  <c r="AD349" i="1"/>
  <c r="AG349" i="1"/>
  <c r="AH349" i="1"/>
  <c r="AI349" i="1"/>
  <c r="AJ349" i="1"/>
  <c r="AK349" i="1"/>
  <c r="AM349" i="1"/>
  <c r="AN349" i="1"/>
  <c r="AO349" i="1"/>
  <c r="AP349" i="1"/>
  <c r="AQ349" i="1"/>
  <c r="A350" i="1"/>
  <c r="B350" i="1"/>
  <c r="C350" i="1"/>
  <c r="D350" i="1"/>
  <c r="E350" i="1"/>
  <c r="F350" i="1"/>
  <c r="G350" i="1"/>
  <c r="K350" i="1"/>
  <c r="N350" i="1"/>
  <c r="O350" i="1"/>
  <c r="V350" i="1"/>
  <c r="AB350" i="1"/>
  <c r="AC350" i="1"/>
  <c r="AD350" i="1"/>
  <c r="AG350" i="1"/>
  <c r="AH350" i="1"/>
  <c r="AI350" i="1"/>
  <c r="AJ350" i="1"/>
  <c r="AK350" i="1"/>
  <c r="AM350" i="1"/>
  <c r="AN350" i="1"/>
  <c r="AO350" i="1"/>
  <c r="AP350" i="1"/>
  <c r="AQ350" i="1"/>
  <c r="A351" i="1"/>
  <c r="B351" i="1"/>
  <c r="C351" i="1"/>
  <c r="D351" i="1"/>
  <c r="E351" i="1"/>
  <c r="F351" i="1"/>
  <c r="G351" i="1"/>
  <c r="K351" i="1"/>
  <c r="N351" i="1"/>
  <c r="O351" i="1"/>
  <c r="V351" i="1"/>
  <c r="AB351" i="1"/>
  <c r="AC351" i="1"/>
  <c r="AD351" i="1"/>
  <c r="AG351" i="1"/>
  <c r="AH351" i="1"/>
  <c r="AI351" i="1"/>
  <c r="AJ351" i="1"/>
  <c r="AK351" i="1"/>
  <c r="AM351" i="1"/>
  <c r="AN351" i="1"/>
  <c r="AO351" i="1"/>
  <c r="AP351" i="1"/>
  <c r="AQ351" i="1"/>
  <c r="A352" i="1"/>
  <c r="B352" i="1"/>
  <c r="C352" i="1"/>
  <c r="D352" i="1"/>
  <c r="E352" i="1"/>
  <c r="F352" i="1"/>
  <c r="G352" i="1"/>
  <c r="K352" i="1"/>
  <c r="N352" i="1"/>
  <c r="O352" i="1"/>
  <c r="V352" i="1"/>
  <c r="AB352" i="1"/>
  <c r="AC352" i="1"/>
  <c r="AD352" i="1"/>
  <c r="AG352" i="1"/>
  <c r="AH352" i="1"/>
  <c r="AI352" i="1"/>
  <c r="AJ352" i="1"/>
  <c r="AK352" i="1"/>
  <c r="AM352" i="1"/>
  <c r="AN352" i="1"/>
  <c r="AO352" i="1"/>
  <c r="AP352" i="1"/>
  <c r="AQ352" i="1"/>
  <c r="A353" i="1"/>
  <c r="B353" i="1"/>
  <c r="C353" i="1"/>
  <c r="D353" i="1"/>
  <c r="E353" i="1"/>
  <c r="F353" i="1"/>
  <c r="G353" i="1"/>
  <c r="K353" i="1"/>
  <c r="N353" i="1"/>
  <c r="O353" i="1"/>
  <c r="V353" i="1"/>
  <c r="AB353" i="1"/>
  <c r="AC353" i="1"/>
  <c r="AD353" i="1"/>
  <c r="AG353" i="1"/>
  <c r="AH353" i="1"/>
  <c r="AI353" i="1"/>
  <c r="AJ353" i="1"/>
  <c r="AK353" i="1"/>
  <c r="AM353" i="1"/>
  <c r="AN353" i="1"/>
  <c r="AO353" i="1"/>
  <c r="AP353" i="1"/>
  <c r="AQ353" i="1"/>
  <c r="A354" i="1"/>
  <c r="B354" i="1"/>
  <c r="C354" i="1"/>
  <c r="D354" i="1"/>
  <c r="E354" i="1"/>
  <c r="F354" i="1"/>
  <c r="G354" i="1"/>
  <c r="K354" i="1"/>
  <c r="N354" i="1"/>
  <c r="O354" i="1"/>
  <c r="V354" i="1"/>
  <c r="AB354" i="1"/>
  <c r="AC354" i="1"/>
  <c r="AD354" i="1"/>
  <c r="AG354" i="1"/>
  <c r="AH354" i="1"/>
  <c r="AI354" i="1"/>
  <c r="AJ354" i="1"/>
  <c r="AK354" i="1"/>
  <c r="AM354" i="1"/>
  <c r="AN354" i="1"/>
  <c r="AO354" i="1"/>
  <c r="AP354" i="1"/>
  <c r="AQ354" i="1"/>
  <c r="A355" i="1"/>
  <c r="B355" i="1"/>
  <c r="C355" i="1"/>
  <c r="D355" i="1"/>
  <c r="E355" i="1"/>
  <c r="F355" i="1"/>
  <c r="G355" i="1"/>
  <c r="K355" i="1"/>
  <c r="N355" i="1"/>
  <c r="O355" i="1"/>
  <c r="V355" i="1"/>
  <c r="AB355" i="1"/>
  <c r="AC355" i="1"/>
  <c r="AD355" i="1"/>
  <c r="AG355" i="1"/>
  <c r="AH355" i="1"/>
  <c r="AI355" i="1"/>
  <c r="AJ355" i="1"/>
  <c r="AK355" i="1"/>
  <c r="AM355" i="1"/>
  <c r="AN355" i="1"/>
  <c r="AO355" i="1"/>
  <c r="AP355" i="1"/>
  <c r="AQ355" i="1"/>
  <c r="A356" i="1"/>
  <c r="B356" i="1"/>
  <c r="C356" i="1"/>
  <c r="D356" i="1"/>
  <c r="E356" i="1"/>
  <c r="F356" i="1"/>
  <c r="G356" i="1"/>
  <c r="K356" i="1"/>
  <c r="N356" i="1"/>
  <c r="O356" i="1"/>
  <c r="V356" i="1"/>
  <c r="AB356" i="1"/>
  <c r="AC356" i="1"/>
  <c r="AD356" i="1"/>
  <c r="AG356" i="1"/>
  <c r="AH356" i="1"/>
  <c r="AI356" i="1"/>
  <c r="AJ356" i="1"/>
  <c r="AK356" i="1"/>
  <c r="AM356" i="1"/>
  <c r="AN356" i="1"/>
  <c r="AO356" i="1"/>
  <c r="AP356" i="1"/>
  <c r="AQ356" i="1"/>
  <c r="A357" i="1"/>
  <c r="B357" i="1"/>
  <c r="C357" i="1"/>
  <c r="D357" i="1"/>
  <c r="E357" i="1"/>
  <c r="F357" i="1"/>
  <c r="G357" i="1"/>
  <c r="K357" i="1"/>
  <c r="N357" i="1"/>
  <c r="O357" i="1"/>
  <c r="V357" i="1"/>
  <c r="AB357" i="1"/>
  <c r="AC357" i="1"/>
  <c r="AD357" i="1"/>
  <c r="AG357" i="1"/>
  <c r="AH357" i="1"/>
  <c r="AI357" i="1"/>
  <c r="AJ357" i="1"/>
  <c r="AK357" i="1"/>
  <c r="AM357" i="1"/>
  <c r="AN357" i="1"/>
  <c r="AO357" i="1"/>
  <c r="AP357" i="1"/>
  <c r="AQ357" i="1"/>
  <c r="A358" i="1"/>
  <c r="B358" i="1"/>
  <c r="C358" i="1"/>
  <c r="D358" i="1"/>
  <c r="E358" i="1"/>
  <c r="F358" i="1"/>
  <c r="G358" i="1"/>
  <c r="K358" i="1"/>
  <c r="N358" i="1"/>
  <c r="O358" i="1"/>
  <c r="V358" i="1"/>
  <c r="AB358" i="1"/>
  <c r="AC358" i="1"/>
  <c r="AD358" i="1"/>
  <c r="AG358" i="1"/>
  <c r="AH358" i="1"/>
  <c r="AI358" i="1"/>
  <c r="AJ358" i="1"/>
  <c r="AK358" i="1"/>
  <c r="AM358" i="1"/>
  <c r="AN358" i="1"/>
  <c r="AO358" i="1"/>
  <c r="AP358" i="1"/>
  <c r="AQ358" i="1"/>
  <c r="A359" i="1"/>
  <c r="B359" i="1"/>
  <c r="C359" i="1"/>
  <c r="D359" i="1"/>
  <c r="E359" i="1"/>
  <c r="F359" i="1"/>
  <c r="G359" i="1"/>
  <c r="K359" i="1"/>
  <c r="N359" i="1"/>
  <c r="O359" i="1"/>
  <c r="S359" i="1"/>
  <c r="U359" i="1"/>
  <c r="V359" i="1"/>
  <c r="AB359" i="1"/>
  <c r="AC359" i="1"/>
  <c r="AD359" i="1"/>
  <c r="AG359" i="1"/>
  <c r="AH359" i="1"/>
  <c r="AI359" i="1"/>
  <c r="AJ359" i="1"/>
  <c r="AK359" i="1"/>
  <c r="AM359" i="1"/>
  <c r="AN359" i="1"/>
  <c r="AO359" i="1"/>
  <c r="AP359" i="1"/>
  <c r="AQ359" i="1"/>
  <c r="A360" i="1"/>
  <c r="B360" i="1"/>
  <c r="C360" i="1"/>
  <c r="D360" i="1"/>
  <c r="E360" i="1"/>
  <c r="F360" i="1"/>
  <c r="G360" i="1"/>
  <c r="K360" i="1"/>
  <c r="N360" i="1"/>
  <c r="O360" i="1"/>
  <c r="V360" i="1"/>
  <c r="AB360" i="1"/>
  <c r="AC360" i="1"/>
  <c r="AD360" i="1"/>
  <c r="AG360" i="1"/>
  <c r="AH360" i="1"/>
  <c r="AI360" i="1"/>
  <c r="AJ360" i="1"/>
  <c r="AK360" i="1"/>
  <c r="AM360" i="1"/>
  <c r="AN360" i="1"/>
  <c r="AO360" i="1"/>
  <c r="AP360" i="1"/>
  <c r="AQ360" i="1"/>
  <c r="A361" i="1"/>
  <c r="B361" i="1"/>
  <c r="C361" i="1"/>
  <c r="D361" i="1"/>
  <c r="E361" i="1"/>
  <c r="F361" i="1"/>
  <c r="G361" i="1"/>
  <c r="K361" i="1"/>
  <c r="N361" i="1"/>
  <c r="O361" i="1"/>
  <c r="V361" i="1"/>
  <c r="AB361" i="1"/>
  <c r="AC361" i="1"/>
  <c r="AD361" i="1"/>
  <c r="AG361" i="1"/>
  <c r="AH361" i="1"/>
  <c r="AI361" i="1"/>
  <c r="AJ361" i="1"/>
  <c r="AK361" i="1"/>
  <c r="AM361" i="1"/>
  <c r="AN361" i="1"/>
  <c r="AO361" i="1"/>
  <c r="AP361" i="1"/>
  <c r="AQ361" i="1"/>
  <c r="A362" i="1"/>
  <c r="B362" i="1"/>
  <c r="C362" i="1"/>
  <c r="D362" i="1"/>
  <c r="E362" i="1"/>
  <c r="F362" i="1"/>
  <c r="G362" i="1"/>
  <c r="K362" i="1"/>
  <c r="N362" i="1"/>
  <c r="O362" i="1"/>
  <c r="V362" i="1"/>
  <c r="AB362" i="1"/>
  <c r="AC362" i="1"/>
  <c r="AD362" i="1"/>
  <c r="AG362" i="1"/>
  <c r="AH362" i="1"/>
  <c r="AI362" i="1"/>
  <c r="AJ362" i="1"/>
  <c r="AK362" i="1"/>
  <c r="AM362" i="1"/>
  <c r="AN362" i="1"/>
  <c r="AO362" i="1"/>
  <c r="AP362" i="1"/>
  <c r="AQ362" i="1"/>
  <c r="A363" i="1"/>
  <c r="B363" i="1"/>
  <c r="C363" i="1"/>
  <c r="D363" i="1"/>
  <c r="E363" i="1"/>
  <c r="F363" i="1"/>
  <c r="G363" i="1"/>
  <c r="K363" i="1"/>
  <c r="N363" i="1"/>
  <c r="O363" i="1"/>
  <c r="V363" i="1"/>
  <c r="AB363" i="1"/>
  <c r="AC363" i="1"/>
  <c r="AD363" i="1"/>
  <c r="AG363" i="1"/>
  <c r="AH363" i="1"/>
  <c r="AI363" i="1"/>
  <c r="AJ363" i="1"/>
  <c r="AK363" i="1"/>
  <c r="AM363" i="1"/>
  <c r="AN363" i="1"/>
  <c r="AO363" i="1"/>
  <c r="AP363" i="1"/>
  <c r="AQ363" i="1"/>
  <c r="A364" i="1"/>
  <c r="B364" i="1"/>
  <c r="C364" i="1"/>
  <c r="D364" i="1"/>
  <c r="E364" i="1"/>
  <c r="F364" i="1"/>
  <c r="G364" i="1"/>
  <c r="K364" i="1"/>
  <c r="N364" i="1"/>
  <c r="O364" i="1"/>
  <c r="V364" i="1"/>
  <c r="AB364" i="1"/>
  <c r="AC364" i="1"/>
  <c r="AD364" i="1"/>
  <c r="AG364" i="1"/>
  <c r="AH364" i="1"/>
  <c r="AI364" i="1"/>
  <c r="AJ364" i="1"/>
  <c r="AK364" i="1"/>
  <c r="AM364" i="1"/>
  <c r="AN364" i="1"/>
  <c r="AO364" i="1"/>
  <c r="AP364" i="1"/>
  <c r="AQ364" i="1"/>
  <c r="A365" i="1"/>
  <c r="B365" i="1"/>
  <c r="C365" i="1"/>
  <c r="D365" i="1"/>
  <c r="E365" i="1"/>
  <c r="F365" i="1"/>
  <c r="G365" i="1"/>
  <c r="N365" i="1"/>
  <c r="O365" i="1"/>
  <c r="V365" i="1"/>
  <c r="AB365" i="1"/>
  <c r="AC365" i="1"/>
  <c r="AD365" i="1"/>
  <c r="AG365" i="1"/>
  <c r="AH365" i="1"/>
  <c r="AI365" i="1"/>
  <c r="AJ365" i="1"/>
  <c r="AK365" i="1"/>
  <c r="AM365" i="1"/>
  <c r="AN365" i="1"/>
  <c r="AO365" i="1"/>
  <c r="AP365" i="1"/>
  <c r="AQ365" i="1"/>
  <c r="A366" i="1"/>
  <c r="B366" i="1"/>
  <c r="C366" i="1"/>
  <c r="D366" i="1"/>
  <c r="E366" i="1"/>
  <c r="F366" i="1"/>
  <c r="G366" i="1"/>
  <c r="K366" i="1"/>
  <c r="L366" i="1"/>
  <c r="N366" i="1"/>
  <c r="O366" i="1"/>
  <c r="V366" i="1"/>
  <c r="AB366" i="1"/>
  <c r="AC366" i="1"/>
  <c r="AD366" i="1"/>
  <c r="AG366" i="1"/>
  <c r="AH366" i="1"/>
  <c r="AI366" i="1"/>
  <c r="AJ366" i="1"/>
  <c r="AK366" i="1"/>
  <c r="AM366" i="1"/>
  <c r="AN366" i="1"/>
  <c r="AO366" i="1"/>
  <c r="AP366" i="1"/>
  <c r="AQ366" i="1"/>
  <c r="A367" i="1"/>
  <c r="B367" i="1"/>
  <c r="C367" i="1"/>
  <c r="D367" i="1"/>
  <c r="E367" i="1"/>
  <c r="F367" i="1"/>
  <c r="G367" i="1"/>
  <c r="K367" i="1"/>
  <c r="N367" i="1"/>
  <c r="O367" i="1"/>
  <c r="V367" i="1"/>
  <c r="AB367" i="1"/>
  <c r="AC367" i="1"/>
  <c r="AD367" i="1"/>
  <c r="AG367" i="1"/>
  <c r="AH367" i="1"/>
  <c r="AI367" i="1"/>
  <c r="AJ367" i="1"/>
  <c r="AK367" i="1"/>
  <c r="AM367" i="1"/>
  <c r="AN367" i="1"/>
  <c r="AO367" i="1"/>
  <c r="AP367" i="1"/>
  <c r="AQ367" i="1"/>
  <c r="A368" i="1"/>
  <c r="B368" i="1"/>
  <c r="C368" i="1"/>
  <c r="D368" i="1"/>
  <c r="E368" i="1"/>
  <c r="F368" i="1"/>
  <c r="G368" i="1"/>
  <c r="K368" i="1"/>
  <c r="N368" i="1"/>
  <c r="O368" i="1"/>
  <c r="V368" i="1"/>
  <c r="AB368" i="1"/>
  <c r="AC368" i="1"/>
  <c r="AD368" i="1"/>
  <c r="AG368" i="1"/>
  <c r="AH368" i="1"/>
  <c r="AI368" i="1"/>
  <c r="AJ368" i="1"/>
  <c r="AK368" i="1"/>
  <c r="AM368" i="1"/>
  <c r="AN368" i="1"/>
  <c r="AO368" i="1"/>
  <c r="AP368" i="1"/>
  <c r="AQ368" i="1"/>
  <c r="A369" i="1"/>
  <c r="B369" i="1"/>
  <c r="C369" i="1"/>
  <c r="D369" i="1"/>
  <c r="E369" i="1"/>
  <c r="F369" i="1"/>
  <c r="G369" i="1"/>
  <c r="K369" i="1"/>
  <c r="N369" i="1"/>
  <c r="O369" i="1"/>
  <c r="V369" i="1"/>
  <c r="AB369" i="1"/>
  <c r="AC369" i="1"/>
  <c r="AD369" i="1"/>
  <c r="AG369" i="1"/>
  <c r="AH369" i="1"/>
  <c r="AI369" i="1"/>
  <c r="AJ369" i="1"/>
  <c r="AK369" i="1"/>
  <c r="AM369" i="1"/>
  <c r="AN369" i="1"/>
  <c r="AO369" i="1"/>
  <c r="AP369" i="1"/>
  <c r="AQ369" i="1"/>
  <c r="A370" i="1"/>
  <c r="B370" i="1"/>
  <c r="C370" i="1"/>
  <c r="D370" i="1"/>
  <c r="E370" i="1"/>
  <c r="F370" i="1"/>
  <c r="G370" i="1"/>
  <c r="K370" i="1"/>
  <c r="N370" i="1"/>
  <c r="O370" i="1"/>
  <c r="V370" i="1"/>
  <c r="AB370" i="1"/>
  <c r="AC370" i="1"/>
  <c r="AD370" i="1"/>
  <c r="AG370" i="1"/>
  <c r="AH370" i="1"/>
  <c r="AI370" i="1"/>
  <c r="AJ370" i="1"/>
  <c r="AK370" i="1"/>
  <c r="AM370" i="1"/>
  <c r="AN370" i="1"/>
  <c r="AO370" i="1"/>
  <c r="AP370" i="1"/>
  <c r="AQ370" i="1"/>
  <c r="A371" i="1"/>
  <c r="B371" i="1"/>
  <c r="C371" i="1"/>
  <c r="D371" i="1"/>
  <c r="E371" i="1"/>
  <c r="F371" i="1"/>
  <c r="G371" i="1"/>
  <c r="K371" i="1"/>
  <c r="N371" i="1"/>
  <c r="O371" i="1"/>
  <c r="V371" i="1"/>
  <c r="AB371" i="1"/>
  <c r="AC371" i="1"/>
  <c r="AD371" i="1"/>
  <c r="AG371" i="1"/>
  <c r="AH371" i="1"/>
  <c r="AI371" i="1"/>
  <c r="AJ371" i="1"/>
  <c r="AK371" i="1"/>
  <c r="AM371" i="1"/>
  <c r="AN371" i="1"/>
  <c r="AO371" i="1"/>
  <c r="AP371" i="1"/>
  <c r="AQ371" i="1"/>
  <c r="A372" i="1"/>
  <c r="B372" i="1"/>
  <c r="C372" i="1"/>
  <c r="D372" i="1"/>
  <c r="E372" i="1"/>
  <c r="F372" i="1"/>
  <c r="G372" i="1"/>
  <c r="K372" i="1"/>
  <c r="N372" i="1"/>
  <c r="O372" i="1"/>
  <c r="S372" i="1"/>
  <c r="U372" i="1"/>
  <c r="V372" i="1"/>
  <c r="AB372" i="1"/>
  <c r="AC372" i="1"/>
  <c r="AD372" i="1"/>
  <c r="AE372" i="1"/>
  <c r="AG372" i="1"/>
  <c r="AH372" i="1"/>
  <c r="AI372" i="1"/>
  <c r="AJ372" i="1"/>
  <c r="AK372" i="1"/>
  <c r="AM372" i="1"/>
  <c r="AN372" i="1"/>
  <c r="AO372" i="1"/>
  <c r="AP372" i="1"/>
  <c r="AQ372" i="1"/>
  <c r="A373" i="1"/>
  <c r="B373" i="1"/>
  <c r="C373" i="1"/>
  <c r="D373" i="1"/>
  <c r="E373" i="1"/>
  <c r="F373" i="1"/>
  <c r="G373" i="1"/>
  <c r="N373" i="1"/>
  <c r="O373" i="1"/>
  <c r="V373" i="1"/>
  <c r="AB373" i="1"/>
  <c r="AC373" i="1"/>
  <c r="AD373" i="1"/>
  <c r="AG373" i="1"/>
  <c r="AH373" i="1"/>
  <c r="AI373" i="1"/>
  <c r="AJ373" i="1"/>
  <c r="AK373" i="1"/>
  <c r="AM373" i="1"/>
  <c r="AN373" i="1"/>
  <c r="AO373" i="1"/>
  <c r="AP373" i="1"/>
  <c r="AQ373" i="1"/>
  <c r="A374" i="1"/>
  <c r="B374" i="1"/>
  <c r="C374" i="1"/>
  <c r="D374" i="1"/>
  <c r="E374" i="1"/>
  <c r="F374" i="1"/>
  <c r="G374" i="1"/>
  <c r="K374" i="1"/>
  <c r="N374" i="1"/>
  <c r="O374" i="1"/>
  <c r="V374" i="1"/>
  <c r="Z374" i="1"/>
  <c r="AB374" i="1"/>
  <c r="AC374" i="1"/>
  <c r="AD374" i="1"/>
  <c r="AG374" i="1"/>
  <c r="AH374" i="1"/>
  <c r="AI374" i="1"/>
  <c r="AJ374" i="1"/>
  <c r="AK374" i="1"/>
  <c r="AM374" i="1"/>
  <c r="AN374" i="1"/>
  <c r="AO374" i="1"/>
  <c r="AP374" i="1"/>
  <c r="AQ374" i="1"/>
  <c r="A375" i="1"/>
  <c r="B375" i="1"/>
  <c r="C375" i="1"/>
  <c r="D375" i="1"/>
  <c r="E375" i="1"/>
  <c r="F375" i="1"/>
  <c r="G375" i="1"/>
  <c r="K375" i="1"/>
  <c r="N375" i="1"/>
  <c r="O375" i="1"/>
  <c r="V375" i="1"/>
  <c r="Z375" i="1"/>
  <c r="AB375" i="1"/>
  <c r="AC375" i="1"/>
  <c r="AD375" i="1"/>
  <c r="AG375" i="1"/>
  <c r="AH375" i="1"/>
  <c r="AI375" i="1"/>
  <c r="AJ375" i="1"/>
  <c r="AK375" i="1"/>
  <c r="AM375" i="1"/>
  <c r="AN375" i="1"/>
  <c r="AO375" i="1"/>
  <c r="AP375" i="1"/>
  <c r="AQ375" i="1"/>
  <c r="A376" i="1"/>
  <c r="B376" i="1"/>
  <c r="C376" i="1"/>
  <c r="D376" i="1"/>
  <c r="E376" i="1"/>
  <c r="F376" i="1"/>
  <c r="G376" i="1"/>
  <c r="K376" i="1"/>
  <c r="N376" i="1"/>
  <c r="O376" i="1"/>
  <c r="V376" i="1"/>
  <c r="Z376" i="1"/>
  <c r="AB376" i="1"/>
  <c r="AC376" i="1"/>
  <c r="AD376" i="1"/>
  <c r="AG376" i="1"/>
  <c r="AH376" i="1"/>
  <c r="AI376" i="1"/>
  <c r="AJ376" i="1"/>
  <c r="AK376" i="1"/>
  <c r="AM376" i="1"/>
  <c r="AN376" i="1"/>
  <c r="AO376" i="1"/>
  <c r="AP376" i="1"/>
  <c r="AQ376" i="1"/>
  <c r="A377" i="1"/>
  <c r="B377" i="1"/>
  <c r="C377" i="1"/>
  <c r="D377" i="1"/>
  <c r="E377" i="1"/>
  <c r="F377" i="1"/>
  <c r="G377" i="1"/>
  <c r="K377" i="1"/>
  <c r="N377" i="1"/>
  <c r="O377" i="1"/>
  <c r="V377" i="1"/>
  <c r="Z377" i="1"/>
  <c r="AB377" i="1"/>
  <c r="AC377" i="1"/>
  <c r="AD377" i="1"/>
  <c r="AG377" i="1"/>
  <c r="AH377" i="1"/>
  <c r="AI377" i="1"/>
  <c r="AJ377" i="1"/>
  <c r="AK377" i="1"/>
  <c r="AM377" i="1"/>
  <c r="AN377" i="1"/>
  <c r="AO377" i="1"/>
  <c r="AP377" i="1"/>
  <c r="AQ377" i="1"/>
  <c r="A378" i="1"/>
  <c r="B378" i="1"/>
  <c r="C378" i="1"/>
  <c r="D378" i="1"/>
  <c r="E378" i="1"/>
  <c r="F378" i="1"/>
  <c r="G378" i="1"/>
  <c r="K378" i="1"/>
  <c r="N378" i="1"/>
  <c r="O378" i="1"/>
  <c r="V378" i="1"/>
  <c r="Z378" i="1"/>
  <c r="AB378" i="1"/>
  <c r="AC378" i="1"/>
  <c r="AD378" i="1"/>
  <c r="AG378" i="1"/>
  <c r="AH378" i="1"/>
  <c r="AI378" i="1"/>
  <c r="AJ378" i="1"/>
  <c r="AK378" i="1"/>
  <c r="AM378" i="1"/>
  <c r="AN378" i="1"/>
  <c r="AO378" i="1"/>
  <c r="AP378" i="1"/>
  <c r="AQ378" i="1"/>
  <c r="A379" i="1"/>
  <c r="B379" i="1"/>
  <c r="C379" i="1"/>
  <c r="D379" i="1"/>
  <c r="E379" i="1"/>
  <c r="F379" i="1"/>
  <c r="G379" i="1"/>
  <c r="K379" i="1"/>
  <c r="N379" i="1"/>
  <c r="V379" i="1"/>
  <c r="Z379" i="1"/>
  <c r="AB379" i="1"/>
  <c r="AC379" i="1"/>
  <c r="AD379" i="1"/>
  <c r="AG379" i="1"/>
  <c r="AH379" i="1"/>
  <c r="AI379" i="1"/>
  <c r="AJ379" i="1"/>
  <c r="AK379" i="1"/>
  <c r="AM379" i="1"/>
  <c r="AN379" i="1"/>
  <c r="AO379" i="1"/>
  <c r="AP379" i="1"/>
  <c r="AQ379" i="1"/>
  <c r="A380" i="1"/>
  <c r="B380" i="1"/>
  <c r="C380" i="1"/>
  <c r="D380" i="1"/>
  <c r="E380" i="1"/>
  <c r="F380" i="1"/>
  <c r="G380" i="1"/>
  <c r="K380" i="1"/>
  <c r="N380" i="1"/>
  <c r="O380" i="1"/>
  <c r="V380" i="1"/>
  <c r="Z380" i="1"/>
  <c r="AB380" i="1"/>
  <c r="AC380" i="1"/>
  <c r="AD380" i="1"/>
  <c r="AG380" i="1"/>
  <c r="AH380" i="1"/>
  <c r="AI380" i="1"/>
  <c r="AJ380" i="1"/>
  <c r="AK380" i="1"/>
  <c r="AM380" i="1"/>
  <c r="AN380" i="1"/>
  <c r="AO380" i="1"/>
  <c r="AP380" i="1"/>
  <c r="AQ380" i="1"/>
  <c r="A381" i="1"/>
  <c r="B381" i="1"/>
  <c r="C381" i="1"/>
  <c r="D381" i="1"/>
  <c r="E381" i="1"/>
  <c r="F381" i="1"/>
  <c r="G381" i="1"/>
  <c r="K381" i="1"/>
  <c r="N381" i="1"/>
  <c r="O381" i="1"/>
  <c r="V381" i="1"/>
  <c r="Z381" i="1"/>
  <c r="AB381" i="1"/>
  <c r="AC381" i="1"/>
  <c r="AD381" i="1"/>
  <c r="AG381" i="1"/>
  <c r="AH381" i="1"/>
  <c r="AI381" i="1"/>
  <c r="AJ381" i="1"/>
  <c r="AK381" i="1"/>
  <c r="AM381" i="1"/>
  <c r="AN381" i="1"/>
  <c r="AO381" i="1"/>
  <c r="AP381" i="1"/>
  <c r="AQ381" i="1"/>
  <c r="A382" i="1"/>
  <c r="B382" i="1"/>
  <c r="C382" i="1"/>
  <c r="D382" i="1"/>
  <c r="E382" i="1"/>
  <c r="F382" i="1"/>
  <c r="G382" i="1"/>
  <c r="K382" i="1"/>
  <c r="N382" i="1"/>
  <c r="O382" i="1"/>
  <c r="V382" i="1"/>
  <c r="Z382" i="1"/>
  <c r="AB382" i="1"/>
  <c r="AC382" i="1"/>
  <c r="AD382" i="1"/>
  <c r="AG382" i="1"/>
  <c r="AH382" i="1"/>
  <c r="AI382" i="1"/>
  <c r="AJ382" i="1"/>
  <c r="AK382" i="1"/>
  <c r="AM382" i="1"/>
  <c r="AN382" i="1"/>
  <c r="AO382" i="1"/>
  <c r="AP382" i="1"/>
  <c r="AQ382" i="1"/>
  <c r="A383" i="1"/>
  <c r="B383" i="1"/>
  <c r="C383" i="1"/>
  <c r="D383" i="1"/>
  <c r="E383" i="1"/>
  <c r="F383" i="1"/>
  <c r="G383" i="1"/>
  <c r="K383" i="1"/>
  <c r="N383" i="1"/>
  <c r="O383" i="1"/>
  <c r="S383" i="1"/>
  <c r="U383" i="1"/>
  <c r="V383" i="1"/>
  <c r="Z383" i="1"/>
  <c r="AB383" i="1"/>
  <c r="AC383" i="1"/>
  <c r="AD383" i="1"/>
  <c r="AG383" i="1"/>
  <c r="AH383" i="1"/>
  <c r="AI383" i="1"/>
  <c r="AJ383" i="1"/>
  <c r="AK383" i="1"/>
  <c r="AM383" i="1"/>
  <c r="AN383" i="1"/>
  <c r="AO383" i="1"/>
  <c r="AP383" i="1"/>
  <c r="AQ383" i="1"/>
  <c r="A384" i="1"/>
  <c r="B384" i="1"/>
  <c r="C384" i="1"/>
  <c r="D384" i="1"/>
  <c r="E384" i="1"/>
  <c r="F384" i="1"/>
  <c r="G384" i="1"/>
  <c r="K384" i="1"/>
  <c r="N384" i="1"/>
  <c r="O384" i="1"/>
  <c r="V384" i="1"/>
  <c r="Z384" i="1"/>
  <c r="AB384" i="1"/>
  <c r="AC384" i="1"/>
  <c r="AD384" i="1"/>
  <c r="AG384" i="1"/>
  <c r="AH384" i="1"/>
  <c r="AI384" i="1"/>
  <c r="AJ384" i="1"/>
  <c r="AK384" i="1"/>
  <c r="AM384" i="1"/>
  <c r="AN384" i="1"/>
  <c r="AO384" i="1"/>
  <c r="AP384" i="1"/>
  <c r="AQ384" i="1"/>
  <c r="A385" i="1"/>
  <c r="B385" i="1"/>
  <c r="C385" i="1"/>
  <c r="D385" i="1"/>
  <c r="E385" i="1"/>
  <c r="F385" i="1"/>
  <c r="G385" i="1"/>
  <c r="K385" i="1"/>
  <c r="N385" i="1"/>
  <c r="O385" i="1"/>
  <c r="V385" i="1"/>
  <c r="Z385" i="1"/>
  <c r="AB385" i="1"/>
  <c r="AC385" i="1"/>
  <c r="AD385" i="1"/>
  <c r="AG385" i="1"/>
  <c r="AH385" i="1"/>
  <c r="AI385" i="1"/>
  <c r="AJ385" i="1"/>
  <c r="AK385" i="1"/>
  <c r="AM385" i="1"/>
  <c r="AN385" i="1"/>
  <c r="AO385" i="1"/>
  <c r="AP385" i="1"/>
  <c r="AQ385" i="1"/>
  <c r="A386" i="1"/>
  <c r="B386" i="1"/>
  <c r="C386" i="1"/>
  <c r="D386" i="1"/>
  <c r="E386" i="1"/>
  <c r="F386" i="1"/>
  <c r="G386" i="1"/>
  <c r="K386" i="1"/>
  <c r="N386" i="1"/>
  <c r="O386" i="1"/>
  <c r="V386" i="1"/>
  <c r="Z386" i="1"/>
  <c r="AB386" i="1"/>
  <c r="AC386" i="1"/>
  <c r="AD386" i="1"/>
  <c r="AG386" i="1"/>
  <c r="AH386" i="1"/>
  <c r="AI386" i="1"/>
  <c r="AJ386" i="1"/>
  <c r="AK386" i="1"/>
  <c r="AM386" i="1"/>
  <c r="AN386" i="1"/>
  <c r="AO386" i="1"/>
  <c r="AP386" i="1"/>
  <c r="AQ386" i="1"/>
  <c r="A387" i="1"/>
  <c r="B387" i="1"/>
  <c r="C387" i="1"/>
  <c r="D387" i="1"/>
  <c r="E387" i="1"/>
  <c r="F387" i="1"/>
  <c r="G387" i="1"/>
  <c r="K387" i="1"/>
  <c r="N387" i="1"/>
  <c r="O387" i="1"/>
  <c r="V387" i="1"/>
  <c r="Z387" i="1"/>
  <c r="AB387" i="1"/>
  <c r="AC387" i="1"/>
  <c r="AD387" i="1"/>
  <c r="AG387" i="1"/>
  <c r="AH387" i="1"/>
  <c r="AI387" i="1"/>
  <c r="AJ387" i="1"/>
  <c r="AK387" i="1"/>
  <c r="AM387" i="1"/>
  <c r="AN387" i="1"/>
  <c r="AO387" i="1"/>
  <c r="AP387" i="1"/>
  <c r="AQ387" i="1"/>
  <c r="A388" i="1"/>
  <c r="B388" i="1"/>
  <c r="C388" i="1"/>
  <c r="D388" i="1"/>
  <c r="E388" i="1"/>
  <c r="F388" i="1"/>
  <c r="G388" i="1"/>
  <c r="K388" i="1"/>
  <c r="N388" i="1"/>
  <c r="O388" i="1"/>
  <c r="V388" i="1"/>
  <c r="Z388" i="1"/>
  <c r="AB388" i="1"/>
  <c r="AC388" i="1"/>
  <c r="AD388" i="1"/>
  <c r="AG388" i="1"/>
  <c r="AH388" i="1"/>
  <c r="AI388" i="1"/>
  <c r="AJ388" i="1"/>
  <c r="AK388" i="1"/>
  <c r="AM388" i="1"/>
  <c r="AN388" i="1"/>
  <c r="AO388" i="1"/>
  <c r="AP388" i="1"/>
  <c r="AQ388" i="1"/>
  <c r="A389" i="1"/>
  <c r="B389" i="1"/>
  <c r="C389" i="1"/>
  <c r="D389" i="1"/>
  <c r="E389" i="1"/>
  <c r="F389" i="1"/>
  <c r="G389" i="1"/>
  <c r="K389" i="1"/>
  <c r="N389" i="1"/>
  <c r="O389" i="1"/>
  <c r="V389" i="1"/>
  <c r="Z389" i="1"/>
  <c r="AB389" i="1"/>
  <c r="AC389" i="1"/>
  <c r="AD389" i="1"/>
  <c r="AG389" i="1"/>
  <c r="AH389" i="1"/>
  <c r="AI389" i="1"/>
  <c r="AJ389" i="1"/>
  <c r="AK389" i="1"/>
  <c r="AM389" i="1"/>
  <c r="AN389" i="1"/>
  <c r="AO389" i="1"/>
  <c r="AP389" i="1"/>
  <c r="AQ389" i="1"/>
  <c r="A390" i="1"/>
  <c r="B390" i="1"/>
  <c r="C390" i="1"/>
  <c r="D390" i="1"/>
  <c r="E390" i="1"/>
  <c r="F390" i="1"/>
  <c r="G390" i="1"/>
  <c r="K390" i="1"/>
  <c r="N390" i="1"/>
  <c r="O390" i="1"/>
  <c r="V390" i="1"/>
  <c r="Z390" i="1"/>
  <c r="AB390" i="1"/>
  <c r="AC390" i="1"/>
  <c r="AD390" i="1"/>
  <c r="AG390" i="1"/>
  <c r="AH390" i="1"/>
  <c r="AI390" i="1"/>
  <c r="AJ390" i="1"/>
  <c r="AK390" i="1"/>
  <c r="AM390" i="1"/>
  <c r="AN390" i="1"/>
  <c r="AO390" i="1"/>
  <c r="AP390" i="1"/>
  <c r="AQ390" i="1"/>
  <c r="A391" i="1"/>
  <c r="B391" i="1"/>
  <c r="C391" i="1"/>
  <c r="D391" i="1"/>
  <c r="E391" i="1"/>
  <c r="F391" i="1"/>
  <c r="G391" i="1"/>
  <c r="K391" i="1"/>
  <c r="N391" i="1"/>
  <c r="O391" i="1"/>
  <c r="V391" i="1"/>
  <c r="Z391" i="1"/>
  <c r="AB391" i="1"/>
  <c r="AC391" i="1"/>
  <c r="AD391" i="1"/>
  <c r="AG391" i="1"/>
  <c r="AH391" i="1"/>
  <c r="AI391" i="1"/>
  <c r="AJ391" i="1"/>
  <c r="AK391" i="1"/>
  <c r="AM391" i="1"/>
  <c r="AN391" i="1"/>
  <c r="AO391" i="1"/>
  <c r="AP391" i="1"/>
  <c r="AQ391" i="1"/>
  <c r="A392" i="1"/>
  <c r="B392" i="1"/>
  <c r="C392" i="1"/>
  <c r="D392" i="1"/>
  <c r="E392" i="1"/>
  <c r="F392" i="1"/>
  <c r="G392" i="1"/>
  <c r="K392" i="1"/>
  <c r="N392" i="1"/>
  <c r="O392" i="1"/>
  <c r="V392" i="1"/>
  <c r="Z392" i="1"/>
  <c r="AB392" i="1"/>
  <c r="AC392" i="1"/>
  <c r="AD392" i="1"/>
  <c r="AG392" i="1"/>
  <c r="AH392" i="1"/>
  <c r="AI392" i="1"/>
  <c r="AJ392" i="1"/>
  <c r="AK392" i="1"/>
  <c r="AM392" i="1"/>
  <c r="AN392" i="1"/>
  <c r="AO392" i="1"/>
  <c r="AP392" i="1"/>
  <c r="AQ392" i="1"/>
  <c r="A393" i="1"/>
  <c r="B393" i="1"/>
  <c r="C393" i="1"/>
  <c r="D393" i="1"/>
  <c r="E393" i="1"/>
  <c r="F393" i="1"/>
  <c r="G393" i="1"/>
  <c r="K393" i="1"/>
  <c r="N393" i="1"/>
  <c r="O393" i="1"/>
  <c r="V393" i="1"/>
  <c r="Z393" i="1"/>
  <c r="AB393" i="1"/>
  <c r="AC393" i="1"/>
  <c r="AD393" i="1"/>
  <c r="AG393" i="1"/>
  <c r="AH393" i="1"/>
  <c r="AI393" i="1"/>
  <c r="AJ393" i="1"/>
  <c r="AK393" i="1"/>
  <c r="AM393" i="1"/>
  <c r="AN393" i="1"/>
  <c r="AO393" i="1"/>
  <c r="AP393" i="1"/>
  <c r="AQ393" i="1"/>
  <c r="A394" i="1"/>
  <c r="B394" i="1"/>
  <c r="C394" i="1"/>
  <c r="D394" i="1"/>
  <c r="E394" i="1"/>
  <c r="F394" i="1"/>
  <c r="G394" i="1"/>
  <c r="K394" i="1"/>
  <c r="N394" i="1"/>
  <c r="O394" i="1"/>
  <c r="V394" i="1"/>
  <c r="Z394" i="1"/>
  <c r="AB394" i="1"/>
  <c r="AC394" i="1"/>
  <c r="AD394" i="1"/>
  <c r="AG394" i="1"/>
  <c r="AH394" i="1"/>
  <c r="AI394" i="1"/>
  <c r="AJ394" i="1"/>
  <c r="AK394" i="1"/>
  <c r="AM394" i="1"/>
  <c r="AN394" i="1"/>
  <c r="AO394" i="1"/>
  <c r="AP394" i="1"/>
  <c r="AQ394" i="1"/>
  <c r="A395" i="1"/>
  <c r="B395" i="1"/>
  <c r="C395" i="1"/>
  <c r="D395" i="1"/>
  <c r="E395" i="1"/>
  <c r="F395" i="1"/>
  <c r="G395" i="1"/>
  <c r="K395" i="1"/>
  <c r="N395" i="1"/>
  <c r="O395" i="1"/>
  <c r="V395" i="1"/>
  <c r="Z395" i="1"/>
  <c r="AB395" i="1"/>
  <c r="AC395" i="1"/>
  <c r="AD395" i="1"/>
  <c r="AG395" i="1"/>
  <c r="AH395" i="1"/>
  <c r="AI395" i="1"/>
  <c r="AJ395" i="1"/>
  <c r="AK395" i="1"/>
  <c r="AM395" i="1"/>
  <c r="AN395" i="1"/>
  <c r="AO395" i="1"/>
  <c r="AP395" i="1"/>
  <c r="AQ395" i="1"/>
  <c r="A396" i="1"/>
  <c r="B396" i="1"/>
  <c r="C396" i="1"/>
  <c r="D396" i="1"/>
  <c r="E396" i="1"/>
  <c r="F396" i="1"/>
  <c r="G396" i="1"/>
  <c r="N396" i="1"/>
  <c r="O396" i="1"/>
  <c r="V396" i="1"/>
  <c r="Z396" i="1"/>
  <c r="AB396" i="1"/>
  <c r="AC396" i="1"/>
  <c r="AD396" i="1"/>
  <c r="AG396" i="1"/>
  <c r="AH396" i="1"/>
  <c r="AI396" i="1"/>
  <c r="AJ396" i="1"/>
  <c r="AK396" i="1"/>
  <c r="AM396" i="1"/>
  <c r="AN396" i="1"/>
  <c r="AO396" i="1"/>
  <c r="AP396" i="1"/>
  <c r="AQ396" i="1"/>
  <c r="A397" i="1"/>
  <c r="B397" i="1"/>
  <c r="C397" i="1"/>
  <c r="D397" i="1"/>
  <c r="E397" i="1"/>
  <c r="F397" i="1"/>
  <c r="G397" i="1"/>
  <c r="K397" i="1"/>
  <c r="N397" i="1"/>
  <c r="O397" i="1"/>
  <c r="V397" i="1"/>
  <c r="Z397" i="1"/>
  <c r="AB397" i="1"/>
  <c r="AC397" i="1"/>
  <c r="AD397" i="1"/>
  <c r="AG397" i="1"/>
  <c r="AH397" i="1"/>
  <c r="AI397" i="1"/>
  <c r="AJ397" i="1"/>
  <c r="AK397" i="1"/>
  <c r="AM397" i="1"/>
  <c r="AN397" i="1"/>
  <c r="AO397" i="1"/>
  <c r="AP397" i="1"/>
  <c r="AQ397" i="1"/>
  <c r="A398" i="1"/>
  <c r="B398" i="1"/>
  <c r="C398" i="1"/>
  <c r="D398" i="1"/>
  <c r="E398" i="1"/>
  <c r="F398" i="1"/>
  <c r="G398" i="1"/>
  <c r="K398" i="1"/>
  <c r="N398" i="1"/>
  <c r="O398" i="1"/>
  <c r="V398" i="1"/>
  <c r="Z398" i="1"/>
  <c r="AB398" i="1"/>
  <c r="AC398" i="1"/>
  <c r="AD398" i="1"/>
  <c r="AG398" i="1"/>
  <c r="AH398" i="1"/>
  <c r="AI398" i="1"/>
  <c r="AJ398" i="1"/>
  <c r="AK398" i="1"/>
  <c r="AM398" i="1"/>
  <c r="AN398" i="1"/>
  <c r="AO398" i="1"/>
  <c r="AP398" i="1"/>
  <c r="AQ398" i="1"/>
  <c r="A399" i="1"/>
  <c r="B399" i="1"/>
  <c r="C399" i="1"/>
  <c r="D399" i="1"/>
  <c r="E399" i="1"/>
  <c r="F399" i="1"/>
  <c r="G399" i="1"/>
  <c r="K399" i="1"/>
  <c r="N399" i="1"/>
  <c r="O399" i="1"/>
  <c r="V399" i="1"/>
  <c r="Z399" i="1"/>
  <c r="AB399" i="1"/>
  <c r="AC399" i="1"/>
  <c r="AD399" i="1"/>
  <c r="AG399" i="1"/>
  <c r="AH399" i="1"/>
  <c r="AI399" i="1"/>
  <c r="AJ399" i="1"/>
  <c r="AK399" i="1"/>
  <c r="AM399" i="1"/>
  <c r="AN399" i="1"/>
  <c r="AO399" i="1"/>
  <c r="AP399" i="1"/>
  <c r="AQ399" i="1"/>
  <c r="A400" i="1"/>
  <c r="B400" i="1"/>
  <c r="C400" i="1"/>
  <c r="D400" i="1"/>
  <c r="E400" i="1"/>
  <c r="F400" i="1"/>
  <c r="G400" i="1"/>
  <c r="K400" i="1"/>
  <c r="N400" i="1"/>
  <c r="O400" i="1"/>
  <c r="V400" i="1"/>
  <c r="Z400" i="1"/>
  <c r="AB400" i="1"/>
  <c r="AC400" i="1"/>
  <c r="AD400" i="1"/>
  <c r="AG400" i="1"/>
  <c r="AH400" i="1"/>
  <c r="AI400" i="1"/>
  <c r="AJ400" i="1"/>
  <c r="AK400" i="1"/>
  <c r="AM400" i="1"/>
  <c r="AN400" i="1"/>
  <c r="AO400" i="1"/>
  <c r="AP400" i="1"/>
  <c r="AQ400" i="1"/>
  <c r="A401" i="1"/>
  <c r="B401" i="1"/>
  <c r="C401" i="1"/>
  <c r="D401" i="1"/>
  <c r="E401" i="1"/>
  <c r="F401" i="1"/>
  <c r="G401" i="1"/>
  <c r="K401" i="1"/>
  <c r="N401" i="1"/>
  <c r="O401" i="1"/>
  <c r="V401" i="1"/>
  <c r="Z401" i="1"/>
  <c r="AB401" i="1"/>
  <c r="AC401" i="1"/>
  <c r="AD401" i="1"/>
  <c r="AG401" i="1"/>
  <c r="AH401" i="1"/>
  <c r="AI401" i="1"/>
  <c r="AJ401" i="1"/>
  <c r="AK401" i="1"/>
  <c r="AM401" i="1"/>
  <c r="AN401" i="1"/>
  <c r="AO401" i="1"/>
  <c r="AP401" i="1"/>
  <c r="AQ401" i="1"/>
  <c r="A402" i="1"/>
  <c r="B402" i="1"/>
  <c r="C402" i="1"/>
  <c r="D402" i="1"/>
  <c r="E402" i="1"/>
  <c r="F402" i="1"/>
  <c r="G402" i="1"/>
  <c r="K402" i="1"/>
  <c r="N402" i="1"/>
  <c r="O402" i="1"/>
  <c r="V402" i="1"/>
  <c r="Z402" i="1"/>
  <c r="AB402" i="1"/>
  <c r="AC402" i="1"/>
  <c r="AD402" i="1"/>
  <c r="AG402" i="1"/>
  <c r="AH402" i="1"/>
  <c r="AI402" i="1"/>
  <c r="AJ402" i="1"/>
  <c r="AK402" i="1"/>
  <c r="AM402" i="1"/>
  <c r="AN402" i="1"/>
  <c r="AO402" i="1"/>
  <c r="AP402" i="1"/>
  <c r="AQ402" i="1"/>
  <c r="A403" i="1"/>
  <c r="B403" i="1"/>
  <c r="C403" i="1"/>
  <c r="D403" i="1"/>
  <c r="E403" i="1"/>
  <c r="F403" i="1"/>
  <c r="G403" i="1"/>
  <c r="K403" i="1"/>
  <c r="L403" i="1"/>
  <c r="M403" i="1"/>
  <c r="N403" i="1"/>
  <c r="O403" i="1"/>
  <c r="Q403" i="1"/>
  <c r="S403" i="1"/>
  <c r="U403" i="1"/>
  <c r="V403" i="1"/>
  <c r="Z403" i="1"/>
  <c r="AB403" i="1"/>
  <c r="AC403" i="1"/>
  <c r="AD403" i="1"/>
  <c r="AE403" i="1"/>
  <c r="AG403" i="1"/>
  <c r="AH403" i="1"/>
  <c r="AI403" i="1"/>
  <c r="AJ403" i="1"/>
  <c r="AK403" i="1"/>
  <c r="AM403" i="1"/>
  <c r="AN403" i="1"/>
  <c r="AO403" i="1"/>
  <c r="AP403" i="1"/>
  <c r="AQ403" i="1"/>
  <c r="A404" i="1"/>
  <c r="B404" i="1"/>
  <c r="C404" i="1"/>
  <c r="D404" i="1"/>
  <c r="E404" i="1"/>
  <c r="F404" i="1"/>
  <c r="G404" i="1"/>
  <c r="K404" i="1"/>
  <c r="N404" i="1"/>
  <c r="O404" i="1"/>
  <c r="V404" i="1"/>
  <c r="Z404" i="1"/>
  <c r="AB404" i="1"/>
  <c r="AC404" i="1"/>
  <c r="AD404" i="1"/>
  <c r="AG404" i="1"/>
  <c r="AH404" i="1"/>
  <c r="AI404" i="1"/>
  <c r="AJ404" i="1"/>
  <c r="AK404" i="1"/>
  <c r="AM404" i="1"/>
  <c r="AN404" i="1"/>
  <c r="AO404" i="1"/>
  <c r="AP404" i="1"/>
  <c r="AQ404" i="1"/>
  <c r="A405" i="1"/>
  <c r="B405" i="1"/>
  <c r="C405" i="1"/>
  <c r="D405" i="1"/>
  <c r="E405" i="1"/>
  <c r="F405" i="1"/>
  <c r="G405" i="1"/>
  <c r="K405" i="1"/>
  <c r="N405" i="1"/>
  <c r="O405" i="1"/>
  <c r="V405" i="1"/>
  <c r="Z405" i="1"/>
  <c r="AB405" i="1"/>
  <c r="AC405" i="1"/>
  <c r="AD405" i="1"/>
  <c r="AG405" i="1"/>
  <c r="AH405" i="1"/>
  <c r="AI405" i="1"/>
  <c r="AJ405" i="1"/>
  <c r="AK405" i="1"/>
  <c r="AM405" i="1"/>
  <c r="AN405" i="1"/>
  <c r="AO405" i="1"/>
  <c r="AP405" i="1"/>
  <c r="AQ405" i="1"/>
  <c r="A406" i="1"/>
  <c r="B406" i="1"/>
  <c r="C406" i="1"/>
  <c r="D406" i="1"/>
  <c r="E406" i="1"/>
  <c r="F406" i="1"/>
  <c r="G406" i="1"/>
  <c r="K406" i="1"/>
  <c r="N406" i="1"/>
  <c r="O406" i="1"/>
  <c r="V406" i="1"/>
  <c r="Z406" i="1"/>
  <c r="AB406" i="1"/>
  <c r="AC406" i="1"/>
  <c r="AD406" i="1"/>
  <c r="AG406" i="1"/>
  <c r="AH406" i="1"/>
  <c r="AI406" i="1"/>
  <c r="AJ406" i="1"/>
  <c r="AK406" i="1"/>
  <c r="AM406" i="1"/>
  <c r="AN406" i="1"/>
  <c r="AO406" i="1"/>
  <c r="AP406" i="1"/>
  <c r="AQ406" i="1"/>
  <c r="A407" i="1"/>
  <c r="B407" i="1"/>
  <c r="C407" i="1"/>
  <c r="D407" i="1"/>
  <c r="E407" i="1"/>
  <c r="F407" i="1"/>
  <c r="G407" i="1"/>
  <c r="K407" i="1"/>
  <c r="L407" i="1"/>
  <c r="M407" i="1"/>
  <c r="N407" i="1"/>
  <c r="O407" i="1"/>
  <c r="Q407" i="1"/>
  <c r="S407" i="1"/>
  <c r="U407" i="1"/>
  <c r="V407" i="1"/>
  <c r="Z407" i="1"/>
  <c r="AB407" i="1"/>
  <c r="AC407" i="1"/>
  <c r="AD407" i="1"/>
  <c r="AE407" i="1"/>
  <c r="AG407" i="1"/>
  <c r="AH407" i="1"/>
  <c r="AI407" i="1"/>
  <c r="AJ407" i="1"/>
  <c r="AK407" i="1"/>
  <c r="AM407" i="1"/>
  <c r="AN407" i="1"/>
  <c r="AO407" i="1"/>
  <c r="AP407" i="1"/>
  <c r="AQ407" i="1"/>
  <c r="A408" i="1"/>
  <c r="B408" i="1"/>
  <c r="C408" i="1"/>
  <c r="D408" i="1"/>
  <c r="E408" i="1"/>
  <c r="F408" i="1"/>
  <c r="G408" i="1"/>
  <c r="K408" i="1"/>
  <c r="N408" i="1"/>
  <c r="O408" i="1"/>
  <c r="V408" i="1"/>
  <c r="Z408" i="1"/>
  <c r="AB408" i="1"/>
  <c r="AC408" i="1"/>
  <c r="AD408" i="1"/>
  <c r="AG408" i="1"/>
  <c r="AH408" i="1"/>
  <c r="AI408" i="1"/>
  <c r="AJ408" i="1"/>
  <c r="AK408" i="1"/>
  <c r="AM408" i="1"/>
  <c r="AN408" i="1"/>
  <c r="AO408" i="1"/>
  <c r="AP408" i="1"/>
  <c r="AQ408" i="1"/>
  <c r="A409" i="1"/>
  <c r="B409" i="1"/>
  <c r="C409" i="1"/>
  <c r="D409" i="1"/>
  <c r="E409" i="1"/>
  <c r="F409" i="1"/>
  <c r="G409" i="1"/>
  <c r="N409" i="1"/>
  <c r="O409" i="1"/>
  <c r="V409" i="1"/>
  <c r="Z409" i="1"/>
  <c r="AB409" i="1"/>
  <c r="AC409" i="1"/>
  <c r="AD409" i="1"/>
  <c r="AG409" i="1"/>
  <c r="AH409" i="1"/>
  <c r="AI409" i="1"/>
  <c r="AJ409" i="1"/>
  <c r="AK409" i="1"/>
  <c r="AM409" i="1"/>
  <c r="AN409" i="1"/>
  <c r="AO409" i="1"/>
  <c r="AP409" i="1"/>
  <c r="AQ409" i="1"/>
  <c r="A410" i="1"/>
  <c r="B410" i="1"/>
  <c r="C410" i="1"/>
  <c r="D410" i="1"/>
  <c r="E410" i="1"/>
  <c r="F410" i="1"/>
  <c r="G410" i="1"/>
  <c r="K410" i="1"/>
  <c r="N410" i="1"/>
  <c r="V410" i="1"/>
  <c r="Z410" i="1"/>
  <c r="AB410" i="1"/>
  <c r="AC410" i="1"/>
  <c r="AD410" i="1"/>
  <c r="AG410" i="1"/>
  <c r="AH410" i="1"/>
  <c r="AI410" i="1"/>
  <c r="AJ410" i="1"/>
  <c r="AK410" i="1"/>
  <c r="AM410" i="1"/>
  <c r="AN410" i="1"/>
  <c r="AO410" i="1"/>
  <c r="AP410" i="1"/>
  <c r="AQ410" i="1"/>
  <c r="A411" i="1"/>
  <c r="B411" i="1"/>
  <c r="C411" i="1"/>
  <c r="D411" i="1"/>
  <c r="E411" i="1"/>
  <c r="F411" i="1"/>
  <c r="G411" i="1"/>
  <c r="K411" i="1"/>
  <c r="N411" i="1"/>
  <c r="O411" i="1"/>
  <c r="V411" i="1"/>
  <c r="Z411" i="1"/>
  <c r="AB411" i="1"/>
  <c r="AC411" i="1"/>
  <c r="AD411" i="1"/>
  <c r="AG411" i="1"/>
  <c r="AH411" i="1"/>
  <c r="AI411" i="1"/>
  <c r="AJ411" i="1"/>
  <c r="AK411" i="1"/>
  <c r="AM411" i="1"/>
  <c r="AN411" i="1"/>
  <c r="AO411" i="1"/>
  <c r="AP411" i="1"/>
  <c r="AQ411" i="1"/>
  <c r="A412" i="1"/>
  <c r="B412" i="1"/>
  <c r="C412" i="1"/>
  <c r="D412" i="1"/>
  <c r="E412" i="1"/>
  <c r="F412" i="1"/>
  <c r="G412" i="1"/>
  <c r="K412" i="1"/>
  <c r="N412" i="1"/>
  <c r="O412" i="1"/>
  <c r="V412" i="1"/>
  <c r="Z412" i="1"/>
  <c r="AB412" i="1"/>
  <c r="AC412" i="1"/>
  <c r="AD412" i="1"/>
  <c r="AG412" i="1"/>
  <c r="AH412" i="1"/>
  <c r="AI412" i="1"/>
  <c r="AJ412" i="1"/>
  <c r="AK412" i="1"/>
  <c r="AM412" i="1"/>
  <c r="AN412" i="1"/>
  <c r="AO412" i="1"/>
  <c r="AP412" i="1"/>
  <c r="AQ412" i="1"/>
  <c r="A413" i="1"/>
  <c r="B413" i="1"/>
  <c r="C413" i="1"/>
  <c r="D413" i="1"/>
  <c r="E413" i="1"/>
  <c r="F413" i="1"/>
  <c r="G413" i="1"/>
  <c r="K413" i="1"/>
  <c r="N413" i="1"/>
  <c r="O413" i="1"/>
  <c r="V413" i="1"/>
  <c r="Z413" i="1"/>
  <c r="AB413" i="1"/>
  <c r="AC413" i="1"/>
  <c r="AD413" i="1"/>
  <c r="AG413" i="1"/>
  <c r="AH413" i="1"/>
  <c r="AI413" i="1"/>
  <c r="AJ413" i="1"/>
  <c r="AK413" i="1"/>
  <c r="AM413" i="1"/>
  <c r="AN413" i="1"/>
  <c r="AO413" i="1"/>
  <c r="AP413" i="1"/>
  <c r="AQ413" i="1"/>
  <c r="A414" i="1"/>
  <c r="B414" i="1"/>
  <c r="C414" i="1"/>
  <c r="D414" i="1"/>
  <c r="E414" i="1"/>
  <c r="F414" i="1"/>
  <c r="G414" i="1"/>
  <c r="K414" i="1"/>
  <c r="N414" i="1"/>
  <c r="O414" i="1"/>
  <c r="V414" i="1"/>
  <c r="Z414" i="1"/>
  <c r="AB414" i="1"/>
  <c r="AC414" i="1"/>
  <c r="AD414" i="1"/>
  <c r="AG414" i="1"/>
  <c r="AH414" i="1"/>
  <c r="AI414" i="1"/>
  <c r="AJ414" i="1"/>
  <c r="AK414" i="1"/>
  <c r="AM414" i="1"/>
  <c r="AN414" i="1"/>
  <c r="AO414" i="1"/>
  <c r="AP414" i="1"/>
  <c r="AQ414" i="1"/>
  <c r="A415" i="1"/>
  <c r="B415" i="1"/>
  <c r="C415" i="1"/>
  <c r="D415" i="1"/>
  <c r="E415" i="1"/>
  <c r="F415" i="1"/>
  <c r="G415" i="1"/>
  <c r="K415" i="1"/>
  <c r="N415" i="1"/>
  <c r="O415" i="1"/>
  <c r="V415" i="1"/>
  <c r="Z415" i="1"/>
  <c r="AB415" i="1"/>
  <c r="AC415" i="1"/>
  <c r="AD415" i="1"/>
  <c r="AG415" i="1"/>
  <c r="AH415" i="1"/>
  <c r="AI415" i="1"/>
  <c r="AJ415" i="1"/>
  <c r="AK415" i="1"/>
  <c r="AM415" i="1"/>
  <c r="AN415" i="1"/>
  <c r="AO415" i="1"/>
  <c r="AP415" i="1"/>
  <c r="AQ415" i="1"/>
  <c r="A416" i="1"/>
  <c r="B416" i="1"/>
  <c r="C416" i="1"/>
  <c r="D416" i="1"/>
  <c r="E416" i="1"/>
  <c r="F416" i="1"/>
  <c r="G416" i="1"/>
  <c r="K416" i="1"/>
  <c r="N416" i="1"/>
  <c r="O416" i="1"/>
  <c r="V416" i="1"/>
  <c r="Z416" i="1"/>
  <c r="AB416" i="1"/>
  <c r="AC416" i="1"/>
  <c r="AD416" i="1"/>
  <c r="AG416" i="1"/>
  <c r="AH416" i="1"/>
  <c r="AI416" i="1"/>
  <c r="AJ416" i="1"/>
  <c r="AK416" i="1"/>
  <c r="AM416" i="1"/>
  <c r="AN416" i="1"/>
  <c r="AO416" i="1"/>
  <c r="AP416" i="1"/>
  <c r="AQ416" i="1"/>
  <c r="A417" i="1"/>
  <c r="B417" i="1"/>
  <c r="C417" i="1"/>
  <c r="D417" i="1"/>
  <c r="E417" i="1"/>
  <c r="F417" i="1"/>
  <c r="G417" i="1"/>
  <c r="K417" i="1"/>
  <c r="N417" i="1"/>
  <c r="O417" i="1"/>
  <c r="V417" i="1"/>
  <c r="Z417" i="1"/>
  <c r="AB417" i="1"/>
  <c r="AC417" i="1"/>
  <c r="AD417" i="1"/>
  <c r="AG417" i="1"/>
  <c r="AH417" i="1"/>
  <c r="AI417" i="1"/>
  <c r="AJ417" i="1"/>
  <c r="AK417" i="1"/>
  <c r="AM417" i="1"/>
  <c r="AN417" i="1"/>
  <c r="AO417" i="1"/>
  <c r="AP417" i="1"/>
  <c r="AQ417" i="1"/>
  <c r="A418" i="1"/>
  <c r="B418" i="1"/>
  <c r="C418" i="1"/>
  <c r="D418" i="1"/>
  <c r="E418" i="1"/>
  <c r="F418" i="1"/>
  <c r="G418" i="1"/>
  <c r="K418" i="1"/>
  <c r="N418" i="1"/>
  <c r="O418" i="1"/>
  <c r="V418" i="1"/>
  <c r="Z418" i="1"/>
  <c r="AB418" i="1"/>
  <c r="AC418" i="1"/>
  <c r="AD418" i="1"/>
  <c r="AG418" i="1"/>
  <c r="AH418" i="1"/>
  <c r="AI418" i="1"/>
  <c r="AJ418" i="1"/>
  <c r="AK418" i="1"/>
  <c r="AM418" i="1"/>
  <c r="AN418" i="1"/>
  <c r="AO418" i="1"/>
  <c r="AP418" i="1"/>
  <c r="AQ418" i="1"/>
  <c r="A419" i="1"/>
  <c r="B419" i="1"/>
  <c r="C419" i="1"/>
  <c r="D419" i="1"/>
  <c r="E419" i="1"/>
  <c r="F419" i="1"/>
  <c r="G419" i="1"/>
  <c r="K419" i="1"/>
  <c r="N419" i="1"/>
  <c r="O419" i="1"/>
  <c r="V419" i="1"/>
  <c r="Z419" i="1"/>
  <c r="AB419" i="1"/>
  <c r="AC419" i="1"/>
  <c r="AD419" i="1"/>
  <c r="AG419" i="1"/>
  <c r="AH419" i="1"/>
  <c r="AI419" i="1"/>
  <c r="AJ419" i="1"/>
  <c r="AK419" i="1"/>
  <c r="AM419" i="1"/>
  <c r="AN419" i="1"/>
  <c r="AO419" i="1"/>
  <c r="AP419" i="1"/>
  <c r="AQ419" i="1"/>
  <c r="A420" i="1"/>
  <c r="B420" i="1"/>
  <c r="C420" i="1"/>
  <c r="D420" i="1"/>
  <c r="E420" i="1"/>
  <c r="F420" i="1"/>
  <c r="G420" i="1"/>
  <c r="K420" i="1"/>
  <c r="N420" i="1"/>
  <c r="O420" i="1"/>
  <c r="V420" i="1"/>
  <c r="Z420" i="1"/>
  <c r="AB420" i="1"/>
  <c r="AC420" i="1"/>
  <c r="AD420" i="1"/>
  <c r="AG420" i="1"/>
  <c r="AH420" i="1"/>
  <c r="AI420" i="1"/>
  <c r="AJ420" i="1"/>
  <c r="AK420" i="1"/>
  <c r="AM420" i="1"/>
  <c r="AN420" i="1"/>
  <c r="AO420" i="1"/>
  <c r="AP420" i="1"/>
  <c r="AQ420" i="1"/>
  <c r="A421" i="1"/>
  <c r="B421" i="1"/>
  <c r="C421" i="1"/>
  <c r="D421" i="1"/>
  <c r="E421" i="1"/>
  <c r="F421" i="1"/>
  <c r="G421" i="1"/>
  <c r="K421" i="1"/>
  <c r="L421" i="1"/>
  <c r="N421" i="1"/>
  <c r="O421" i="1"/>
  <c r="V421" i="1"/>
  <c r="Z421" i="1"/>
  <c r="AB421" i="1"/>
  <c r="AC421" i="1"/>
  <c r="AD421" i="1"/>
  <c r="AG421" i="1"/>
  <c r="AH421" i="1"/>
  <c r="AI421" i="1"/>
  <c r="AJ421" i="1"/>
  <c r="AK421" i="1"/>
  <c r="AM421" i="1"/>
  <c r="AN421" i="1"/>
  <c r="AO421" i="1"/>
  <c r="AP421" i="1"/>
  <c r="AQ421" i="1"/>
  <c r="A422" i="1"/>
  <c r="B422" i="1"/>
  <c r="C422" i="1"/>
  <c r="D422" i="1"/>
  <c r="E422" i="1"/>
  <c r="F422" i="1"/>
  <c r="G422" i="1"/>
  <c r="K422" i="1"/>
  <c r="N422" i="1"/>
  <c r="O422" i="1"/>
  <c r="V422" i="1"/>
  <c r="Z422" i="1"/>
  <c r="AB422" i="1"/>
  <c r="AC422" i="1"/>
  <c r="AD422" i="1"/>
  <c r="AG422" i="1"/>
  <c r="AH422" i="1"/>
  <c r="AI422" i="1"/>
  <c r="AJ422" i="1"/>
  <c r="AK422" i="1"/>
  <c r="AM422" i="1"/>
  <c r="AN422" i="1"/>
  <c r="AO422" i="1"/>
  <c r="AP422" i="1"/>
  <c r="AQ422" i="1"/>
  <c r="A423" i="1"/>
  <c r="B423" i="1"/>
  <c r="C423" i="1"/>
  <c r="D423" i="1"/>
  <c r="E423" i="1"/>
  <c r="F423" i="1"/>
  <c r="G423" i="1"/>
  <c r="K423" i="1"/>
  <c r="N423" i="1"/>
  <c r="O423" i="1"/>
  <c r="V423" i="1"/>
  <c r="Z423" i="1"/>
  <c r="AB423" i="1"/>
  <c r="AC423" i="1"/>
  <c r="AD423" i="1"/>
  <c r="AG423" i="1"/>
  <c r="AH423" i="1"/>
  <c r="AI423" i="1"/>
  <c r="AJ423" i="1"/>
  <c r="AK423" i="1"/>
  <c r="AM423" i="1"/>
  <c r="AN423" i="1"/>
  <c r="AO423" i="1"/>
  <c r="AP423" i="1"/>
  <c r="AQ423" i="1"/>
  <c r="A424" i="1"/>
  <c r="B424" i="1"/>
  <c r="C424" i="1"/>
  <c r="D424" i="1"/>
  <c r="E424" i="1"/>
  <c r="F424" i="1"/>
  <c r="G424" i="1"/>
  <c r="K424" i="1"/>
  <c r="N424" i="1"/>
  <c r="O424" i="1"/>
  <c r="V424" i="1"/>
  <c r="Z424" i="1"/>
  <c r="AB424" i="1"/>
  <c r="AC424" i="1"/>
  <c r="AD424" i="1"/>
  <c r="AG424" i="1"/>
  <c r="AH424" i="1"/>
  <c r="AI424" i="1"/>
  <c r="AJ424" i="1"/>
  <c r="AK424" i="1"/>
  <c r="AM424" i="1"/>
  <c r="AN424" i="1"/>
  <c r="AO424" i="1"/>
  <c r="AP424" i="1"/>
  <c r="AQ424" i="1"/>
  <c r="A425" i="1"/>
  <c r="B425" i="1"/>
  <c r="C425" i="1"/>
  <c r="D425" i="1"/>
  <c r="E425" i="1"/>
  <c r="F425" i="1"/>
  <c r="G425" i="1"/>
  <c r="K425" i="1"/>
  <c r="N425" i="1"/>
  <c r="O425" i="1"/>
  <c r="V425" i="1"/>
  <c r="Z425" i="1"/>
  <c r="AB425" i="1"/>
  <c r="AC425" i="1"/>
  <c r="AD425" i="1"/>
  <c r="AG425" i="1"/>
  <c r="AH425" i="1"/>
  <c r="AI425" i="1"/>
  <c r="AJ425" i="1"/>
  <c r="AK425" i="1"/>
  <c r="AM425" i="1"/>
  <c r="AN425" i="1"/>
  <c r="AO425" i="1"/>
  <c r="AP425" i="1"/>
  <c r="AQ425" i="1"/>
  <c r="A426" i="1"/>
  <c r="B426" i="1"/>
  <c r="C426" i="1"/>
  <c r="D426" i="1"/>
  <c r="E426" i="1"/>
  <c r="F426" i="1"/>
  <c r="G426" i="1"/>
  <c r="K426" i="1"/>
  <c r="N426" i="1"/>
  <c r="O426" i="1"/>
  <c r="V426" i="1"/>
  <c r="Z426" i="1"/>
  <c r="AB426" i="1"/>
  <c r="AC426" i="1"/>
  <c r="AD426" i="1"/>
  <c r="AG426" i="1"/>
  <c r="AH426" i="1"/>
  <c r="AI426" i="1"/>
  <c r="AJ426" i="1"/>
  <c r="AK426" i="1"/>
  <c r="AM426" i="1"/>
  <c r="AN426" i="1"/>
  <c r="AO426" i="1"/>
  <c r="AP426" i="1"/>
  <c r="AQ426" i="1"/>
  <c r="A427" i="1"/>
  <c r="B427" i="1"/>
  <c r="C427" i="1"/>
  <c r="D427" i="1"/>
  <c r="E427" i="1"/>
  <c r="F427" i="1"/>
  <c r="G427" i="1"/>
  <c r="K427" i="1"/>
  <c r="N427" i="1"/>
  <c r="O427" i="1"/>
  <c r="V427" i="1"/>
  <c r="Z427" i="1"/>
  <c r="AB427" i="1"/>
  <c r="AC427" i="1"/>
  <c r="AD427" i="1"/>
  <c r="AG427" i="1"/>
  <c r="AH427" i="1"/>
  <c r="AI427" i="1"/>
  <c r="AJ427" i="1"/>
  <c r="AK427" i="1"/>
  <c r="AM427" i="1"/>
  <c r="AN427" i="1"/>
  <c r="AO427" i="1"/>
  <c r="AP427" i="1"/>
  <c r="AQ427" i="1"/>
  <c r="A428" i="1"/>
  <c r="B428" i="1"/>
  <c r="C428" i="1"/>
  <c r="D428" i="1"/>
  <c r="E428" i="1"/>
  <c r="F428" i="1"/>
  <c r="G428" i="1"/>
  <c r="K428" i="1"/>
  <c r="N428" i="1"/>
  <c r="O428" i="1"/>
  <c r="V428" i="1"/>
  <c r="Z428" i="1"/>
  <c r="AB428" i="1"/>
  <c r="AC428" i="1"/>
  <c r="AD428" i="1"/>
  <c r="AG428" i="1"/>
  <c r="AH428" i="1"/>
  <c r="AI428" i="1"/>
  <c r="AJ428" i="1"/>
  <c r="AK428" i="1"/>
  <c r="AM428" i="1"/>
  <c r="AN428" i="1"/>
  <c r="AO428" i="1"/>
  <c r="AP428" i="1"/>
  <c r="AQ428" i="1"/>
  <c r="A429" i="1"/>
  <c r="B429" i="1"/>
  <c r="C429" i="1"/>
  <c r="D429" i="1"/>
  <c r="E429" i="1"/>
  <c r="F429" i="1"/>
  <c r="G429" i="1"/>
  <c r="N429" i="1"/>
  <c r="O429" i="1"/>
  <c r="V429" i="1"/>
  <c r="Z429" i="1"/>
  <c r="AB429" i="1"/>
  <c r="AC429" i="1"/>
  <c r="AD429" i="1"/>
  <c r="AG429" i="1"/>
  <c r="AH429" i="1"/>
  <c r="AI429" i="1"/>
  <c r="AJ429" i="1"/>
  <c r="AK429" i="1"/>
  <c r="AM429" i="1"/>
  <c r="AN429" i="1"/>
  <c r="AO429" i="1"/>
  <c r="AP429" i="1"/>
  <c r="AQ429" i="1"/>
  <c r="A430" i="1"/>
  <c r="B430" i="1"/>
  <c r="C430" i="1"/>
  <c r="D430" i="1"/>
  <c r="E430" i="1"/>
  <c r="F430" i="1"/>
  <c r="G430" i="1"/>
  <c r="K430" i="1"/>
  <c r="N430" i="1"/>
  <c r="O430" i="1"/>
  <c r="V430" i="1"/>
  <c r="Z430" i="1"/>
  <c r="AB430" i="1"/>
  <c r="AC430" i="1"/>
  <c r="AD430" i="1"/>
  <c r="AG430" i="1"/>
  <c r="AH430" i="1"/>
  <c r="AI430" i="1"/>
  <c r="AJ430" i="1"/>
  <c r="AK430" i="1"/>
  <c r="AM430" i="1"/>
  <c r="AN430" i="1"/>
  <c r="AO430" i="1"/>
  <c r="AP430" i="1"/>
  <c r="AQ430" i="1"/>
  <c r="A431" i="1"/>
  <c r="B431" i="1"/>
  <c r="C431" i="1"/>
  <c r="D431" i="1"/>
  <c r="E431" i="1"/>
  <c r="F431" i="1"/>
  <c r="G431" i="1"/>
  <c r="K431" i="1"/>
  <c r="L431" i="1"/>
  <c r="N431" i="1"/>
  <c r="O431" i="1"/>
  <c r="V431" i="1"/>
  <c r="Z431" i="1"/>
  <c r="AB431" i="1"/>
  <c r="AC431" i="1"/>
  <c r="AD431" i="1"/>
  <c r="AG431" i="1"/>
  <c r="AH431" i="1"/>
  <c r="AI431" i="1"/>
  <c r="AJ431" i="1"/>
  <c r="AK431" i="1"/>
  <c r="AM431" i="1"/>
  <c r="AN431" i="1"/>
  <c r="AO431" i="1"/>
  <c r="AP431" i="1"/>
  <c r="AQ431" i="1"/>
  <c r="A432" i="1"/>
  <c r="B432" i="1"/>
  <c r="C432" i="1"/>
  <c r="D432" i="1"/>
  <c r="E432" i="1"/>
  <c r="F432" i="1"/>
  <c r="G432" i="1"/>
  <c r="K432" i="1"/>
  <c r="N432" i="1"/>
  <c r="V432" i="1"/>
  <c r="Z432" i="1"/>
  <c r="AB432" i="1"/>
  <c r="AC432" i="1"/>
  <c r="AD432" i="1"/>
  <c r="AG432" i="1"/>
  <c r="AH432" i="1"/>
  <c r="AI432" i="1"/>
  <c r="AJ432" i="1"/>
  <c r="AK432" i="1"/>
  <c r="AM432" i="1"/>
  <c r="AN432" i="1"/>
  <c r="AO432" i="1"/>
  <c r="AP432" i="1"/>
  <c r="AQ432" i="1"/>
  <c r="A433" i="1"/>
  <c r="B433" i="1"/>
  <c r="C433" i="1"/>
  <c r="D433" i="1"/>
  <c r="E433" i="1"/>
  <c r="F433" i="1"/>
  <c r="G433" i="1"/>
  <c r="N433" i="1"/>
  <c r="V433" i="1"/>
  <c r="Z433" i="1"/>
  <c r="AB433" i="1"/>
  <c r="AC433" i="1"/>
  <c r="AD433" i="1"/>
  <c r="AG433" i="1"/>
  <c r="AH433" i="1"/>
  <c r="AI433" i="1"/>
  <c r="AJ433" i="1"/>
  <c r="AK433" i="1"/>
  <c r="AM433" i="1"/>
  <c r="AN433" i="1"/>
  <c r="AO433" i="1"/>
  <c r="AP433" i="1"/>
  <c r="AQ433" i="1"/>
  <c r="A434" i="1"/>
  <c r="B434" i="1"/>
  <c r="C434" i="1"/>
  <c r="D434" i="1"/>
  <c r="E434" i="1"/>
  <c r="F434" i="1"/>
  <c r="G434" i="1"/>
  <c r="N434" i="1"/>
  <c r="V434" i="1"/>
  <c r="Z434" i="1"/>
  <c r="AB434" i="1"/>
  <c r="AC434" i="1"/>
  <c r="AD434" i="1"/>
  <c r="AG434" i="1"/>
  <c r="AH434" i="1"/>
  <c r="AI434" i="1"/>
  <c r="AJ434" i="1"/>
  <c r="AK434" i="1"/>
  <c r="AM434" i="1"/>
  <c r="AN434" i="1"/>
  <c r="AO434" i="1"/>
  <c r="AP434" i="1"/>
  <c r="AQ434" i="1"/>
  <c r="A435" i="1"/>
  <c r="B435" i="1"/>
  <c r="C435" i="1"/>
  <c r="D435" i="1"/>
  <c r="E435" i="1"/>
  <c r="F435" i="1"/>
  <c r="G435" i="1"/>
  <c r="K435" i="1"/>
  <c r="N435" i="1"/>
  <c r="V435" i="1"/>
  <c r="Z435" i="1"/>
  <c r="AB435" i="1"/>
  <c r="AC435" i="1"/>
  <c r="AD435" i="1"/>
  <c r="AG435" i="1"/>
  <c r="AH435" i="1"/>
  <c r="AI435" i="1"/>
  <c r="AJ435" i="1"/>
  <c r="AK435" i="1"/>
  <c r="AM435" i="1"/>
  <c r="AN435" i="1"/>
  <c r="AO435" i="1"/>
  <c r="AP435" i="1"/>
  <c r="AQ435" i="1"/>
  <c r="A436" i="1"/>
  <c r="B436" i="1"/>
  <c r="C436" i="1"/>
  <c r="D436" i="1"/>
  <c r="E436" i="1"/>
  <c r="F436" i="1"/>
  <c r="G436" i="1"/>
  <c r="K436" i="1"/>
  <c r="N436" i="1"/>
  <c r="O436" i="1"/>
  <c r="V436" i="1"/>
  <c r="Z436" i="1"/>
  <c r="AB436" i="1"/>
  <c r="AC436" i="1"/>
  <c r="AD436" i="1"/>
  <c r="AG436" i="1"/>
  <c r="AH436" i="1"/>
  <c r="AI436" i="1"/>
  <c r="AJ436" i="1"/>
  <c r="AK436" i="1"/>
  <c r="AM436" i="1"/>
  <c r="AN436" i="1"/>
  <c r="AO436" i="1"/>
  <c r="AP436" i="1"/>
  <c r="AQ436" i="1"/>
  <c r="A437" i="1"/>
  <c r="B437" i="1"/>
  <c r="C437" i="1"/>
  <c r="D437" i="1"/>
  <c r="E437" i="1"/>
  <c r="F437" i="1"/>
  <c r="G437" i="1"/>
  <c r="K437" i="1"/>
  <c r="N437" i="1"/>
  <c r="O437" i="1"/>
  <c r="V437" i="1"/>
  <c r="Z437" i="1"/>
  <c r="AB437" i="1"/>
  <c r="AC437" i="1"/>
  <c r="AD437" i="1"/>
  <c r="AE437" i="1"/>
  <c r="AG437" i="1"/>
  <c r="AH437" i="1"/>
  <c r="AI437" i="1"/>
  <c r="AJ437" i="1"/>
  <c r="AK437" i="1"/>
  <c r="AM437" i="1"/>
  <c r="AN437" i="1"/>
  <c r="AO437" i="1"/>
  <c r="AP437" i="1"/>
  <c r="AQ437" i="1"/>
  <c r="A438" i="1"/>
  <c r="B438" i="1"/>
  <c r="C438" i="1"/>
  <c r="D438" i="1"/>
  <c r="E438" i="1"/>
  <c r="F438" i="1"/>
  <c r="G438" i="1"/>
  <c r="K438" i="1"/>
  <c r="N438" i="1"/>
  <c r="O438" i="1"/>
  <c r="V438" i="1"/>
  <c r="Z438" i="1"/>
  <c r="AB438" i="1"/>
  <c r="AC438" i="1"/>
  <c r="AD438" i="1"/>
  <c r="AG438" i="1"/>
  <c r="AH438" i="1"/>
  <c r="AI438" i="1"/>
  <c r="AJ438" i="1"/>
  <c r="AK438" i="1"/>
  <c r="AM438" i="1"/>
  <c r="AN438" i="1"/>
  <c r="AO438" i="1"/>
  <c r="AP438" i="1"/>
  <c r="AQ438" i="1"/>
  <c r="A439" i="1"/>
  <c r="B439" i="1"/>
  <c r="C439" i="1"/>
  <c r="D439" i="1"/>
  <c r="E439" i="1"/>
  <c r="F439" i="1"/>
  <c r="G439" i="1"/>
  <c r="K439" i="1"/>
  <c r="N439" i="1"/>
  <c r="O439" i="1"/>
  <c r="V439" i="1"/>
  <c r="Z439" i="1"/>
  <c r="AB439" i="1"/>
  <c r="AC439" i="1"/>
  <c r="AD439" i="1"/>
  <c r="AG439" i="1"/>
  <c r="AH439" i="1"/>
  <c r="AI439" i="1"/>
  <c r="AJ439" i="1"/>
  <c r="AK439" i="1"/>
  <c r="AM439" i="1"/>
  <c r="AN439" i="1"/>
  <c r="AO439" i="1"/>
  <c r="AP439" i="1"/>
  <c r="AQ439" i="1"/>
  <c r="A440" i="1"/>
  <c r="B440" i="1"/>
  <c r="C440" i="1"/>
  <c r="D440" i="1"/>
  <c r="E440" i="1"/>
  <c r="F440" i="1"/>
  <c r="G440" i="1"/>
  <c r="N440" i="1"/>
  <c r="V440" i="1"/>
  <c r="Z440" i="1"/>
  <c r="AB440" i="1"/>
  <c r="AC440" i="1"/>
  <c r="AD440" i="1"/>
  <c r="AG440" i="1"/>
  <c r="AH440" i="1"/>
  <c r="AI440" i="1"/>
  <c r="AJ440" i="1"/>
  <c r="AK440" i="1"/>
  <c r="AM440" i="1"/>
  <c r="AN440" i="1"/>
  <c r="AO440" i="1"/>
  <c r="AP440" i="1"/>
  <c r="AQ440" i="1"/>
  <c r="A441" i="1"/>
  <c r="B441" i="1"/>
  <c r="C441" i="1"/>
  <c r="D441" i="1"/>
  <c r="E441" i="1"/>
  <c r="F441" i="1"/>
  <c r="G441" i="1"/>
  <c r="K441" i="1"/>
  <c r="N441" i="1"/>
  <c r="O441" i="1"/>
  <c r="V441" i="1"/>
  <c r="Z441" i="1"/>
  <c r="AB441" i="1"/>
  <c r="AC441" i="1"/>
  <c r="AD441" i="1"/>
  <c r="AG441" i="1"/>
  <c r="AH441" i="1"/>
  <c r="AI441" i="1"/>
  <c r="AJ441" i="1"/>
  <c r="AK441" i="1"/>
  <c r="AM441" i="1"/>
  <c r="AN441" i="1"/>
  <c r="AO441" i="1"/>
  <c r="AP441" i="1"/>
  <c r="AQ441" i="1"/>
  <c r="A442" i="1"/>
  <c r="B442" i="1"/>
  <c r="C442" i="1"/>
  <c r="D442" i="1"/>
  <c r="E442" i="1"/>
  <c r="F442" i="1"/>
  <c r="G442" i="1"/>
  <c r="K442" i="1"/>
  <c r="N442" i="1"/>
  <c r="O442" i="1"/>
  <c r="V442" i="1"/>
  <c r="Z442" i="1"/>
  <c r="AB442" i="1"/>
  <c r="AC442" i="1"/>
  <c r="AD442" i="1"/>
  <c r="AG442" i="1"/>
  <c r="AH442" i="1"/>
  <c r="AI442" i="1"/>
  <c r="AJ442" i="1"/>
  <c r="AK442" i="1"/>
  <c r="AM442" i="1"/>
  <c r="AN442" i="1"/>
  <c r="AO442" i="1"/>
  <c r="AP442" i="1"/>
  <c r="AQ442" i="1"/>
  <c r="A443" i="1"/>
  <c r="B443" i="1"/>
  <c r="C443" i="1"/>
  <c r="D443" i="1"/>
  <c r="E443" i="1"/>
  <c r="F443" i="1"/>
  <c r="G443" i="1"/>
  <c r="K443" i="1"/>
  <c r="N443" i="1"/>
  <c r="O443" i="1"/>
  <c r="V443" i="1"/>
  <c r="Z443" i="1"/>
  <c r="AB443" i="1"/>
  <c r="AC443" i="1"/>
  <c r="AD443" i="1"/>
  <c r="AG443" i="1"/>
  <c r="AH443" i="1"/>
  <c r="AI443" i="1"/>
  <c r="AJ443" i="1"/>
  <c r="AK443" i="1"/>
  <c r="AM443" i="1"/>
  <c r="AN443" i="1"/>
  <c r="AO443" i="1"/>
  <c r="AP443" i="1"/>
  <c r="AQ443" i="1"/>
  <c r="A444" i="1"/>
  <c r="B444" i="1"/>
  <c r="C444" i="1"/>
  <c r="D444" i="1"/>
  <c r="E444" i="1"/>
  <c r="F444" i="1"/>
  <c r="G444" i="1"/>
  <c r="K444" i="1"/>
  <c r="N444" i="1"/>
  <c r="O444" i="1"/>
  <c r="V444" i="1"/>
  <c r="Z444" i="1"/>
  <c r="AB444" i="1"/>
  <c r="AC444" i="1"/>
  <c r="AD444" i="1"/>
  <c r="AG444" i="1"/>
  <c r="AH444" i="1"/>
  <c r="AI444" i="1"/>
  <c r="AJ444" i="1"/>
  <c r="AK444" i="1"/>
  <c r="AM444" i="1"/>
  <c r="AN444" i="1"/>
  <c r="AO444" i="1"/>
  <c r="AP444" i="1"/>
  <c r="AQ444" i="1"/>
  <c r="A445" i="1"/>
  <c r="B445" i="1"/>
  <c r="C445" i="1"/>
  <c r="D445" i="1"/>
  <c r="E445" i="1"/>
  <c r="F445" i="1"/>
  <c r="G445" i="1"/>
  <c r="N445" i="1"/>
  <c r="O445" i="1"/>
  <c r="V445" i="1"/>
  <c r="Z445" i="1"/>
  <c r="AB445" i="1"/>
  <c r="AC445" i="1"/>
  <c r="AD445" i="1"/>
  <c r="AG445" i="1"/>
  <c r="AH445" i="1"/>
  <c r="AI445" i="1"/>
  <c r="AJ445" i="1"/>
  <c r="AK445" i="1"/>
  <c r="AM445" i="1"/>
  <c r="AN445" i="1"/>
  <c r="AO445" i="1"/>
  <c r="AP445" i="1"/>
  <c r="AQ445" i="1"/>
  <c r="A446" i="1"/>
  <c r="B446" i="1"/>
  <c r="C446" i="1"/>
  <c r="D446" i="1"/>
  <c r="E446" i="1"/>
  <c r="F446" i="1"/>
  <c r="G446" i="1"/>
  <c r="K446" i="1"/>
  <c r="N446" i="1"/>
  <c r="O446" i="1"/>
  <c r="V446" i="1"/>
  <c r="Z446" i="1"/>
  <c r="AB446" i="1"/>
  <c r="AC446" i="1"/>
  <c r="AD446" i="1"/>
  <c r="AG446" i="1"/>
  <c r="AH446" i="1"/>
  <c r="AI446" i="1"/>
  <c r="AJ446" i="1"/>
  <c r="AK446" i="1"/>
  <c r="AM446" i="1"/>
  <c r="AN446" i="1"/>
  <c r="AO446" i="1"/>
  <c r="AP446" i="1"/>
  <c r="AQ446" i="1"/>
  <c r="A447" i="1"/>
  <c r="B447" i="1"/>
  <c r="C447" i="1"/>
  <c r="D447" i="1"/>
  <c r="E447" i="1"/>
  <c r="F447" i="1"/>
  <c r="G447" i="1"/>
  <c r="K447" i="1"/>
  <c r="N447" i="1"/>
  <c r="O447" i="1"/>
  <c r="V447" i="1"/>
  <c r="Z447" i="1"/>
  <c r="AB447" i="1"/>
  <c r="AC447" i="1"/>
  <c r="AD447" i="1"/>
  <c r="AG447" i="1"/>
  <c r="AH447" i="1"/>
  <c r="AI447" i="1"/>
  <c r="AJ447" i="1"/>
  <c r="AK447" i="1"/>
  <c r="AM447" i="1"/>
  <c r="AN447" i="1"/>
  <c r="AO447" i="1"/>
  <c r="AP447" i="1"/>
  <c r="AQ447" i="1"/>
  <c r="A448" i="1"/>
  <c r="B448" i="1"/>
  <c r="C448" i="1"/>
  <c r="D448" i="1"/>
  <c r="E448" i="1"/>
  <c r="F448" i="1"/>
  <c r="G448" i="1"/>
  <c r="K448" i="1"/>
  <c r="N448" i="1"/>
  <c r="O448" i="1"/>
  <c r="V448" i="1"/>
  <c r="Z448" i="1"/>
  <c r="AB448" i="1"/>
  <c r="AC448" i="1"/>
  <c r="AD448" i="1"/>
  <c r="AG448" i="1"/>
  <c r="AH448" i="1"/>
  <c r="AI448" i="1"/>
  <c r="AJ448" i="1"/>
  <c r="AK448" i="1"/>
  <c r="AM448" i="1"/>
  <c r="AN448" i="1"/>
  <c r="AO448" i="1"/>
  <c r="AP448" i="1"/>
  <c r="AQ448" i="1"/>
  <c r="A449" i="1"/>
  <c r="B449" i="1"/>
  <c r="C449" i="1"/>
  <c r="D449" i="1"/>
  <c r="E449" i="1"/>
  <c r="F449" i="1"/>
  <c r="G449" i="1"/>
  <c r="K449" i="1"/>
  <c r="N449" i="1"/>
  <c r="O449" i="1"/>
  <c r="V449" i="1"/>
  <c r="Z449" i="1"/>
  <c r="AB449" i="1"/>
  <c r="AC449" i="1"/>
  <c r="AD449" i="1"/>
  <c r="AG449" i="1"/>
  <c r="AH449" i="1"/>
  <c r="AI449" i="1"/>
  <c r="AJ449" i="1"/>
  <c r="AK449" i="1"/>
  <c r="AM449" i="1"/>
  <c r="AN449" i="1"/>
  <c r="AO449" i="1"/>
  <c r="AP449" i="1"/>
  <c r="AQ449" i="1"/>
  <c r="A450" i="1"/>
  <c r="B450" i="1"/>
  <c r="C450" i="1"/>
  <c r="D450" i="1"/>
  <c r="E450" i="1"/>
  <c r="F450" i="1"/>
  <c r="G450" i="1"/>
  <c r="K450" i="1"/>
  <c r="N450" i="1"/>
  <c r="O450" i="1"/>
  <c r="V450" i="1"/>
  <c r="Z450" i="1"/>
  <c r="AB450" i="1"/>
  <c r="AC450" i="1"/>
  <c r="AD450" i="1"/>
  <c r="AG450" i="1"/>
  <c r="AH450" i="1"/>
  <c r="AI450" i="1"/>
  <c r="AJ450" i="1"/>
  <c r="AK450" i="1"/>
  <c r="AM450" i="1"/>
  <c r="AN450" i="1"/>
  <c r="AO450" i="1"/>
  <c r="AP450" i="1"/>
  <c r="AQ450" i="1"/>
  <c r="A451" i="1"/>
  <c r="B451" i="1"/>
  <c r="C451" i="1"/>
  <c r="D451" i="1"/>
  <c r="E451" i="1"/>
  <c r="F451" i="1"/>
  <c r="G451" i="1"/>
  <c r="K451" i="1"/>
  <c r="N451" i="1"/>
  <c r="O451" i="1"/>
  <c r="V451" i="1"/>
  <c r="Z451" i="1"/>
  <c r="AB451" i="1"/>
  <c r="AC451" i="1"/>
  <c r="AD451" i="1"/>
  <c r="AG451" i="1"/>
  <c r="AH451" i="1"/>
  <c r="AI451" i="1"/>
  <c r="AJ451" i="1"/>
  <c r="AK451" i="1"/>
  <c r="AM451" i="1"/>
  <c r="AN451" i="1"/>
  <c r="AO451" i="1"/>
  <c r="AP451" i="1"/>
  <c r="AQ451" i="1"/>
  <c r="A452" i="1"/>
  <c r="B452" i="1"/>
  <c r="C452" i="1"/>
  <c r="D452" i="1"/>
  <c r="E452" i="1"/>
  <c r="F452" i="1"/>
  <c r="G452" i="1"/>
  <c r="K452" i="1"/>
  <c r="N452" i="1"/>
  <c r="O452" i="1"/>
  <c r="V452" i="1"/>
  <c r="Z452" i="1"/>
  <c r="AB452" i="1"/>
  <c r="AC452" i="1"/>
  <c r="AD452" i="1"/>
  <c r="AG452" i="1"/>
  <c r="AH452" i="1"/>
  <c r="AI452" i="1"/>
  <c r="AJ452" i="1"/>
  <c r="AK452" i="1"/>
  <c r="AM452" i="1"/>
  <c r="AN452" i="1"/>
  <c r="AO452" i="1"/>
  <c r="AP452" i="1"/>
  <c r="AQ452" i="1"/>
  <c r="A453" i="1"/>
  <c r="B453" i="1"/>
  <c r="C453" i="1"/>
  <c r="D453" i="1"/>
  <c r="E453" i="1"/>
  <c r="F453" i="1"/>
  <c r="G453" i="1"/>
  <c r="K453" i="1"/>
  <c r="N453" i="1"/>
  <c r="O453" i="1"/>
  <c r="V453" i="1"/>
  <c r="Z453" i="1"/>
  <c r="AB453" i="1"/>
  <c r="AC453" i="1"/>
  <c r="AD453" i="1"/>
  <c r="AG453" i="1"/>
  <c r="AH453" i="1"/>
  <c r="AI453" i="1"/>
  <c r="AJ453" i="1"/>
  <c r="AK453" i="1"/>
  <c r="AM453" i="1"/>
  <c r="AN453" i="1"/>
  <c r="AO453" i="1"/>
  <c r="AP453" i="1"/>
  <c r="AQ453" i="1"/>
  <c r="A454" i="1"/>
  <c r="B454" i="1"/>
  <c r="C454" i="1"/>
  <c r="D454" i="1"/>
  <c r="E454" i="1"/>
  <c r="F454" i="1"/>
  <c r="G454" i="1"/>
  <c r="K454" i="1"/>
  <c r="N454" i="1"/>
  <c r="O454" i="1"/>
  <c r="V454" i="1"/>
  <c r="Z454" i="1"/>
  <c r="AB454" i="1"/>
  <c r="AC454" i="1"/>
  <c r="AD454" i="1"/>
  <c r="AG454" i="1"/>
  <c r="AH454" i="1"/>
  <c r="AI454" i="1"/>
  <c r="AJ454" i="1"/>
  <c r="AK454" i="1"/>
  <c r="AM454" i="1"/>
  <c r="AN454" i="1"/>
  <c r="AO454" i="1"/>
  <c r="AP454" i="1"/>
  <c r="AQ454" i="1"/>
  <c r="A455" i="1"/>
  <c r="B455" i="1"/>
  <c r="C455" i="1"/>
  <c r="D455" i="1"/>
  <c r="E455" i="1"/>
  <c r="F455" i="1"/>
  <c r="G455" i="1"/>
  <c r="K455" i="1"/>
  <c r="N455" i="1"/>
  <c r="O455" i="1"/>
  <c r="V455" i="1"/>
  <c r="Z455" i="1"/>
  <c r="AB455" i="1"/>
  <c r="AC455" i="1"/>
  <c r="AD455" i="1"/>
  <c r="AG455" i="1"/>
  <c r="AH455" i="1"/>
  <c r="AI455" i="1"/>
  <c r="AJ455" i="1"/>
  <c r="AK455" i="1"/>
  <c r="AM455" i="1"/>
  <c r="AN455" i="1"/>
  <c r="AO455" i="1"/>
  <c r="AP455" i="1"/>
  <c r="AQ455" i="1"/>
  <c r="A456" i="1"/>
  <c r="B456" i="1"/>
  <c r="C456" i="1"/>
  <c r="D456" i="1"/>
  <c r="E456" i="1"/>
  <c r="F456" i="1"/>
  <c r="G456" i="1"/>
  <c r="K456" i="1"/>
  <c r="N456" i="1"/>
  <c r="O456" i="1"/>
  <c r="V456" i="1"/>
  <c r="Z456" i="1"/>
  <c r="AB456" i="1"/>
  <c r="AC456" i="1"/>
  <c r="AD456" i="1"/>
  <c r="AG456" i="1"/>
  <c r="AH456" i="1"/>
  <c r="AI456" i="1"/>
  <c r="AJ456" i="1"/>
  <c r="AK456" i="1"/>
  <c r="AM456" i="1"/>
  <c r="AN456" i="1"/>
  <c r="AO456" i="1"/>
  <c r="AP456" i="1"/>
  <c r="AQ456" i="1"/>
  <c r="A457" i="1"/>
  <c r="B457" i="1"/>
  <c r="C457" i="1"/>
  <c r="D457" i="1"/>
  <c r="E457" i="1"/>
  <c r="F457" i="1"/>
  <c r="G457" i="1"/>
  <c r="K457" i="1"/>
  <c r="N457" i="1"/>
  <c r="O457" i="1"/>
  <c r="V457" i="1"/>
  <c r="Z457" i="1"/>
  <c r="AB457" i="1"/>
  <c r="AC457" i="1"/>
  <c r="AD457" i="1"/>
  <c r="AG457" i="1"/>
  <c r="AH457" i="1"/>
  <c r="AI457" i="1"/>
  <c r="AJ457" i="1"/>
  <c r="AK457" i="1"/>
  <c r="AM457" i="1"/>
  <c r="AN457" i="1"/>
  <c r="AO457" i="1"/>
  <c r="AP457" i="1"/>
  <c r="AQ457" i="1"/>
  <c r="A458" i="1"/>
  <c r="B458" i="1"/>
  <c r="C458" i="1"/>
  <c r="D458" i="1"/>
  <c r="E458" i="1"/>
  <c r="F458" i="1"/>
  <c r="G458" i="1"/>
  <c r="K458" i="1"/>
  <c r="N458" i="1"/>
  <c r="O458" i="1"/>
  <c r="V458" i="1"/>
  <c r="Z458" i="1"/>
  <c r="AB458" i="1"/>
  <c r="AC458" i="1"/>
  <c r="AD458" i="1"/>
  <c r="AG458" i="1"/>
  <c r="AH458" i="1"/>
  <c r="AI458" i="1"/>
  <c r="AJ458" i="1"/>
  <c r="AK458" i="1"/>
  <c r="AM458" i="1"/>
  <c r="AN458" i="1"/>
  <c r="AO458" i="1"/>
  <c r="AP458" i="1"/>
  <c r="AQ458" i="1"/>
  <c r="A459" i="1"/>
  <c r="B459" i="1"/>
  <c r="C459" i="1"/>
  <c r="D459" i="1"/>
  <c r="E459" i="1"/>
  <c r="F459" i="1"/>
  <c r="G459" i="1"/>
  <c r="K459" i="1"/>
  <c r="N459" i="1"/>
  <c r="O459" i="1"/>
  <c r="V459" i="1"/>
  <c r="Z459" i="1"/>
  <c r="AB459" i="1"/>
  <c r="AC459" i="1"/>
  <c r="AD459" i="1"/>
  <c r="AG459" i="1"/>
  <c r="AH459" i="1"/>
  <c r="AI459" i="1"/>
  <c r="AJ459" i="1"/>
  <c r="AK459" i="1"/>
  <c r="AM459" i="1"/>
  <c r="AN459" i="1"/>
  <c r="AO459" i="1"/>
  <c r="AP459" i="1"/>
  <c r="AQ459" i="1"/>
  <c r="A460" i="1"/>
  <c r="B460" i="1"/>
  <c r="C460" i="1"/>
  <c r="D460" i="1"/>
  <c r="E460" i="1"/>
  <c r="F460" i="1"/>
  <c r="G460" i="1"/>
  <c r="K460" i="1"/>
  <c r="N460" i="1"/>
  <c r="O460" i="1"/>
  <c r="V460" i="1"/>
  <c r="Z460" i="1"/>
  <c r="AB460" i="1"/>
  <c r="AC460" i="1"/>
  <c r="AD460" i="1"/>
  <c r="AG460" i="1"/>
  <c r="AH460" i="1"/>
  <c r="AI460" i="1"/>
  <c r="AJ460" i="1"/>
  <c r="AK460" i="1"/>
  <c r="AM460" i="1"/>
  <c r="AN460" i="1"/>
  <c r="AO460" i="1"/>
  <c r="AP460" i="1"/>
  <c r="AQ460" i="1"/>
  <c r="A461" i="1"/>
  <c r="B461" i="1"/>
  <c r="C461" i="1"/>
  <c r="D461" i="1"/>
  <c r="E461" i="1"/>
  <c r="F461" i="1"/>
  <c r="G461" i="1"/>
  <c r="K461" i="1"/>
  <c r="N461" i="1"/>
  <c r="O461" i="1"/>
  <c r="V461" i="1"/>
  <c r="Z461" i="1"/>
  <c r="AB461" i="1"/>
  <c r="AC461" i="1"/>
  <c r="AD461" i="1"/>
  <c r="AG461" i="1"/>
  <c r="AH461" i="1"/>
  <c r="AI461" i="1"/>
  <c r="AJ461" i="1"/>
  <c r="AK461" i="1"/>
  <c r="AM461" i="1"/>
  <c r="AN461" i="1"/>
  <c r="AO461" i="1"/>
  <c r="AP461" i="1"/>
  <c r="AQ461" i="1"/>
  <c r="A462" i="1"/>
  <c r="B462" i="1"/>
  <c r="C462" i="1"/>
  <c r="D462" i="1"/>
  <c r="E462" i="1"/>
  <c r="F462" i="1"/>
  <c r="G462" i="1"/>
  <c r="K462" i="1"/>
  <c r="N462" i="1"/>
  <c r="O462" i="1"/>
  <c r="V462" i="1"/>
  <c r="Z462" i="1"/>
  <c r="AB462" i="1"/>
  <c r="AC462" i="1"/>
  <c r="AD462" i="1"/>
  <c r="AG462" i="1"/>
  <c r="AH462" i="1"/>
  <c r="AI462" i="1"/>
  <c r="AJ462" i="1"/>
  <c r="AK462" i="1"/>
  <c r="AM462" i="1"/>
  <c r="AN462" i="1"/>
  <c r="AO462" i="1"/>
  <c r="AP462" i="1"/>
  <c r="AQ462" i="1"/>
  <c r="A463" i="1"/>
  <c r="B463" i="1"/>
  <c r="C463" i="1"/>
  <c r="D463" i="1"/>
  <c r="E463" i="1"/>
  <c r="F463" i="1"/>
  <c r="G463" i="1"/>
  <c r="K463" i="1"/>
  <c r="N463" i="1"/>
  <c r="O463" i="1"/>
  <c r="S463" i="1"/>
  <c r="U463" i="1"/>
  <c r="V463" i="1"/>
  <c r="Z463" i="1"/>
  <c r="AB463" i="1"/>
  <c r="AC463" i="1"/>
  <c r="AD463" i="1"/>
  <c r="AG463" i="1"/>
  <c r="AH463" i="1"/>
  <c r="AI463" i="1"/>
  <c r="AJ463" i="1"/>
  <c r="AK463" i="1"/>
  <c r="AM463" i="1"/>
  <c r="AN463" i="1"/>
  <c r="AO463" i="1"/>
  <c r="AP463" i="1"/>
  <c r="AQ463" i="1"/>
  <c r="A464" i="1"/>
  <c r="B464" i="1"/>
  <c r="C464" i="1"/>
  <c r="D464" i="1"/>
  <c r="E464" i="1"/>
  <c r="F464" i="1"/>
  <c r="G464" i="1"/>
  <c r="K464" i="1"/>
  <c r="N464" i="1"/>
  <c r="O464" i="1"/>
  <c r="V464" i="1"/>
  <c r="Z464" i="1"/>
  <c r="AB464" i="1"/>
  <c r="AC464" i="1"/>
  <c r="AD464" i="1"/>
  <c r="AG464" i="1"/>
  <c r="AH464" i="1"/>
  <c r="AI464" i="1"/>
  <c r="AJ464" i="1"/>
  <c r="AK464" i="1"/>
  <c r="AM464" i="1"/>
  <c r="AN464" i="1"/>
  <c r="AO464" i="1"/>
  <c r="AP464" i="1"/>
  <c r="AQ464" i="1"/>
  <c r="A465" i="1"/>
  <c r="B465" i="1"/>
  <c r="C465" i="1"/>
  <c r="D465" i="1"/>
  <c r="E465" i="1"/>
  <c r="F465" i="1"/>
  <c r="G465" i="1"/>
  <c r="K465" i="1"/>
  <c r="N465" i="1"/>
  <c r="O465" i="1"/>
  <c r="V465" i="1"/>
  <c r="Z465" i="1"/>
  <c r="AB465" i="1"/>
  <c r="AC465" i="1"/>
  <c r="AD465" i="1"/>
  <c r="AG465" i="1"/>
  <c r="AH465" i="1"/>
  <c r="AI465" i="1"/>
  <c r="AJ465" i="1"/>
  <c r="AK465" i="1"/>
  <c r="AM465" i="1"/>
  <c r="AN465" i="1"/>
  <c r="AO465" i="1"/>
  <c r="AP465" i="1"/>
  <c r="AQ465" i="1"/>
  <c r="A466" i="1"/>
  <c r="B466" i="1"/>
  <c r="C466" i="1"/>
  <c r="D466" i="1"/>
  <c r="E466" i="1"/>
  <c r="F466" i="1"/>
  <c r="G466" i="1"/>
  <c r="N466" i="1"/>
  <c r="V466" i="1"/>
  <c r="Z466" i="1"/>
  <c r="AB466" i="1"/>
  <c r="AC466" i="1"/>
  <c r="AD466" i="1"/>
  <c r="AG466" i="1"/>
  <c r="AH466" i="1"/>
  <c r="AI466" i="1"/>
  <c r="AJ466" i="1"/>
  <c r="AK466" i="1"/>
  <c r="AM466" i="1"/>
  <c r="AN466" i="1"/>
  <c r="AO466" i="1"/>
  <c r="AP466" i="1"/>
  <c r="AQ466" i="1"/>
  <c r="A467" i="1"/>
  <c r="B467" i="1"/>
  <c r="C467" i="1"/>
  <c r="D467" i="1"/>
  <c r="E467" i="1"/>
  <c r="F467" i="1"/>
  <c r="G467" i="1"/>
  <c r="N467" i="1"/>
  <c r="V467" i="1"/>
  <c r="Z467" i="1"/>
  <c r="AB467" i="1"/>
  <c r="AC467" i="1"/>
  <c r="AD467" i="1"/>
  <c r="AG467" i="1"/>
  <c r="AH467" i="1"/>
  <c r="AI467" i="1"/>
  <c r="AJ467" i="1"/>
  <c r="AK467" i="1"/>
  <c r="AM467" i="1"/>
  <c r="AN467" i="1"/>
  <c r="AO467" i="1"/>
  <c r="AP467" i="1"/>
  <c r="AQ467" i="1"/>
  <c r="A468" i="1"/>
  <c r="B468" i="1"/>
  <c r="C468" i="1"/>
  <c r="D468" i="1"/>
  <c r="E468" i="1"/>
  <c r="F468" i="1"/>
  <c r="G468" i="1"/>
  <c r="K468" i="1"/>
  <c r="N468" i="1"/>
  <c r="O468" i="1"/>
  <c r="V468" i="1"/>
  <c r="Z468" i="1"/>
  <c r="AB468" i="1"/>
  <c r="AC468" i="1"/>
  <c r="AD468" i="1"/>
  <c r="AG468" i="1"/>
  <c r="AH468" i="1"/>
  <c r="AI468" i="1"/>
  <c r="AJ468" i="1"/>
  <c r="AK468" i="1"/>
  <c r="AM468" i="1"/>
  <c r="AN468" i="1"/>
  <c r="AO468" i="1"/>
  <c r="AP468" i="1"/>
  <c r="AQ468" i="1"/>
  <c r="A469" i="1"/>
  <c r="B469" i="1"/>
  <c r="C469" i="1"/>
  <c r="D469" i="1"/>
  <c r="E469" i="1"/>
  <c r="F469" i="1"/>
  <c r="G469" i="1"/>
  <c r="K469" i="1"/>
  <c r="N469" i="1"/>
  <c r="O469" i="1"/>
  <c r="V469" i="1"/>
  <c r="Z469" i="1"/>
  <c r="AB469" i="1"/>
  <c r="AC469" i="1"/>
  <c r="AD469" i="1"/>
  <c r="AG469" i="1"/>
  <c r="AH469" i="1"/>
  <c r="AI469" i="1"/>
  <c r="AJ469" i="1"/>
  <c r="AK469" i="1"/>
  <c r="AM469" i="1"/>
  <c r="AN469" i="1"/>
  <c r="AO469" i="1"/>
  <c r="AP469" i="1"/>
  <c r="AQ469" i="1"/>
  <c r="A470" i="1"/>
  <c r="B470" i="1"/>
  <c r="C470" i="1"/>
  <c r="D470" i="1"/>
  <c r="E470" i="1"/>
  <c r="F470" i="1"/>
  <c r="G470" i="1"/>
  <c r="K470" i="1"/>
  <c r="N470" i="1"/>
  <c r="O470" i="1"/>
  <c r="V470" i="1"/>
  <c r="Z470" i="1"/>
  <c r="AB470" i="1"/>
  <c r="AC470" i="1"/>
  <c r="AD470" i="1"/>
  <c r="AG470" i="1"/>
  <c r="AH470" i="1"/>
  <c r="AI470" i="1"/>
  <c r="AJ470" i="1"/>
  <c r="AK470" i="1"/>
  <c r="AM470" i="1"/>
  <c r="AN470" i="1"/>
  <c r="AO470" i="1"/>
  <c r="AP470" i="1"/>
  <c r="AQ470" i="1"/>
  <c r="A471" i="1"/>
  <c r="B471" i="1"/>
  <c r="C471" i="1"/>
  <c r="D471" i="1"/>
  <c r="E471" i="1"/>
  <c r="F471" i="1"/>
  <c r="G471" i="1"/>
  <c r="N471" i="1"/>
  <c r="V471" i="1"/>
  <c r="Z471" i="1"/>
  <c r="AB471" i="1"/>
  <c r="AC471" i="1"/>
  <c r="AD471" i="1"/>
  <c r="AG471" i="1"/>
  <c r="AH471" i="1"/>
  <c r="AI471" i="1"/>
  <c r="AJ471" i="1"/>
  <c r="AK471" i="1"/>
  <c r="AM471" i="1"/>
  <c r="AN471" i="1"/>
  <c r="AO471" i="1"/>
  <c r="AP471" i="1"/>
  <c r="AQ471" i="1"/>
  <c r="A472" i="1"/>
  <c r="B472" i="1"/>
  <c r="C472" i="1"/>
  <c r="D472" i="1"/>
  <c r="E472" i="1"/>
  <c r="F472" i="1"/>
  <c r="G472" i="1"/>
  <c r="K472" i="1"/>
  <c r="N472" i="1"/>
  <c r="O472" i="1"/>
  <c r="V472" i="1"/>
  <c r="Z472" i="1"/>
  <c r="AB472" i="1"/>
  <c r="AC472" i="1"/>
  <c r="AD472" i="1"/>
  <c r="AG472" i="1"/>
  <c r="AH472" i="1"/>
  <c r="AI472" i="1"/>
  <c r="AJ472" i="1"/>
  <c r="AK472" i="1"/>
  <c r="AM472" i="1"/>
  <c r="AN472" i="1"/>
  <c r="AO472" i="1"/>
  <c r="AP472" i="1"/>
  <c r="AQ472" i="1"/>
  <c r="A473" i="1"/>
  <c r="B473" i="1"/>
  <c r="C473" i="1"/>
  <c r="D473" i="1"/>
  <c r="E473" i="1"/>
  <c r="F473" i="1"/>
  <c r="G473" i="1"/>
  <c r="K473" i="1"/>
  <c r="N473" i="1"/>
  <c r="O473" i="1"/>
  <c r="V473" i="1"/>
  <c r="Z473" i="1"/>
  <c r="AB473" i="1"/>
  <c r="AC473" i="1"/>
  <c r="AD473" i="1"/>
  <c r="AG473" i="1"/>
  <c r="AH473" i="1"/>
  <c r="AI473" i="1"/>
  <c r="AJ473" i="1"/>
  <c r="AK473" i="1"/>
  <c r="AM473" i="1"/>
  <c r="AN473" i="1"/>
  <c r="AO473" i="1"/>
  <c r="AP473" i="1"/>
  <c r="AQ473" i="1"/>
  <c r="A474" i="1"/>
  <c r="B474" i="1"/>
  <c r="C474" i="1"/>
  <c r="D474" i="1"/>
  <c r="E474" i="1"/>
  <c r="F474" i="1"/>
  <c r="G474" i="1"/>
  <c r="K474" i="1"/>
  <c r="N474" i="1"/>
  <c r="V474" i="1"/>
  <c r="Z474" i="1"/>
  <c r="AB474" i="1"/>
  <c r="AC474" i="1"/>
  <c r="AD474" i="1"/>
  <c r="AG474" i="1"/>
  <c r="AH474" i="1"/>
  <c r="AI474" i="1"/>
  <c r="AJ474" i="1"/>
  <c r="AK474" i="1"/>
  <c r="AM474" i="1"/>
  <c r="AN474" i="1"/>
  <c r="AO474" i="1"/>
  <c r="AP474" i="1"/>
  <c r="AQ474" i="1"/>
  <c r="A475" i="1"/>
  <c r="B475" i="1"/>
  <c r="C475" i="1"/>
  <c r="D475" i="1"/>
  <c r="E475" i="1"/>
  <c r="F475" i="1"/>
  <c r="G475" i="1"/>
  <c r="K475" i="1"/>
  <c r="N475" i="1"/>
  <c r="O475" i="1"/>
  <c r="V475" i="1"/>
  <c r="Z475" i="1"/>
  <c r="AB475" i="1"/>
  <c r="AC475" i="1"/>
  <c r="AD475" i="1"/>
  <c r="AG475" i="1"/>
  <c r="AH475" i="1"/>
  <c r="AI475" i="1"/>
  <c r="AJ475" i="1"/>
  <c r="AK475" i="1"/>
  <c r="AM475" i="1"/>
  <c r="AN475" i="1"/>
  <c r="AO475" i="1"/>
  <c r="AP475" i="1"/>
  <c r="AQ475" i="1"/>
  <c r="A476" i="1"/>
  <c r="B476" i="1"/>
  <c r="C476" i="1"/>
  <c r="D476" i="1"/>
  <c r="E476" i="1"/>
  <c r="F476" i="1"/>
  <c r="G476" i="1"/>
  <c r="K476" i="1"/>
  <c r="N476" i="1"/>
  <c r="O476" i="1"/>
  <c r="V476" i="1"/>
  <c r="Z476" i="1"/>
  <c r="AB476" i="1"/>
  <c r="AC476" i="1"/>
  <c r="AD476" i="1"/>
  <c r="AG476" i="1"/>
  <c r="AH476" i="1"/>
  <c r="AI476" i="1"/>
  <c r="AJ476" i="1"/>
  <c r="AK476" i="1"/>
  <c r="AM476" i="1"/>
  <c r="AN476" i="1"/>
  <c r="AO476" i="1"/>
  <c r="AP476" i="1"/>
  <c r="AQ476" i="1"/>
  <c r="A477" i="1"/>
  <c r="B477" i="1"/>
  <c r="C477" i="1"/>
  <c r="D477" i="1"/>
  <c r="E477" i="1"/>
  <c r="F477" i="1"/>
  <c r="G477" i="1"/>
  <c r="K477" i="1"/>
  <c r="N477" i="1"/>
  <c r="O477" i="1"/>
  <c r="V477" i="1"/>
  <c r="Z477" i="1"/>
  <c r="AB477" i="1"/>
  <c r="AC477" i="1"/>
  <c r="AD477" i="1"/>
  <c r="AG477" i="1"/>
  <c r="AH477" i="1"/>
  <c r="AI477" i="1"/>
  <c r="AJ477" i="1"/>
  <c r="AK477" i="1"/>
  <c r="AM477" i="1"/>
  <c r="AN477" i="1"/>
  <c r="AO477" i="1"/>
  <c r="AP477" i="1"/>
  <c r="AQ477" i="1"/>
  <c r="A478" i="1"/>
  <c r="B478" i="1"/>
  <c r="C478" i="1"/>
  <c r="D478" i="1"/>
  <c r="E478" i="1"/>
  <c r="F478" i="1"/>
  <c r="G478" i="1"/>
  <c r="K478" i="1"/>
  <c r="N478" i="1"/>
  <c r="O478" i="1"/>
  <c r="V478" i="1"/>
  <c r="Z478" i="1"/>
  <c r="AB478" i="1"/>
  <c r="AC478" i="1"/>
  <c r="AD478" i="1"/>
  <c r="AG478" i="1"/>
  <c r="AH478" i="1"/>
  <c r="AI478" i="1"/>
  <c r="AJ478" i="1"/>
  <c r="AK478" i="1"/>
  <c r="AM478" i="1"/>
  <c r="AN478" i="1"/>
  <c r="AO478" i="1"/>
  <c r="AP478" i="1"/>
  <c r="AQ478" i="1"/>
  <c r="A479" i="1"/>
  <c r="B479" i="1"/>
  <c r="C479" i="1"/>
  <c r="D479" i="1"/>
  <c r="E479" i="1"/>
  <c r="F479" i="1"/>
  <c r="G479" i="1"/>
  <c r="N479" i="1"/>
  <c r="V479" i="1"/>
  <c r="Z479" i="1"/>
  <c r="AB479" i="1"/>
  <c r="AC479" i="1"/>
  <c r="AD479" i="1"/>
  <c r="AG479" i="1"/>
  <c r="AH479" i="1"/>
  <c r="AI479" i="1"/>
  <c r="AJ479" i="1"/>
  <c r="AK479" i="1"/>
  <c r="AM479" i="1"/>
  <c r="AN479" i="1"/>
  <c r="AO479" i="1"/>
  <c r="AP479" i="1"/>
  <c r="AQ479" i="1"/>
  <c r="A480" i="1"/>
  <c r="B480" i="1"/>
  <c r="C480" i="1"/>
  <c r="D480" i="1"/>
  <c r="E480" i="1"/>
  <c r="F480" i="1"/>
  <c r="G480" i="1"/>
  <c r="K480" i="1"/>
  <c r="N480" i="1"/>
  <c r="O480" i="1"/>
  <c r="V480" i="1"/>
  <c r="Z480" i="1"/>
  <c r="AB480" i="1"/>
  <c r="AC480" i="1"/>
  <c r="AD480" i="1"/>
  <c r="AG480" i="1"/>
  <c r="AH480" i="1"/>
  <c r="AI480" i="1"/>
  <c r="AJ480" i="1"/>
  <c r="AK480" i="1"/>
  <c r="AM480" i="1"/>
  <c r="AN480" i="1"/>
  <c r="AO480" i="1"/>
  <c r="AP480" i="1"/>
  <c r="AQ480" i="1"/>
  <c r="A481" i="1"/>
  <c r="B481" i="1"/>
  <c r="C481" i="1"/>
  <c r="D481" i="1"/>
  <c r="E481" i="1"/>
  <c r="F481" i="1"/>
  <c r="G481" i="1"/>
  <c r="N481" i="1"/>
  <c r="Z481" i="1"/>
  <c r="AB481" i="1"/>
  <c r="AC481" i="1"/>
  <c r="AD481" i="1"/>
  <c r="AG481" i="1"/>
  <c r="AH481" i="1"/>
  <c r="AI481" i="1"/>
  <c r="AJ481" i="1"/>
  <c r="AK481" i="1"/>
  <c r="AM481" i="1"/>
  <c r="AN481" i="1"/>
  <c r="AO481" i="1"/>
  <c r="AP481" i="1"/>
  <c r="AQ481" i="1"/>
  <c r="A482" i="1"/>
  <c r="B482" i="1"/>
  <c r="C482" i="1"/>
  <c r="D482" i="1"/>
  <c r="E482" i="1"/>
  <c r="F482" i="1"/>
  <c r="G482" i="1"/>
  <c r="K482" i="1"/>
  <c r="N482" i="1"/>
  <c r="O482" i="1"/>
  <c r="V482" i="1"/>
  <c r="Z482" i="1"/>
  <c r="AB482" i="1"/>
  <c r="AC482" i="1"/>
  <c r="AD482" i="1"/>
  <c r="AG482" i="1"/>
  <c r="AH482" i="1"/>
  <c r="AI482" i="1"/>
  <c r="AJ482" i="1"/>
  <c r="AK482" i="1"/>
  <c r="AM482" i="1"/>
  <c r="AN482" i="1"/>
  <c r="AO482" i="1"/>
  <c r="AP482" i="1"/>
  <c r="AQ482" i="1"/>
  <c r="A483" i="1"/>
  <c r="B483" i="1"/>
  <c r="C483" i="1"/>
  <c r="D483" i="1"/>
  <c r="E483" i="1"/>
  <c r="F483" i="1"/>
  <c r="G483" i="1"/>
  <c r="K483" i="1"/>
  <c r="N483" i="1"/>
  <c r="O483" i="1"/>
  <c r="V483" i="1"/>
  <c r="Z483" i="1"/>
  <c r="AB483" i="1"/>
  <c r="AC483" i="1"/>
  <c r="AD483" i="1"/>
  <c r="AG483" i="1"/>
  <c r="AH483" i="1"/>
  <c r="AI483" i="1"/>
  <c r="AJ483" i="1"/>
  <c r="AK483" i="1"/>
  <c r="AM483" i="1"/>
  <c r="AN483" i="1"/>
  <c r="AO483" i="1"/>
  <c r="AP483" i="1"/>
  <c r="AQ483" i="1"/>
  <c r="A484" i="1"/>
  <c r="B484" i="1"/>
  <c r="C484" i="1"/>
  <c r="D484" i="1"/>
  <c r="E484" i="1"/>
  <c r="F484" i="1"/>
  <c r="G484" i="1"/>
  <c r="K484" i="1"/>
  <c r="N484" i="1"/>
  <c r="O484" i="1"/>
  <c r="V484" i="1"/>
  <c r="Z484" i="1"/>
  <c r="AB484" i="1"/>
  <c r="AC484" i="1"/>
  <c r="AD484" i="1"/>
  <c r="AG484" i="1"/>
  <c r="AH484" i="1"/>
  <c r="AI484" i="1"/>
  <c r="AJ484" i="1"/>
  <c r="AK484" i="1"/>
  <c r="AM484" i="1"/>
  <c r="AN484" i="1"/>
  <c r="AO484" i="1"/>
  <c r="AP484" i="1"/>
  <c r="AQ484" i="1"/>
  <c r="A485" i="1"/>
  <c r="B485" i="1"/>
  <c r="C485" i="1"/>
  <c r="D485" i="1"/>
  <c r="E485" i="1"/>
  <c r="F485" i="1"/>
  <c r="G485" i="1"/>
  <c r="N485" i="1"/>
  <c r="V485" i="1"/>
  <c r="Z485" i="1"/>
  <c r="AB485" i="1"/>
  <c r="AC485" i="1"/>
  <c r="AD485" i="1"/>
  <c r="AG485" i="1"/>
  <c r="AH485" i="1"/>
  <c r="AI485" i="1"/>
  <c r="AJ485" i="1"/>
  <c r="AK485" i="1"/>
  <c r="AM485" i="1"/>
  <c r="AN485" i="1"/>
  <c r="AO485" i="1"/>
  <c r="AP485" i="1"/>
  <c r="AQ485" i="1"/>
  <c r="A486" i="1"/>
  <c r="B486" i="1"/>
  <c r="C486" i="1"/>
  <c r="D486" i="1"/>
  <c r="E486" i="1"/>
  <c r="F486" i="1"/>
  <c r="G486" i="1"/>
  <c r="N486" i="1"/>
  <c r="V486" i="1"/>
  <c r="Z486" i="1"/>
  <c r="AB486" i="1"/>
  <c r="AC486" i="1"/>
  <c r="AD486" i="1"/>
  <c r="AG486" i="1"/>
  <c r="AH486" i="1"/>
  <c r="AI486" i="1"/>
  <c r="AJ486" i="1"/>
  <c r="AK486" i="1"/>
  <c r="AM486" i="1"/>
  <c r="AN486" i="1"/>
  <c r="AO486" i="1"/>
  <c r="AP486" i="1"/>
  <c r="AQ486" i="1"/>
  <c r="A487" i="1"/>
  <c r="B487" i="1"/>
  <c r="C487" i="1"/>
  <c r="D487" i="1"/>
  <c r="E487" i="1"/>
  <c r="F487" i="1"/>
  <c r="G487" i="1"/>
  <c r="N487" i="1"/>
  <c r="V487" i="1"/>
  <c r="Z487" i="1"/>
  <c r="AB487" i="1"/>
  <c r="AC487" i="1"/>
  <c r="AD487" i="1"/>
  <c r="AG487" i="1"/>
  <c r="AH487" i="1"/>
  <c r="AI487" i="1"/>
  <c r="AJ487" i="1"/>
  <c r="AK487" i="1"/>
  <c r="AM487" i="1"/>
  <c r="AN487" i="1"/>
  <c r="AO487" i="1"/>
  <c r="AP487" i="1"/>
  <c r="AQ487" i="1"/>
  <c r="A488" i="1"/>
  <c r="B488" i="1"/>
  <c r="C488" i="1"/>
  <c r="D488" i="1"/>
  <c r="E488" i="1"/>
  <c r="F488" i="1"/>
  <c r="G488" i="1"/>
  <c r="N488" i="1"/>
  <c r="V488" i="1"/>
  <c r="Z488" i="1"/>
  <c r="AB488" i="1"/>
  <c r="AC488" i="1"/>
  <c r="AD488" i="1"/>
  <c r="AG488" i="1"/>
  <c r="AH488" i="1"/>
  <c r="AI488" i="1"/>
  <c r="AJ488" i="1"/>
  <c r="AK488" i="1"/>
  <c r="AM488" i="1"/>
  <c r="AN488" i="1"/>
  <c r="AO488" i="1"/>
  <c r="AP488" i="1"/>
  <c r="AQ488" i="1"/>
  <c r="A489" i="1"/>
  <c r="B489" i="1"/>
  <c r="C489" i="1"/>
  <c r="D489" i="1"/>
  <c r="E489" i="1"/>
  <c r="F489" i="1"/>
  <c r="G489" i="1"/>
  <c r="M489" i="1"/>
  <c r="N489" i="1"/>
  <c r="V489" i="1"/>
  <c r="Z489" i="1"/>
  <c r="AB489" i="1"/>
  <c r="AC489" i="1"/>
  <c r="AD489" i="1"/>
  <c r="AG489" i="1"/>
  <c r="AH489" i="1"/>
  <c r="AI489" i="1"/>
  <c r="AJ489" i="1"/>
  <c r="AK489" i="1"/>
  <c r="AM489" i="1"/>
  <c r="AN489" i="1"/>
  <c r="AO489" i="1"/>
  <c r="AP489" i="1"/>
  <c r="AQ489" i="1"/>
  <c r="A490" i="1"/>
  <c r="B490" i="1"/>
  <c r="C490" i="1"/>
  <c r="D490" i="1"/>
  <c r="E490" i="1"/>
  <c r="F490" i="1"/>
  <c r="G490" i="1"/>
  <c r="K490" i="1"/>
  <c r="N490" i="1"/>
  <c r="O490" i="1"/>
  <c r="V490" i="1"/>
  <c r="Z490" i="1"/>
  <c r="AB490" i="1"/>
  <c r="AC490" i="1"/>
  <c r="AD490" i="1"/>
  <c r="AG490" i="1"/>
  <c r="AH490" i="1"/>
  <c r="AI490" i="1"/>
  <c r="AJ490" i="1"/>
  <c r="AK490" i="1"/>
  <c r="AM490" i="1"/>
  <c r="AN490" i="1"/>
  <c r="AO490" i="1"/>
  <c r="AP490" i="1"/>
  <c r="AQ490" i="1"/>
  <c r="A491" i="1"/>
  <c r="B491" i="1"/>
  <c r="C491" i="1"/>
  <c r="D491" i="1"/>
  <c r="E491" i="1"/>
  <c r="F491" i="1"/>
  <c r="G491" i="1"/>
  <c r="N491" i="1"/>
  <c r="V491" i="1"/>
  <c r="Z491" i="1"/>
  <c r="AB491" i="1"/>
  <c r="AC491" i="1"/>
  <c r="AD491" i="1"/>
  <c r="AG491" i="1"/>
  <c r="AH491" i="1"/>
  <c r="AI491" i="1"/>
  <c r="AJ491" i="1"/>
  <c r="AK491" i="1"/>
  <c r="AM491" i="1"/>
  <c r="AN491" i="1"/>
  <c r="AO491" i="1"/>
  <c r="AP491" i="1"/>
  <c r="AQ491" i="1"/>
  <c r="A492" i="1"/>
  <c r="B492" i="1"/>
  <c r="C492" i="1"/>
  <c r="D492" i="1"/>
  <c r="E492" i="1"/>
  <c r="F492" i="1"/>
  <c r="G492" i="1"/>
  <c r="K492" i="1"/>
  <c r="N492" i="1"/>
  <c r="O492" i="1"/>
  <c r="V492" i="1"/>
  <c r="Z492" i="1"/>
  <c r="AB492" i="1"/>
  <c r="AC492" i="1"/>
  <c r="AD492" i="1"/>
  <c r="AG492" i="1"/>
  <c r="AH492" i="1"/>
  <c r="AI492" i="1"/>
  <c r="AJ492" i="1"/>
  <c r="AK492" i="1"/>
  <c r="AM492" i="1"/>
  <c r="AN492" i="1"/>
  <c r="AO492" i="1"/>
  <c r="AP492" i="1"/>
  <c r="AQ492" i="1"/>
  <c r="A493" i="1"/>
  <c r="B493" i="1"/>
  <c r="C493" i="1"/>
  <c r="D493" i="1"/>
  <c r="E493" i="1"/>
  <c r="F493" i="1"/>
  <c r="G493" i="1"/>
  <c r="K493" i="1"/>
  <c r="N493" i="1"/>
  <c r="O493" i="1"/>
  <c r="V493" i="1"/>
  <c r="Z493" i="1"/>
  <c r="AB493" i="1"/>
  <c r="AC493" i="1"/>
  <c r="AD493" i="1"/>
  <c r="AG493" i="1"/>
  <c r="AH493" i="1"/>
  <c r="AI493" i="1"/>
  <c r="AJ493" i="1"/>
  <c r="AK493" i="1"/>
  <c r="AM493" i="1"/>
  <c r="AN493" i="1"/>
  <c r="AO493" i="1"/>
  <c r="AP493" i="1"/>
  <c r="AQ493" i="1"/>
  <c r="A494" i="1"/>
  <c r="B494" i="1"/>
  <c r="C494" i="1"/>
  <c r="D494" i="1"/>
  <c r="E494" i="1"/>
  <c r="F494" i="1"/>
  <c r="G494" i="1"/>
  <c r="K494" i="1"/>
  <c r="N494" i="1"/>
  <c r="O494" i="1"/>
  <c r="V494" i="1"/>
  <c r="Z494" i="1"/>
  <c r="AB494" i="1"/>
  <c r="AC494" i="1"/>
  <c r="AD494" i="1"/>
  <c r="AG494" i="1"/>
  <c r="AH494" i="1"/>
  <c r="AI494" i="1"/>
  <c r="AJ494" i="1"/>
  <c r="AK494" i="1"/>
  <c r="AM494" i="1"/>
  <c r="AN494" i="1"/>
  <c r="AO494" i="1"/>
  <c r="AP494" i="1"/>
  <c r="AQ494" i="1"/>
  <c r="A495" i="1"/>
  <c r="B495" i="1"/>
  <c r="C495" i="1"/>
  <c r="D495" i="1"/>
  <c r="E495" i="1"/>
  <c r="F495" i="1"/>
  <c r="G495" i="1"/>
  <c r="K495" i="1"/>
  <c r="N495" i="1"/>
  <c r="O495" i="1"/>
  <c r="V495" i="1"/>
  <c r="Z495" i="1"/>
  <c r="AB495" i="1"/>
  <c r="AC495" i="1"/>
  <c r="AD495" i="1"/>
  <c r="AG495" i="1"/>
  <c r="AH495" i="1"/>
  <c r="AI495" i="1"/>
  <c r="AJ495" i="1"/>
  <c r="AK495" i="1"/>
  <c r="AM495" i="1"/>
  <c r="AN495" i="1"/>
  <c r="AO495" i="1"/>
  <c r="AP495" i="1"/>
  <c r="AQ495" i="1"/>
  <c r="A496" i="1"/>
  <c r="B496" i="1"/>
  <c r="C496" i="1"/>
  <c r="D496" i="1"/>
  <c r="E496" i="1"/>
  <c r="F496" i="1"/>
  <c r="G496" i="1"/>
  <c r="K496" i="1"/>
  <c r="N496" i="1"/>
  <c r="O496" i="1"/>
  <c r="V496" i="1"/>
  <c r="Z496" i="1"/>
  <c r="AB496" i="1"/>
  <c r="AC496" i="1"/>
  <c r="AD496" i="1"/>
  <c r="AG496" i="1"/>
  <c r="AH496" i="1"/>
  <c r="AI496" i="1"/>
  <c r="AJ496" i="1"/>
  <c r="AK496" i="1"/>
  <c r="AM496" i="1"/>
  <c r="AN496" i="1"/>
  <c r="AO496" i="1"/>
  <c r="AP496" i="1"/>
  <c r="AQ496" i="1"/>
  <c r="A497" i="1"/>
  <c r="B497" i="1"/>
  <c r="C497" i="1"/>
  <c r="D497" i="1"/>
  <c r="E497" i="1"/>
  <c r="F497" i="1"/>
  <c r="G497" i="1"/>
  <c r="K497" i="1"/>
  <c r="N497" i="1"/>
  <c r="O497" i="1"/>
  <c r="V497" i="1"/>
  <c r="Z497" i="1"/>
  <c r="AB497" i="1"/>
  <c r="AC497" i="1"/>
  <c r="AD497" i="1"/>
  <c r="AG497" i="1"/>
  <c r="AH497" i="1"/>
  <c r="AI497" i="1"/>
  <c r="AJ497" i="1"/>
  <c r="AK497" i="1"/>
  <c r="AM497" i="1"/>
  <c r="AN497" i="1"/>
  <c r="AO497" i="1"/>
  <c r="AP497" i="1"/>
  <c r="AQ497" i="1"/>
  <c r="A498" i="1"/>
  <c r="B498" i="1"/>
  <c r="C498" i="1"/>
  <c r="D498" i="1"/>
  <c r="E498" i="1"/>
  <c r="F498" i="1"/>
  <c r="G498" i="1"/>
  <c r="K498" i="1"/>
  <c r="N498" i="1"/>
  <c r="O498" i="1"/>
  <c r="V498" i="1"/>
  <c r="Z498" i="1"/>
  <c r="AB498" i="1"/>
  <c r="AC498" i="1"/>
  <c r="AD498" i="1"/>
  <c r="AG498" i="1"/>
  <c r="AH498" i="1"/>
  <c r="AI498" i="1"/>
  <c r="AJ498" i="1"/>
  <c r="AK498" i="1"/>
  <c r="AM498" i="1"/>
  <c r="AN498" i="1"/>
  <c r="AO498" i="1"/>
  <c r="AP498" i="1"/>
  <c r="AQ498" i="1"/>
  <c r="A499" i="1"/>
  <c r="B499" i="1"/>
  <c r="C499" i="1"/>
  <c r="D499" i="1"/>
  <c r="E499" i="1"/>
  <c r="F499" i="1"/>
  <c r="G499" i="1"/>
  <c r="N499" i="1"/>
  <c r="V499" i="1"/>
  <c r="Z499" i="1"/>
  <c r="AB499" i="1"/>
  <c r="AC499" i="1"/>
  <c r="AD499" i="1"/>
  <c r="AG499" i="1"/>
  <c r="AH499" i="1"/>
  <c r="AI499" i="1"/>
  <c r="AJ499" i="1"/>
  <c r="AK499" i="1"/>
  <c r="AM499" i="1"/>
  <c r="AN499" i="1"/>
  <c r="AO499" i="1"/>
  <c r="AP499" i="1"/>
  <c r="AQ499" i="1"/>
  <c r="A500" i="1"/>
  <c r="B500" i="1"/>
  <c r="C500" i="1"/>
  <c r="D500" i="1"/>
  <c r="E500" i="1"/>
  <c r="F500" i="1"/>
  <c r="G500" i="1"/>
  <c r="N500" i="1"/>
  <c r="V500" i="1"/>
  <c r="Z500" i="1"/>
  <c r="AB500" i="1"/>
  <c r="AC500" i="1"/>
  <c r="AD500" i="1"/>
  <c r="AG500" i="1"/>
  <c r="AH500" i="1"/>
  <c r="AI500" i="1"/>
  <c r="AJ500" i="1"/>
  <c r="AK500" i="1"/>
  <c r="AM500" i="1"/>
  <c r="AN500" i="1"/>
  <c r="AO500" i="1"/>
  <c r="AP500" i="1"/>
  <c r="AQ500" i="1"/>
  <c r="A501" i="1"/>
  <c r="B501" i="1"/>
  <c r="C501" i="1"/>
  <c r="D501" i="1"/>
  <c r="E501" i="1"/>
  <c r="F501" i="1"/>
  <c r="G501" i="1"/>
  <c r="N501" i="1"/>
  <c r="V501" i="1"/>
  <c r="Z501" i="1"/>
  <c r="AB501" i="1"/>
  <c r="AC501" i="1"/>
  <c r="AD501" i="1"/>
  <c r="AG501" i="1"/>
  <c r="AH501" i="1"/>
  <c r="AI501" i="1"/>
  <c r="AJ501" i="1"/>
  <c r="AK501" i="1"/>
  <c r="AM501" i="1"/>
  <c r="AN501" i="1"/>
  <c r="AO501" i="1"/>
  <c r="AP501" i="1"/>
  <c r="AQ501" i="1"/>
  <c r="A502" i="1"/>
  <c r="B502" i="1"/>
  <c r="C502" i="1"/>
  <c r="D502" i="1"/>
  <c r="E502" i="1"/>
  <c r="F502" i="1"/>
  <c r="G502" i="1"/>
  <c r="K502" i="1"/>
  <c r="N502" i="1"/>
  <c r="O502" i="1"/>
  <c r="V502" i="1"/>
  <c r="Z502" i="1"/>
  <c r="AB502" i="1"/>
  <c r="AC502" i="1"/>
  <c r="AD502" i="1"/>
  <c r="AG502" i="1"/>
  <c r="AH502" i="1"/>
  <c r="AI502" i="1"/>
  <c r="AJ502" i="1"/>
  <c r="AK502" i="1"/>
  <c r="AM502" i="1"/>
  <c r="AN502" i="1"/>
  <c r="AO502" i="1"/>
  <c r="AP502" i="1"/>
  <c r="AQ502" i="1"/>
  <c r="A503" i="1"/>
  <c r="B503" i="1"/>
  <c r="C503" i="1"/>
  <c r="D503" i="1"/>
  <c r="E503" i="1"/>
  <c r="F503" i="1"/>
  <c r="G503" i="1"/>
  <c r="N503" i="1"/>
  <c r="O503" i="1"/>
  <c r="V503" i="1"/>
  <c r="Z503" i="1"/>
  <c r="AB503" i="1"/>
  <c r="AC503" i="1"/>
  <c r="AD503" i="1"/>
  <c r="AG503" i="1"/>
  <c r="AH503" i="1"/>
  <c r="AI503" i="1"/>
  <c r="AJ503" i="1"/>
  <c r="AK503" i="1"/>
  <c r="AM503" i="1"/>
  <c r="AN503" i="1"/>
  <c r="AO503" i="1"/>
  <c r="AP503" i="1"/>
  <c r="AQ503" i="1"/>
  <c r="A504" i="1"/>
  <c r="B504" i="1"/>
  <c r="C504" i="1"/>
  <c r="D504" i="1"/>
  <c r="E504" i="1"/>
  <c r="F504" i="1"/>
  <c r="G504" i="1"/>
  <c r="K504" i="1"/>
  <c r="N504" i="1"/>
  <c r="O504" i="1"/>
  <c r="V504" i="1"/>
  <c r="Z504" i="1"/>
  <c r="AB504" i="1"/>
  <c r="AC504" i="1"/>
  <c r="AD504" i="1"/>
  <c r="AG504" i="1"/>
  <c r="AH504" i="1"/>
  <c r="AI504" i="1"/>
  <c r="AJ504" i="1"/>
  <c r="AK504" i="1"/>
  <c r="AM504" i="1"/>
  <c r="AN504" i="1"/>
  <c r="AO504" i="1"/>
  <c r="AP504" i="1"/>
  <c r="AQ504" i="1"/>
  <c r="A505" i="1"/>
  <c r="B505" i="1"/>
  <c r="C505" i="1"/>
  <c r="D505" i="1"/>
  <c r="E505" i="1"/>
  <c r="F505" i="1"/>
  <c r="G505" i="1"/>
  <c r="K505" i="1"/>
  <c r="N505" i="1"/>
  <c r="O505" i="1"/>
  <c r="V505" i="1"/>
  <c r="Z505" i="1"/>
  <c r="AB505" i="1"/>
  <c r="AC505" i="1"/>
  <c r="AD505" i="1"/>
  <c r="AG505" i="1"/>
  <c r="AH505" i="1"/>
  <c r="AI505" i="1"/>
  <c r="AJ505" i="1"/>
  <c r="AK505" i="1"/>
  <c r="AM505" i="1"/>
  <c r="AN505" i="1"/>
  <c r="AO505" i="1"/>
  <c r="AP505" i="1"/>
  <c r="AQ505" i="1"/>
  <c r="A506" i="1"/>
  <c r="B506" i="1"/>
  <c r="C506" i="1"/>
  <c r="D506" i="1"/>
  <c r="E506" i="1"/>
  <c r="F506" i="1"/>
  <c r="G506" i="1"/>
  <c r="K506" i="1"/>
  <c r="N506" i="1"/>
  <c r="O506" i="1"/>
  <c r="S506" i="1"/>
  <c r="U506" i="1"/>
  <c r="V506" i="1"/>
  <c r="Z506" i="1"/>
  <c r="AB506" i="1"/>
  <c r="AC506" i="1"/>
  <c r="AD506" i="1"/>
  <c r="AG506" i="1"/>
  <c r="AH506" i="1"/>
  <c r="AI506" i="1"/>
  <c r="AJ506" i="1"/>
  <c r="AK506" i="1"/>
  <c r="AM506" i="1"/>
  <c r="AN506" i="1"/>
  <c r="AO506" i="1"/>
  <c r="AP506" i="1"/>
  <c r="AQ506" i="1"/>
  <c r="A507" i="1"/>
  <c r="B507" i="1"/>
  <c r="C507" i="1"/>
  <c r="D507" i="1"/>
  <c r="E507" i="1"/>
  <c r="F507" i="1"/>
  <c r="G507" i="1"/>
  <c r="K507" i="1"/>
  <c r="N507" i="1"/>
  <c r="O507" i="1"/>
  <c r="V507" i="1"/>
  <c r="Z507" i="1"/>
  <c r="AB507" i="1"/>
  <c r="AC507" i="1"/>
  <c r="AD507" i="1"/>
  <c r="AG507" i="1"/>
  <c r="AH507" i="1"/>
  <c r="AI507" i="1"/>
  <c r="AJ507" i="1"/>
  <c r="AK507" i="1"/>
  <c r="AM507" i="1"/>
  <c r="AN507" i="1"/>
  <c r="AO507" i="1"/>
  <c r="AP507" i="1"/>
  <c r="AQ507" i="1"/>
  <c r="A508" i="1"/>
  <c r="B508" i="1"/>
  <c r="C508" i="1"/>
  <c r="D508" i="1"/>
  <c r="E508" i="1"/>
  <c r="F508" i="1"/>
  <c r="G508" i="1"/>
  <c r="N508" i="1"/>
  <c r="V508" i="1"/>
  <c r="Z508" i="1"/>
  <c r="AB508" i="1"/>
  <c r="AC508" i="1"/>
  <c r="AD508" i="1"/>
  <c r="AG508" i="1"/>
  <c r="AH508" i="1"/>
  <c r="AI508" i="1"/>
  <c r="AJ508" i="1"/>
  <c r="AK508" i="1"/>
  <c r="AM508" i="1"/>
  <c r="AN508" i="1"/>
  <c r="AO508" i="1"/>
  <c r="AP508" i="1"/>
  <c r="AQ508" i="1"/>
  <c r="A509" i="1"/>
  <c r="B509" i="1"/>
  <c r="C509" i="1"/>
  <c r="D509" i="1"/>
  <c r="E509" i="1"/>
  <c r="F509" i="1"/>
  <c r="G509" i="1"/>
  <c r="K509" i="1"/>
  <c r="N509" i="1"/>
  <c r="O509" i="1"/>
  <c r="V509" i="1"/>
  <c r="Z509" i="1"/>
  <c r="AB509" i="1"/>
  <c r="AC509" i="1"/>
  <c r="AD509" i="1"/>
  <c r="AG509" i="1"/>
  <c r="AH509" i="1"/>
  <c r="AI509" i="1"/>
  <c r="AJ509" i="1"/>
  <c r="AK509" i="1"/>
  <c r="AM509" i="1"/>
  <c r="AN509" i="1"/>
  <c r="AO509" i="1"/>
  <c r="AP509" i="1"/>
  <c r="AQ509" i="1"/>
  <c r="A510" i="1"/>
  <c r="B510" i="1"/>
  <c r="C510" i="1"/>
  <c r="D510" i="1"/>
  <c r="E510" i="1"/>
  <c r="F510" i="1"/>
  <c r="G510" i="1"/>
  <c r="K510" i="1"/>
  <c r="N510" i="1"/>
  <c r="O510" i="1"/>
  <c r="V510" i="1"/>
  <c r="Z510" i="1"/>
  <c r="AB510" i="1"/>
  <c r="AC510" i="1"/>
  <c r="AD510" i="1"/>
  <c r="AG510" i="1"/>
  <c r="AH510" i="1"/>
  <c r="AI510" i="1"/>
  <c r="AJ510" i="1"/>
  <c r="AK510" i="1"/>
  <c r="AM510" i="1"/>
  <c r="AN510" i="1"/>
  <c r="AO510" i="1"/>
  <c r="AP510" i="1"/>
  <c r="AQ510" i="1"/>
  <c r="A511" i="1"/>
  <c r="B511" i="1"/>
  <c r="C511" i="1"/>
  <c r="D511" i="1"/>
  <c r="E511" i="1"/>
  <c r="F511" i="1"/>
  <c r="G511" i="1"/>
  <c r="K511" i="1"/>
  <c r="N511" i="1"/>
  <c r="O511" i="1"/>
  <c r="V511" i="1"/>
  <c r="Z511" i="1"/>
  <c r="AB511" i="1"/>
  <c r="AC511" i="1"/>
  <c r="AD511" i="1"/>
  <c r="AG511" i="1"/>
  <c r="AH511" i="1"/>
  <c r="AI511" i="1"/>
  <c r="AJ511" i="1"/>
  <c r="AK511" i="1"/>
  <c r="AM511" i="1"/>
  <c r="AN511" i="1"/>
  <c r="AO511" i="1"/>
  <c r="AP511" i="1"/>
  <c r="AQ511" i="1"/>
  <c r="A512" i="1"/>
  <c r="B512" i="1"/>
  <c r="C512" i="1"/>
  <c r="D512" i="1"/>
  <c r="E512" i="1"/>
  <c r="F512" i="1"/>
  <c r="G512" i="1"/>
  <c r="K512" i="1"/>
  <c r="N512" i="1"/>
  <c r="O512" i="1"/>
  <c r="V512" i="1"/>
  <c r="Z512" i="1"/>
  <c r="AB512" i="1"/>
  <c r="AC512" i="1"/>
  <c r="AD512" i="1"/>
  <c r="AG512" i="1"/>
  <c r="AH512" i="1"/>
  <c r="AI512" i="1"/>
  <c r="AJ512" i="1"/>
  <c r="AK512" i="1"/>
  <c r="AM512" i="1"/>
  <c r="AN512" i="1"/>
  <c r="AO512" i="1"/>
  <c r="AP512" i="1"/>
  <c r="AQ512" i="1"/>
  <c r="A513" i="1"/>
  <c r="B513" i="1"/>
  <c r="C513" i="1"/>
  <c r="D513" i="1"/>
  <c r="E513" i="1"/>
  <c r="F513" i="1"/>
  <c r="G513" i="1"/>
  <c r="K513" i="1"/>
  <c r="N513" i="1"/>
  <c r="O513" i="1"/>
  <c r="V513" i="1"/>
  <c r="Z513" i="1"/>
  <c r="AB513" i="1"/>
  <c r="AC513" i="1"/>
  <c r="AD513" i="1"/>
  <c r="AG513" i="1"/>
  <c r="AH513" i="1"/>
  <c r="AI513" i="1"/>
  <c r="AJ513" i="1"/>
  <c r="AK513" i="1"/>
  <c r="AM513" i="1"/>
  <c r="AN513" i="1"/>
  <c r="AO513" i="1"/>
  <c r="AP513" i="1"/>
  <c r="AQ513" i="1"/>
  <c r="A514" i="1"/>
  <c r="B514" i="1"/>
  <c r="C514" i="1"/>
  <c r="D514" i="1"/>
  <c r="E514" i="1"/>
  <c r="F514" i="1"/>
  <c r="G514" i="1"/>
  <c r="K514" i="1"/>
  <c r="N514" i="1"/>
  <c r="O514" i="1"/>
  <c r="V514" i="1"/>
  <c r="Z514" i="1"/>
  <c r="AB514" i="1"/>
  <c r="AC514" i="1"/>
  <c r="AD514" i="1"/>
  <c r="AG514" i="1"/>
  <c r="AH514" i="1"/>
  <c r="AI514" i="1"/>
  <c r="AJ514" i="1"/>
  <c r="AK514" i="1"/>
  <c r="AM514" i="1"/>
  <c r="AN514" i="1"/>
  <c r="AO514" i="1"/>
  <c r="AP514" i="1"/>
  <c r="AQ514" i="1"/>
  <c r="A515" i="1"/>
  <c r="B515" i="1"/>
  <c r="C515" i="1"/>
  <c r="D515" i="1"/>
  <c r="E515" i="1"/>
  <c r="F515" i="1"/>
  <c r="G515" i="1"/>
  <c r="K515" i="1"/>
  <c r="N515" i="1"/>
  <c r="O515" i="1"/>
  <c r="V515" i="1"/>
  <c r="Z515" i="1"/>
  <c r="AB515" i="1"/>
  <c r="AC515" i="1"/>
  <c r="AD515" i="1"/>
  <c r="AG515" i="1"/>
  <c r="AH515" i="1"/>
  <c r="AI515" i="1"/>
  <c r="AJ515" i="1"/>
  <c r="AK515" i="1"/>
  <c r="AM515" i="1"/>
  <c r="AN515" i="1"/>
  <c r="AO515" i="1"/>
  <c r="AP515" i="1"/>
  <c r="AQ515" i="1"/>
  <c r="A516" i="1"/>
  <c r="B516" i="1"/>
  <c r="C516" i="1"/>
  <c r="D516" i="1"/>
  <c r="E516" i="1"/>
  <c r="F516" i="1"/>
  <c r="G516" i="1"/>
  <c r="N516" i="1"/>
  <c r="V516" i="1"/>
  <c r="Z516" i="1"/>
  <c r="AB516" i="1"/>
  <c r="AC516" i="1"/>
  <c r="AD516" i="1"/>
  <c r="AG516" i="1"/>
  <c r="AH516" i="1"/>
  <c r="AI516" i="1"/>
  <c r="AJ516" i="1"/>
  <c r="AK516" i="1"/>
  <c r="AM516" i="1"/>
  <c r="AN516" i="1"/>
  <c r="AO516" i="1"/>
  <c r="AP516" i="1"/>
  <c r="AQ516" i="1"/>
  <c r="A517" i="1"/>
  <c r="B517" i="1"/>
  <c r="C517" i="1"/>
  <c r="D517" i="1"/>
  <c r="E517" i="1"/>
  <c r="F517" i="1"/>
  <c r="G517" i="1"/>
  <c r="K517" i="1"/>
  <c r="N517" i="1"/>
  <c r="O517" i="1"/>
  <c r="V517" i="1"/>
  <c r="Z517" i="1"/>
  <c r="AB517" i="1"/>
  <c r="AC517" i="1"/>
  <c r="AD517" i="1"/>
  <c r="AG517" i="1"/>
  <c r="AH517" i="1"/>
  <c r="AI517" i="1"/>
  <c r="AJ517" i="1"/>
  <c r="AK517" i="1"/>
  <c r="AM517" i="1"/>
  <c r="AN517" i="1"/>
  <c r="AO517" i="1"/>
  <c r="AP517" i="1"/>
  <c r="AQ517" i="1"/>
  <c r="A518" i="1"/>
  <c r="B518" i="1"/>
  <c r="C518" i="1"/>
  <c r="D518" i="1"/>
  <c r="E518" i="1"/>
  <c r="F518" i="1"/>
  <c r="G518" i="1"/>
  <c r="K518" i="1"/>
  <c r="N518" i="1"/>
  <c r="O518" i="1"/>
  <c r="V518" i="1"/>
  <c r="Z518" i="1"/>
  <c r="AB518" i="1"/>
  <c r="AC518" i="1"/>
  <c r="AD518" i="1"/>
  <c r="AG518" i="1"/>
  <c r="AH518" i="1"/>
  <c r="AI518" i="1"/>
  <c r="AJ518" i="1"/>
  <c r="AK518" i="1"/>
  <c r="AM518" i="1"/>
  <c r="AN518" i="1"/>
  <c r="AO518" i="1"/>
  <c r="AP518" i="1"/>
  <c r="AQ518" i="1"/>
  <c r="A519" i="1"/>
  <c r="B519" i="1"/>
  <c r="C519" i="1"/>
  <c r="D519" i="1"/>
  <c r="E519" i="1"/>
  <c r="F519" i="1"/>
  <c r="G519" i="1"/>
  <c r="K519" i="1"/>
  <c r="N519" i="1"/>
  <c r="O519" i="1"/>
  <c r="V519" i="1"/>
  <c r="Z519" i="1"/>
  <c r="AB519" i="1"/>
  <c r="AC519" i="1"/>
  <c r="AD519" i="1"/>
  <c r="AG519" i="1"/>
  <c r="AH519" i="1"/>
  <c r="AI519" i="1"/>
  <c r="AJ519" i="1"/>
  <c r="AK519" i="1"/>
  <c r="AM519" i="1"/>
  <c r="AN519" i="1"/>
  <c r="AO519" i="1"/>
  <c r="AP519" i="1"/>
  <c r="AQ519" i="1"/>
  <c r="A520" i="1"/>
  <c r="B520" i="1"/>
  <c r="C520" i="1"/>
  <c r="D520" i="1"/>
  <c r="E520" i="1"/>
  <c r="F520" i="1"/>
  <c r="G520" i="1"/>
  <c r="K520" i="1"/>
  <c r="N520" i="1"/>
  <c r="V520" i="1"/>
  <c r="Z520" i="1"/>
  <c r="AB520" i="1"/>
  <c r="AC520" i="1"/>
  <c r="AD520" i="1"/>
  <c r="AG520" i="1"/>
  <c r="AH520" i="1"/>
  <c r="AI520" i="1"/>
  <c r="AJ520" i="1"/>
  <c r="AK520" i="1"/>
  <c r="AM520" i="1"/>
  <c r="AN520" i="1"/>
  <c r="AO520" i="1"/>
  <c r="AP520" i="1"/>
  <c r="AQ520" i="1"/>
  <c r="A521" i="1"/>
  <c r="B521" i="1"/>
  <c r="C521" i="1"/>
  <c r="D521" i="1"/>
  <c r="E521" i="1"/>
  <c r="F521" i="1"/>
  <c r="G521" i="1"/>
  <c r="K521" i="1"/>
  <c r="N521" i="1"/>
  <c r="O521" i="1"/>
  <c r="V521" i="1"/>
  <c r="Z521" i="1"/>
  <c r="AB521" i="1"/>
  <c r="AC521" i="1"/>
  <c r="AD521" i="1"/>
  <c r="AG521" i="1"/>
  <c r="AH521" i="1"/>
  <c r="AI521" i="1"/>
  <c r="AJ521" i="1"/>
  <c r="AK521" i="1"/>
  <c r="AM521" i="1"/>
  <c r="AN521" i="1"/>
  <c r="AO521" i="1"/>
  <c r="AP521" i="1"/>
  <c r="AQ521" i="1"/>
  <c r="A522" i="1"/>
  <c r="B522" i="1"/>
  <c r="C522" i="1"/>
  <c r="D522" i="1"/>
  <c r="E522" i="1"/>
  <c r="F522" i="1"/>
  <c r="G522" i="1"/>
  <c r="K522" i="1"/>
  <c r="N522" i="1"/>
  <c r="O522" i="1"/>
  <c r="S522" i="1"/>
  <c r="U522" i="1"/>
  <c r="V522" i="1"/>
  <c r="Z522" i="1"/>
  <c r="AB522" i="1"/>
  <c r="AC522" i="1"/>
  <c r="AD522" i="1"/>
  <c r="AG522" i="1"/>
  <c r="AH522" i="1"/>
  <c r="AI522" i="1"/>
  <c r="AJ522" i="1"/>
  <c r="AK522" i="1"/>
  <c r="AM522" i="1"/>
  <c r="AN522" i="1"/>
  <c r="AO522" i="1"/>
  <c r="AP522" i="1"/>
  <c r="AQ522" i="1"/>
  <c r="A523" i="1"/>
  <c r="B523" i="1"/>
  <c r="C523" i="1"/>
  <c r="D523" i="1"/>
  <c r="E523" i="1"/>
  <c r="F523" i="1"/>
  <c r="G523" i="1"/>
  <c r="N523" i="1"/>
  <c r="V523" i="1"/>
  <c r="Z523" i="1"/>
  <c r="AB523" i="1"/>
  <c r="AC523" i="1"/>
  <c r="AD523" i="1"/>
  <c r="AG523" i="1"/>
  <c r="AH523" i="1"/>
  <c r="AI523" i="1"/>
  <c r="AJ523" i="1"/>
  <c r="AK523" i="1"/>
  <c r="AM523" i="1"/>
  <c r="AN523" i="1"/>
  <c r="AO523" i="1"/>
  <c r="AP523" i="1"/>
  <c r="AQ523" i="1"/>
  <c r="A524" i="1"/>
  <c r="B524" i="1"/>
  <c r="C524" i="1"/>
  <c r="D524" i="1"/>
  <c r="E524" i="1"/>
  <c r="F524" i="1"/>
  <c r="G524" i="1"/>
  <c r="N524" i="1"/>
  <c r="V524" i="1"/>
  <c r="Z524" i="1"/>
  <c r="AB524" i="1"/>
  <c r="AC524" i="1"/>
  <c r="AD524" i="1"/>
  <c r="AG524" i="1"/>
  <c r="AH524" i="1"/>
  <c r="AI524" i="1"/>
  <c r="AJ524" i="1"/>
  <c r="AK524" i="1"/>
  <c r="AM524" i="1"/>
  <c r="AN524" i="1"/>
  <c r="AO524" i="1"/>
  <c r="AP524" i="1"/>
  <c r="AQ524" i="1"/>
  <c r="A525" i="1"/>
  <c r="B525" i="1"/>
  <c r="C525" i="1"/>
  <c r="D525" i="1"/>
  <c r="E525" i="1"/>
  <c r="F525" i="1"/>
  <c r="G525" i="1"/>
  <c r="K525" i="1"/>
  <c r="N525" i="1"/>
  <c r="O525" i="1"/>
  <c r="V525" i="1"/>
  <c r="Z525" i="1"/>
  <c r="AB525" i="1"/>
  <c r="AC525" i="1"/>
  <c r="AD525" i="1"/>
  <c r="AG525" i="1"/>
  <c r="AH525" i="1"/>
  <c r="AI525" i="1"/>
  <c r="AJ525" i="1"/>
  <c r="AK525" i="1"/>
  <c r="AM525" i="1"/>
  <c r="AN525" i="1"/>
  <c r="AO525" i="1"/>
  <c r="AP525" i="1"/>
  <c r="AQ525" i="1"/>
  <c r="A526" i="1"/>
  <c r="B526" i="1"/>
  <c r="C526" i="1"/>
  <c r="D526" i="1"/>
  <c r="E526" i="1"/>
  <c r="F526" i="1"/>
  <c r="G526" i="1"/>
  <c r="K526" i="1"/>
  <c r="N526" i="1"/>
  <c r="O526" i="1"/>
  <c r="V526" i="1"/>
  <c r="Z526" i="1"/>
  <c r="AB526" i="1"/>
  <c r="AC526" i="1"/>
  <c r="AD526" i="1"/>
  <c r="AG526" i="1"/>
  <c r="AH526" i="1"/>
  <c r="AI526" i="1"/>
  <c r="AJ526" i="1"/>
  <c r="AK526" i="1"/>
  <c r="AM526" i="1"/>
  <c r="AN526" i="1"/>
  <c r="AO526" i="1"/>
  <c r="AP526" i="1"/>
  <c r="AQ526" i="1"/>
  <c r="A527" i="1"/>
  <c r="B527" i="1"/>
  <c r="C527" i="1"/>
  <c r="D527" i="1"/>
  <c r="E527" i="1"/>
  <c r="F527" i="1"/>
  <c r="G527" i="1"/>
  <c r="K527" i="1"/>
  <c r="N527" i="1"/>
  <c r="O527" i="1"/>
  <c r="V527" i="1"/>
  <c r="Z527" i="1"/>
  <c r="AB527" i="1"/>
  <c r="AC527" i="1"/>
  <c r="AD527" i="1"/>
  <c r="AG527" i="1"/>
  <c r="AH527" i="1"/>
  <c r="AI527" i="1"/>
  <c r="AJ527" i="1"/>
  <c r="AK527" i="1"/>
  <c r="AM527" i="1"/>
  <c r="AN527" i="1"/>
  <c r="AO527" i="1"/>
  <c r="AP527" i="1"/>
  <c r="AQ527" i="1"/>
  <c r="A528" i="1"/>
  <c r="B528" i="1"/>
  <c r="C528" i="1"/>
  <c r="D528" i="1"/>
  <c r="E528" i="1"/>
  <c r="F528" i="1"/>
  <c r="G528" i="1"/>
  <c r="K528" i="1"/>
  <c r="N528" i="1"/>
  <c r="O528" i="1"/>
  <c r="V528" i="1"/>
  <c r="Z528" i="1"/>
  <c r="AB528" i="1"/>
  <c r="AC528" i="1"/>
  <c r="AD528" i="1"/>
  <c r="AG528" i="1"/>
  <c r="AH528" i="1"/>
  <c r="AI528" i="1"/>
  <c r="AJ528" i="1"/>
  <c r="AK528" i="1"/>
  <c r="AM528" i="1"/>
  <c r="AN528" i="1"/>
  <c r="AO528" i="1"/>
  <c r="AP528" i="1"/>
  <c r="AQ528" i="1"/>
  <c r="A529" i="1"/>
  <c r="B529" i="1"/>
  <c r="C529" i="1"/>
  <c r="D529" i="1"/>
  <c r="E529" i="1"/>
  <c r="F529" i="1"/>
  <c r="G529" i="1"/>
  <c r="K529" i="1"/>
  <c r="N529" i="1"/>
  <c r="O529" i="1"/>
  <c r="V529" i="1"/>
  <c r="Z529" i="1"/>
  <c r="AB529" i="1"/>
  <c r="AC529" i="1"/>
  <c r="AD529" i="1"/>
  <c r="AG529" i="1"/>
  <c r="AH529" i="1"/>
  <c r="AI529" i="1"/>
  <c r="AJ529" i="1"/>
  <c r="AK529" i="1"/>
  <c r="AM529" i="1"/>
  <c r="AN529" i="1"/>
  <c r="AO529" i="1"/>
  <c r="AP529" i="1"/>
  <c r="AQ529" i="1"/>
  <c r="A530" i="1"/>
  <c r="B530" i="1"/>
  <c r="C530" i="1"/>
  <c r="D530" i="1"/>
  <c r="E530" i="1"/>
  <c r="F530" i="1"/>
  <c r="G530" i="1"/>
  <c r="K530" i="1"/>
  <c r="N530" i="1"/>
  <c r="O530" i="1"/>
  <c r="V530" i="1"/>
  <c r="Z530" i="1"/>
  <c r="AB530" i="1"/>
  <c r="AC530" i="1"/>
  <c r="AD530" i="1"/>
  <c r="AG530" i="1"/>
  <c r="AH530" i="1"/>
  <c r="AI530" i="1"/>
  <c r="AJ530" i="1"/>
  <c r="AK530" i="1"/>
  <c r="AM530" i="1"/>
  <c r="AN530" i="1"/>
  <c r="AO530" i="1"/>
  <c r="AP530" i="1"/>
  <c r="AQ530" i="1"/>
  <c r="A531" i="1"/>
  <c r="B531" i="1"/>
  <c r="C531" i="1"/>
  <c r="D531" i="1"/>
  <c r="E531" i="1"/>
  <c r="F531" i="1"/>
  <c r="G531" i="1"/>
  <c r="K531" i="1"/>
  <c r="L531" i="1"/>
  <c r="M531" i="1"/>
  <c r="N531" i="1"/>
  <c r="O531" i="1"/>
  <c r="V531" i="1"/>
  <c r="Z531" i="1"/>
  <c r="AB531" i="1"/>
  <c r="AC531" i="1"/>
  <c r="AD531" i="1"/>
  <c r="AE531" i="1"/>
  <c r="AG531" i="1"/>
  <c r="AH531" i="1"/>
  <c r="AI531" i="1"/>
  <c r="AJ531" i="1"/>
  <c r="AK531" i="1"/>
  <c r="AM531" i="1"/>
  <c r="AN531" i="1"/>
  <c r="AO531" i="1"/>
  <c r="AP531" i="1"/>
  <c r="AQ531" i="1"/>
  <c r="A532" i="1"/>
  <c r="B532" i="1"/>
  <c r="C532" i="1"/>
  <c r="D532" i="1"/>
  <c r="E532" i="1"/>
  <c r="F532" i="1"/>
  <c r="G532" i="1"/>
  <c r="K532" i="1"/>
  <c r="N532" i="1"/>
  <c r="O532" i="1"/>
  <c r="V532" i="1"/>
  <c r="Z532" i="1"/>
  <c r="AB532" i="1"/>
  <c r="AC532" i="1"/>
  <c r="AD532" i="1"/>
  <c r="AG532" i="1"/>
  <c r="AH532" i="1"/>
  <c r="AI532" i="1"/>
  <c r="AJ532" i="1"/>
  <c r="AK532" i="1"/>
  <c r="AM532" i="1"/>
  <c r="AN532" i="1"/>
  <c r="AO532" i="1"/>
  <c r="AP532" i="1"/>
  <c r="AQ532" i="1"/>
  <c r="A533" i="1"/>
  <c r="B533" i="1"/>
  <c r="C533" i="1"/>
  <c r="D533" i="1"/>
  <c r="E533" i="1"/>
  <c r="F533" i="1"/>
  <c r="G533" i="1"/>
  <c r="K533" i="1"/>
  <c r="N533" i="1"/>
  <c r="O533" i="1"/>
  <c r="V533" i="1"/>
  <c r="Z533" i="1"/>
  <c r="AB533" i="1"/>
  <c r="AC533" i="1"/>
  <c r="AD533" i="1"/>
  <c r="AG533" i="1"/>
  <c r="AH533" i="1"/>
  <c r="AI533" i="1"/>
  <c r="AJ533" i="1"/>
  <c r="AK533" i="1"/>
  <c r="AM533" i="1"/>
  <c r="AN533" i="1"/>
  <c r="AO533" i="1"/>
  <c r="AP533" i="1"/>
  <c r="AQ533" i="1"/>
  <c r="A534" i="1"/>
  <c r="B534" i="1"/>
  <c r="C534" i="1"/>
  <c r="D534" i="1"/>
  <c r="E534" i="1"/>
  <c r="F534" i="1"/>
  <c r="G534" i="1"/>
  <c r="K534" i="1"/>
  <c r="N534" i="1"/>
  <c r="O534" i="1"/>
  <c r="V534" i="1"/>
  <c r="Z534" i="1"/>
  <c r="AB534" i="1"/>
  <c r="AC534" i="1"/>
  <c r="AD534" i="1"/>
  <c r="AG534" i="1"/>
  <c r="AH534" i="1"/>
  <c r="AI534" i="1"/>
  <c r="AJ534" i="1"/>
  <c r="AK534" i="1"/>
  <c r="AM534" i="1"/>
  <c r="AN534" i="1"/>
  <c r="AO534" i="1"/>
  <c r="AP534" i="1"/>
  <c r="AQ534" i="1"/>
  <c r="A535" i="1"/>
  <c r="B535" i="1"/>
  <c r="C535" i="1"/>
  <c r="D535" i="1"/>
  <c r="E535" i="1"/>
  <c r="F535" i="1"/>
  <c r="G535" i="1"/>
  <c r="K535" i="1"/>
  <c r="N535" i="1"/>
  <c r="O535" i="1"/>
  <c r="V535" i="1"/>
  <c r="Z535" i="1"/>
  <c r="AB535" i="1"/>
  <c r="AC535" i="1"/>
  <c r="AD535" i="1"/>
  <c r="AG535" i="1"/>
  <c r="AH535" i="1"/>
  <c r="AI535" i="1"/>
  <c r="AJ535" i="1"/>
  <c r="AK535" i="1"/>
  <c r="AM535" i="1"/>
  <c r="AN535" i="1"/>
  <c r="AO535" i="1"/>
  <c r="AP535" i="1"/>
  <c r="AQ535" i="1"/>
  <c r="A536" i="1"/>
  <c r="B536" i="1"/>
  <c r="C536" i="1"/>
  <c r="D536" i="1"/>
  <c r="E536" i="1"/>
  <c r="F536" i="1"/>
  <c r="G536" i="1"/>
  <c r="K536" i="1"/>
  <c r="N536" i="1"/>
  <c r="O536" i="1"/>
  <c r="V536" i="1"/>
  <c r="Z536" i="1"/>
  <c r="AB536" i="1"/>
  <c r="AC536" i="1"/>
  <c r="AD536" i="1"/>
  <c r="AG536" i="1"/>
  <c r="AH536" i="1"/>
  <c r="AI536" i="1"/>
  <c r="AJ536" i="1"/>
  <c r="AK536" i="1"/>
  <c r="AM536" i="1"/>
  <c r="AN536" i="1"/>
  <c r="AO536" i="1"/>
  <c r="AP536" i="1"/>
  <c r="AQ536" i="1"/>
  <c r="A537" i="1"/>
  <c r="B537" i="1"/>
  <c r="C537" i="1"/>
  <c r="D537" i="1"/>
  <c r="E537" i="1"/>
  <c r="F537" i="1"/>
  <c r="G537" i="1"/>
  <c r="K537" i="1"/>
  <c r="N537" i="1"/>
  <c r="O537" i="1"/>
  <c r="V537" i="1"/>
  <c r="Z537" i="1"/>
  <c r="AB537" i="1"/>
  <c r="AC537" i="1"/>
  <c r="AD537" i="1"/>
  <c r="AG537" i="1"/>
  <c r="AH537" i="1"/>
  <c r="AI537" i="1"/>
  <c r="AJ537" i="1"/>
  <c r="AK537" i="1"/>
  <c r="AM537" i="1"/>
  <c r="AN537" i="1"/>
  <c r="AO537" i="1"/>
  <c r="AP537" i="1"/>
  <c r="AQ537" i="1"/>
  <c r="A538" i="1"/>
  <c r="B538" i="1"/>
  <c r="C538" i="1"/>
  <c r="D538" i="1"/>
  <c r="E538" i="1"/>
  <c r="F538" i="1"/>
  <c r="G538" i="1"/>
  <c r="N538" i="1"/>
  <c r="O538" i="1"/>
  <c r="V538" i="1"/>
  <c r="Z538" i="1"/>
  <c r="AB538" i="1"/>
  <c r="AC538" i="1"/>
  <c r="AD538" i="1"/>
  <c r="AG538" i="1"/>
  <c r="AH538" i="1"/>
  <c r="AI538" i="1"/>
  <c r="AJ538" i="1"/>
  <c r="AK538" i="1"/>
  <c r="AM538" i="1"/>
  <c r="AN538" i="1"/>
  <c r="AO538" i="1"/>
  <c r="AP538" i="1"/>
  <c r="AQ538" i="1"/>
  <c r="A539" i="1"/>
  <c r="B539" i="1"/>
  <c r="C539" i="1"/>
  <c r="D539" i="1"/>
  <c r="E539" i="1"/>
  <c r="F539" i="1"/>
  <c r="G539" i="1"/>
  <c r="K539" i="1"/>
  <c r="L539" i="1"/>
  <c r="N539" i="1"/>
  <c r="O539" i="1"/>
  <c r="V539" i="1"/>
  <c r="Z539" i="1"/>
  <c r="AB539" i="1"/>
  <c r="AC539" i="1"/>
  <c r="AD539" i="1"/>
  <c r="AG539" i="1"/>
  <c r="AH539" i="1"/>
  <c r="AI539" i="1"/>
  <c r="AJ539" i="1"/>
  <c r="AK539" i="1"/>
  <c r="AM539" i="1"/>
  <c r="AN539" i="1"/>
  <c r="AO539" i="1"/>
  <c r="AP539" i="1"/>
  <c r="AQ539" i="1"/>
  <c r="A540" i="1"/>
  <c r="B540" i="1"/>
  <c r="C540" i="1"/>
  <c r="D540" i="1"/>
  <c r="E540" i="1"/>
  <c r="F540" i="1"/>
  <c r="G540" i="1"/>
  <c r="K540" i="1"/>
  <c r="N540" i="1"/>
  <c r="V540" i="1"/>
  <c r="AB540" i="1"/>
  <c r="AC540" i="1"/>
  <c r="AD540" i="1"/>
  <c r="AG540" i="1"/>
  <c r="AH540" i="1"/>
  <c r="AI540" i="1"/>
  <c r="AJ540" i="1"/>
  <c r="AK540" i="1"/>
  <c r="AM540" i="1"/>
  <c r="AN540" i="1"/>
  <c r="AO540" i="1"/>
  <c r="AP540" i="1"/>
  <c r="AQ540" i="1"/>
  <c r="A541" i="1"/>
  <c r="B541" i="1"/>
  <c r="C541" i="1"/>
  <c r="D541" i="1"/>
  <c r="E541" i="1"/>
  <c r="F541" i="1"/>
  <c r="G541" i="1"/>
  <c r="K541" i="1"/>
  <c r="N541" i="1"/>
  <c r="O541" i="1"/>
  <c r="V541" i="1"/>
  <c r="AB541" i="1"/>
  <c r="AC541" i="1"/>
  <c r="AD541" i="1"/>
  <c r="AG541" i="1"/>
  <c r="AH541" i="1"/>
  <c r="AI541" i="1"/>
  <c r="AJ541" i="1"/>
  <c r="AK541" i="1"/>
  <c r="AM541" i="1"/>
  <c r="AN541" i="1"/>
  <c r="AO541" i="1"/>
  <c r="AP541" i="1"/>
  <c r="AQ541" i="1"/>
  <c r="A542" i="1"/>
  <c r="B542" i="1"/>
  <c r="C542" i="1"/>
  <c r="D542" i="1"/>
  <c r="E542" i="1"/>
  <c r="F542" i="1"/>
  <c r="G542" i="1"/>
  <c r="K542" i="1"/>
  <c r="L542" i="1"/>
  <c r="M542" i="1"/>
  <c r="N542" i="1"/>
  <c r="O542" i="1"/>
  <c r="S542" i="1"/>
  <c r="U542" i="1"/>
  <c r="V542" i="1"/>
  <c r="AB542" i="1"/>
  <c r="AC542" i="1"/>
  <c r="AD542" i="1"/>
  <c r="AE542" i="1"/>
  <c r="AG542" i="1"/>
  <c r="AH542" i="1"/>
  <c r="AI542" i="1"/>
  <c r="AJ542" i="1"/>
  <c r="AK542" i="1"/>
  <c r="AM542" i="1"/>
  <c r="AN542" i="1"/>
  <c r="AO542" i="1"/>
  <c r="AP542" i="1"/>
  <c r="AQ542" i="1"/>
  <c r="A543" i="1"/>
  <c r="B543" i="1"/>
  <c r="C543" i="1"/>
  <c r="D543" i="1"/>
  <c r="E543" i="1"/>
  <c r="F543" i="1"/>
  <c r="G543" i="1"/>
  <c r="K543" i="1"/>
  <c r="N543" i="1"/>
  <c r="O543" i="1"/>
  <c r="V543" i="1"/>
  <c r="AB543" i="1"/>
  <c r="AC543" i="1"/>
  <c r="AD543" i="1"/>
  <c r="AG543" i="1"/>
  <c r="AH543" i="1"/>
  <c r="AI543" i="1"/>
  <c r="AJ543" i="1"/>
  <c r="AK543" i="1"/>
  <c r="AM543" i="1"/>
  <c r="AN543" i="1"/>
  <c r="AO543" i="1"/>
  <c r="AP543" i="1"/>
  <c r="AQ543" i="1"/>
  <c r="A544" i="1"/>
  <c r="B544" i="1"/>
  <c r="C544" i="1"/>
  <c r="D544" i="1"/>
  <c r="E544" i="1"/>
  <c r="F544" i="1"/>
  <c r="G544" i="1"/>
  <c r="K544" i="1"/>
  <c r="N544" i="1"/>
  <c r="O544" i="1"/>
  <c r="V544" i="1"/>
  <c r="AB544" i="1"/>
  <c r="AC544" i="1"/>
  <c r="AD544" i="1"/>
  <c r="AG544" i="1"/>
  <c r="AH544" i="1"/>
  <c r="AI544" i="1"/>
  <c r="AJ544" i="1"/>
  <c r="AK544" i="1"/>
  <c r="AM544" i="1"/>
  <c r="AN544" i="1"/>
  <c r="AO544" i="1"/>
  <c r="AP544" i="1"/>
  <c r="AQ544" i="1"/>
  <c r="A545" i="1"/>
  <c r="B545" i="1"/>
  <c r="C545" i="1"/>
  <c r="D545" i="1"/>
  <c r="E545" i="1"/>
  <c r="F545" i="1"/>
  <c r="G545" i="1"/>
  <c r="K545" i="1"/>
  <c r="N545" i="1"/>
  <c r="O545" i="1"/>
  <c r="V545" i="1"/>
  <c r="AB545" i="1"/>
  <c r="AC545" i="1"/>
  <c r="AD545" i="1"/>
  <c r="AG545" i="1"/>
  <c r="AH545" i="1"/>
  <c r="AI545" i="1"/>
  <c r="AJ545" i="1"/>
  <c r="AK545" i="1"/>
  <c r="AM545" i="1"/>
  <c r="AN545" i="1"/>
  <c r="AO545" i="1"/>
  <c r="AP545" i="1"/>
  <c r="AQ545" i="1"/>
  <c r="A546" i="1"/>
  <c r="B546" i="1"/>
  <c r="C546" i="1"/>
  <c r="D546" i="1"/>
  <c r="E546" i="1"/>
  <c r="F546" i="1"/>
  <c r="G546" i="1"/>
  <c r="N546" i="1"/>
  <c r="O546" i="1"/>
  <c r="V546" i="1"/>
  <c r="AB546" i="1"/>
  <c r="AC546" i="1"/>
  <c r="AD546" i="1"/>
  <c r="AG546" i="1"/>
  <c r="AH546" i="1"/>
  <c r="AI546" i="1"/>
  <c r="AJ546" i="1"/>
  <c r="AK546" i="1"/>
  <c r="AM546" i="1"/>
  <c r="AN546" i="1"/>
  <c r="AO546" i="1"/>
  <c r="AP546" i="1"/>
  <c r="AQ546" i="1"/>
  <c r="A547" i="1"/>
  <c r="B547" i="1"/>
  <c r="C547" i="1"/>
  <c r="D547" i="1"/>
  <c r="E547" i="1"/>
  <c r="F547" i="1"/>
  <c r="G547" i="1"/>
  <c r="K547" i="1"/>
  <c r="N547" i="1"/>
  <c r="O547" i="1"/>
  <c r="S547" i="1"/>
  <c r="U547" i="1"/>
  <c r="V547" i="1"/>
  <c r="AB547" i="1"/>
  <c r="AC547" i="1"/>
  <c r="AD547" i="1"/>
  <c r="AE547" i="1"/>
  <c r="AG547" i="1"/>
  <c r="AH547" i="1"/>
  <c r="AI547" i="1"/>
  <c r="AJ547" i="1"/>
  <c r="AK547" i="1"/>
  <c r="AM547" i="1"/>
  <c r="AN547" i="1"/>
  <c r="AO547" i="1"/>
  <c r="AP547" i="1"/>
  <c r="AQ547" i="1"/>
  <c r="A548" i="1"/>
  <c r="B548" i="1"/>
  <c r="C548" i="1"/>
  <c r="D548" i="1"/>
  <c r="E548" i="1"/>
  <c r="F548" i="1"/>
  <c r="G548" i="1"/>
  <c r="K548" i="1"/>
  <c r="N548" i="1"/>
  <c r="O548" i="1"/>
  <c r="V548" i="1"/>
  <c r="AB548" i="1"/>
  <c r="AC548" i="1"/>
  <c r="AD548" i="1"/>
  <c r="AG548" i="1"/>
  <c r="AH548" i="1"/>
  <c r="AI548" i="1"/>
  <c r="AJ548" i="1"/>
  <c r="AK548" i="1"/>
  <c r="AM548" i="1"/>
  <c r="AN548" i="1"/>
  <c r="AO548" i="1"/>
  <c r="AP548" i="1"/>
  <c r="AQ548" i="1"/>
  <c r="A549" i="1"/>
  <c r="B549" i="1"/>
  <c r="C549" i="1"/>
  <c r="D549" i="1"/>
  <c r="E549" i="1"/>
  <c r="F549" i="1"/>
  <c r="G549" i="1"/>
  <c r="K549" i="1"/>
  <c r="L549" i="1"/>
  <c r="M549" i="1"/>
  <c r="N549" i="1"/>
  <c r="O549" i="1"/>
  <c r="V549" i="1"/>
  <c r="AB549" i="1"/>
  <c r="AC549" i="1"/>
  <c r="AD549" i="1"/>
  <c r="AE549" i="1"/>
  <c r="AG549" i="1"/>
  <c r="AH549" i="1"/>
  <c r="AI549" i="1"/>
  <c r="AJ549" i="1"/>
  <c r="AK549" i="1"/>
  <c r="AM549" i="1"/>
  <c r="AN549" i="1"/>
  <c r="AO549" i="1"/>
  <c r="AP549" i="1"/>
  <c r="AQ549" i="1"/>
  <c r="A550" i="1"/>
  <c r="B550" i="1"/>
  <c r="C550" i="1"/>
  <c r="D550" i="1"/>
  <c r="E550" i="1"/>
  <c r="F550" i="1"/>
  <c r="G550" i="1"/>
  <c r="K550" i="1"/>
  <c r="N550" i="1"/>
  <c r="O550" i="1"/>
  <c r="V550" i="1"/>
  <c r="AB550" i="1"/>
  <c r="AC550" i="1"/>
  <c r="AD550" i="1"/>
  <c r="AG550" i="1"/>
  <c r="AH550" i="1"/>
  <c r="AI550" i="1"/>
  <c r="AJ550" i="1"/>
  <c r="AK550" i="1"/>
  <c r="AM550" i="1"/>
  <c r="AN550" i="1"/>
  <c r="AO550" i="1"/>
  <c r="AP550" i="1"/>
  <c r="AQ550" i="1"/>
  <c r="A551" i="1"/>
  <c r="B551" i="1"/>
  <c r="C551" i="1"/>
  <c r="D551" i="1"/>
  <c r="E551" i="1"/>
  <c r="F551" i="1"/>
  <c r="G551" i="1"/>
  <c r="K551" i="1"/>
  <c r="N551" i="1"/>
  <c r="O551" i="1"/>
  <c r="V551" i="1"/>
  <c r="AB551" i="1"/>
  <c r="AC551" i="1"/>
  <c r="AD551" i="1"/>
  <c r="AG551" i="1"/>
  <c r="AH551" i="1"/>
  <c r="AI551" i="1"/>
  <c r="AJ551" i="1"/>
  <c r="AK551" i="1"/>
  <c r="AM551" i="1"/>
  <c r="AN551" i="1"/>
  <c r="AO551" i="1"/>
  <c r="AP551" i="1"/>
  <c r="AQ551" i="1"/>
  <c r="A552" i="1"/>
  <c r="B552" i="1"/>
  <c r="C552" i="1"/>
  <c r="D552" i="1"/>
  <c r="E552" i="1"/>
  <c r="F552" i="1"/>
  <c r="G552" i="1"/>
  <c r="K552" i="1"/>
  <c r="N552" i="1"/>
  <c r="O552" i="1"/>
  <c r="V552" i="1"/>
  <c r="AB552" i="1"/>
  <c r="AC552" i="1"/>
  <c r="AD552" i="1"/>
  <c r="AG552" i="1"/>
  <c r="AH552" i="1"/>
  <c r="AI552" i="1"/>
  <c r="AJ552" i="1"/>
  <c r="AK552" i="1"/>
  <c r="AM552" i="1"/>
  <c r="AN552" i="1"/>
  <c r="AO552" i="1"/>
  <c r="AP552" i="1"/>
  <c r="AQ552" i="1"/>
  <c r="A553" i="1"/>
  <c r="B553" i="1"/>
  <c r="C553" i="1"/>
  <c r="D553" i="1"/>
  <c r="E553" i="1"/>
  <c r="F553" i="1"/>
  <c r="G553" i="1"/>
  <c r="K553" i="1"/>
  <c r="N553" i="1"/>
  <c r="O553" i="1"/>
  <c r="V553" i="1"/>
  <c r="AB553" i="1"/>
  <c r="AC553" i="1"/>
  <c r="AD553" i="1"/>
  <c r="AG553" i="1"/>
  <c r="AH553" i="1"/>
  <c r="AI553" i="1"/>
  <c r="AJ553" i="1"/>
  <c r="AK553" i="1"/>
  <c r="AM553" i="1"/>
  <c r="AN553" i="1"/>
  <c r="AO553" i="1"/>
  <c r="AP553" i="1"/>
  <c r="AQ553" i="1"/>
  <c r="A554" i="1"/>
  <c r="B554" i="1"/>
  <c r="C554" i="1"/>
  <c r="D554" i="1"/>
  <c r="E554" i="1"/>
  <c r="F554" i="1"/>
  <c r="G554" i="1"/>
  <c r="K554" i="1"/>
  <c r="N554" i="1"/>
  <c r="V554" i="1"/>
  <c r="AB554" i="1"/>
  <c r="AC554" i="1"/>
  <c r="AD554" i="1"/>
  <c r="AE554" i="1"/>
  <c r="AG554" i="1"/>
  <c r="AH554" i="1"/>
  <c r="AI554" i="1"/>
  <c r="AJ554" i="1"/>
  <c r="AK554" i="1"/>
  <c r="AM554" i="1"/>
  <c r="AN554" i="1"/>
  <c r="AO554" i="1"/>
  <c r="AP554" i="1"/>
  <c r="AQ554" i="1"/>
  <c r="A555" i="1"/>
  <c r="B555" i="1"/>
  <c r="C555" i="1"/>
  <c r="D555" i="1"/>
  <c r="E555" i="1"/>
  <c r="F555" i="1"/>
  <c r="G555" i="1"/>
  <c r="K555" i="1"/>
  <c r="N555" i="1"/>
  <c r="O555" i="1"/>
  <c r="V555" i="1"/>
  <c r="AB555" i="1"/>
  <c r="AC555" i="1"/>
  <c r="AD555" i="1"/>
  <c r="AG555" i="1"/>
  <c r="AH555" i="1"/>
  <c r="AI555" i="1"/>
  <c r="AJ555" i="1"/>
  <c r="AK555" i="1"/>
  <c r="AM555" i="1"/>
  <c r="AN555" i="1"/>
  <c r="AO555" i="1"/>
  <c r="AP555" i="1"/>
  <c r="AQ555" i="1"/>
  <c r="A556" i="1"/>
  <c r="B556" i="1"/>
  <c r="C556" i="1"/>
  <c r="D556" i="1"/>
  <c r="E556" i="1"/>
  <c r="F556" i="1"/>
  <c r="G556" i="1"/>
  <c r="K556" i="1"/>
  <c r="N556" i="1"/>
  <c r="O556" i="1"/>
  <c r="V556" i="1"/>
  <c r="AB556" i="1"/>
  <c r="AC556" i="1"/>
  <c r="AD556" i="1"/>
  <c r="AG556" i="1"/>
  <c r="AH556" i="1"/>
  <c r="AI556" i="1"/>
  <c r="AJ556" i="1"/>
  <c r="AK556" i="1"/>
  <c r="AM556" i="1"/>
  <c r="AN556" i="1"/>
  <c r="AO556" i="1"/>
  <c r="AP556" i="1"/>
  <c r="AQ556" i="1"/>
  <c r="A557" i="1"/>
  <c r="B557" i="1"/>
  <c r="C557" i="1"/>
  <c r="D557" i="1"/>
  <c r="E557" i="1"/>
  <c r="F557" i="1"/>
  <c r="G557" i="1"/>
  <c r="K557" i="1"/>
  <c r="N557" i="1"/>
  <c r="O557" i="1"/>
  <c r="S557" i="1"/>
  <c r="U557" i="1"/>
  <c r="V557" i="1"/>
  <c r="AB557" i="1"/>
  <c r="AC557" i="1"/>
  <c r="AD557" i="1"/>
  <c r="AG557" i="1"/>
  <c r="AH557" i="1"/>
  <c r="AI557" i="1"/>
  <c r="AJ557" i="1"/>
  <c r="AK557" i="1"/>
  <c r="AM557" i="1"/>
  <c r="AN557" i="1"/>
  <c r="AO557" i="1"/>
  <c r="AP557" i="1"/>
  <c r="AQ557" i="1"/>
  <c r="A558" i="1"/>
  <c r="B558" i="1"/>
  <c r="C558" i="1"/>
  <c r="D558" i="1"/>
  <c r="E558" i="1"/>
  <c r="F558" i="1"/>
  <c r="G558" i="1"/>
  <c r="K558" i="1"/>
  <c r="N558" i="1"/>
  <c r="O558" i="1"/>
  <c r="V558" i="1"/>
  <c r="AB558" i="1"/>
  <c r="AC558" i="1"/>
  <c r="AD558" i="1"/>
  <c r="AG558" i="1"/>
  <c r="AH558" i="1"/>
  <c r="AI558" i="1"/>
  <c r="AJ558" i="1"/>
  <c r="AK558" i="1"/>
  <c r="AM558" i="1"/>
  <c r="AN558" i="1"/>
  <c r="AO558" i="1"/>
  <c r="AP558" i="1"/>
  <c r="AQ558" i="1"/>
  <c r="A559" i="1"/>
  <c r="B559" i="1"/>
  <c r="C559" i="1"/>
  <c r="D559" i="1"/>
  <c r="E559" i="1"/>
  <c r="F559" i="1"/>
  <c r="G559" i="1"/>
  <c r="K559" i="1"/>
  <c r="N559" i="1"/>
  <c r="O559" i="1"/>
  <c r="V559" i="1"/>
  <c r="AB559" i="1"/>
  <c r="AC559" i="1"/>
  <c r="AD559" i="1"/>
  <c r="AG559" i="1"/>
  <c r="AH559" i="1"/>
  <c r="AI559" i="1"/>
  <c r="AJ559" i="1"/>
  <c r="AK559" i="1"/>
  <c r="AM559" i="1"/>
  <c r="AN559" i="1"/>
  <c r="AO559" i="1"/>
  <c r="AP559" i="1"/>
  <c r="AQ559" i="1"/>
  <c r="A560" i="1"/>
  <c r="B560" i="1"/>
  <c r="C560" i="1"/>
  <c r="D560" i="1"/>
  <c r="E560" i="1"/>
  <c r="F560" i="1"/>
  <c r="G560" i="1"/>
  <c r="K560" i="1"/>
  <c r="N560" i="1"/>
  <c r="O560" i="1"/>
  <c r="V560" i="1"/>
  <c r="AB560" i="1"/>
  <c r="AC560" i="1"/>
  <c r="AD560" i="1"/>
  <c r="AG560" i="1"/>
  <c r="AH560" i="1"/>
  <c r="AI560" i="1"/>
  <c r="AJ560" i="1"/>
  <c r="AK560" i="1"/>
  <c r="AM560" i="1"/>
  <c r="AN560" i="1"/>
  <c r="AO560" i="1"/>
  <c r="AP560" i="1"/>
  <c r="AQ560" i="1"/>
  <c r="A561" i="1"/>
  <c r="B561" i="1"/>
  <c r="C561" i="1"/>
  <c r="D561" i="1"/>
  <c r="E561" i="1"/>
  <c r="F561" i="1"/>
  <c r="G561" i="1"/>
  <c r="K561" i="1"/>
  <c r="L561" i="1"/>
  <c r="M561" i="1"/>
  <c r="N561" i="1"/>
  <c r="O561" i="1"/>
  <c r="Q561" i="1"/>
  <c r="S561" i="1"/>
  <c r="U561" i="1"/>
  <c r="V561" i="1"/>
  <c r="AB561" i="1"/>
  <c r="AC561" i="1"/>
  <c r="AD561" i="1"/>
  <c r="AE561" i="1"/>
  <c r="AG561" i="1"/>
  <c r="AH561" i="1"/>
  <c r="AI561" i="1"/>
  <c r="AJ561" i="1"/>
  <c r="AK561" i="1"/>
  <c r="AM561" i="1"/>
  <c r="AN561" i="1"/>
  <c r="AO561" i="1"/>
  <c r="AP561" i="1"/>
  <c r="AQ561" i="1"/>
  <c r="A562" i="1"/>
  <c r="B562" i="1"/>
  <c r="C562" i="1"/>
  <c r="D562" i="1"/>
  <c r="E562" i="1"/>
  <c r="F562" i="1"/>
  <c r="G562" i="1"/>
  <c r="K562" i="1"/>
  <c r="N562" i="1"/>
  <c r="O562" i="1"/>
  <c r="V562" i="1"/>
  <c r="AB562" i="1"/>
  <c r="AC562" i="1"/>
  <c r="AD562" i="1"/>
  <c r="AG562" i="1"/>
  <c r="AH562" i="1"/>
  <c r="AI562" i="1"/>
  <c r="AJ562" i="1"/>
  <c r="AK562" i="1"/>
  <c r="AM562" i="1"/>
  <c r="AN562" i="1"/>
  <c r="AO562" i="1"/>
  <c r="AP562" i="1"/>
  <c r="AQ562" i="1"/>
  <c r="A563" i="1"/>
  <c r="B563" i="1"/>
  <c r="C563" i="1"/>
  <c r="D563" i="1"/>
  <c r="E563" i="1"/>
  <c r="F563" i="1"/>
  <c r="G563" i="1"/>
  <c r="N563" i="1"/>
  <c r="AB563" i="1"/>
  <c r="AC563" i="1"/>
  <c r="AD563" i="1"/>
  <c r="AG563" i="1"/>
  <c r="AH563" i="1"/>
  <c r="AI563" i="1"/>
  <c r="AJ563" i="1"/>
  <c r="AK563" i="1"/>
  <c r="AM563" i="1"/>
  <c r="AN563" i="1"/>
  <c r="AO563" i="1"/>
  <c r="AP563" i="1"/>
  <c r="AQ563" i="1"/>
  <c r="A564" i="1"/>
  <c r="B564" i="1"/>
  <c r="C564" i="1"/>
  <c r="D564" i="1"/>
  <c r="E564" i="1"/>
  <c r="F564" i="1"/>
  <c r="G564" i="1"/>
  <c r="N564" i="1"/>
  <c r="O564" i="1"/>
  <c r="V564" i="1"/>
  <c r="AB564" i="1"/>
  <c r="AC564" i="1"/>
  <c r="AD564" i="1"/>
  <c r="AG564" i="1"/>
  <c r="AH564" i="1"/>
  <c r="AI564" i="1"/>
  <c r="AJ564" i="1"/>
  <c r="AK564" i="1"/>
  <c r="AM564" i="1"/>
  <c r="AN564" i="1"/>
  <c r="AO564" i="1"/>
  <c r="AP564" i="1"/>
  <c r="AQ564" i="1"/>
  <c r="A565" i="1"/>
  <c r="B565" i="1"/>
  <c r="C565" i="1"/>
  <c r="D565" i="1"/>
  <c r="E565" i="1"/>
  <c r="F565" i="1"/>
  <c r="G565" i="1"/>
  <c r="K565" i="1"/>
  <c r="N565" i="1"/>
  <c r="O565" i="1"/>
  <c r="S565" i="1"/>
  <c r="U565" i="1"/>
  <c r="V565" i="1"/>
  <c r="AB565" i="1"/>
  <c r="AC565" i="1"/>
  <c r="AD565" i="1"/>
  <c r="AG565" i="1"/>
  <c r="AH565" i="1"/>
  <c r="AI565" i="1"/>
  <c r="AJ565" i="1"/>
  <c r="AK565" i="1"/>
  <c r="AM565" i="1"/>
  <c r="AN565" i="1"/>
  <c r="AO565" i="1"/>
  <c r="AP565" i="1"/>
  <c r="AQ565" i="1"/>
  <c r="A566" i="1"/>
  <c r="B566" i="1"/>
  <c r="C566" i="1"/>
  <c r="D566" i="1"/>
  <c r="E566" i="1"/>
  <c r="F566" i="1"/>
  <c r="G566" i="1"/>
  <c r="K566" i="1"/>
  <c r="N566" i="1"/>
  <c r="O566" i="1"/>
  <c r="V566" i="1"/>
  <c r="AB566" i="1"/>
  <c r="AC566" i="1"/>
  <c r="AD566" i="1"/>
  <c r="AG566" i="1"/>
  <c r="AH566" i="1"/>
  <c r="AI566" i="1"/>
  <c r="AJ566" i="1"/>
  <c r="AK566" i="1"/>
  <c r="AM566" i="1"/>
  <c r="AN566" i="1"/>
  <c r="AO566" i="1"/>
  <c r="AP566" i="1"/>
  <c r="AQ566" i="1"/>
  <c r="A567" i="1"/>
  <c r="B567" i="1"/>
  <c r="C567" i="1"/>
  <c r="D567" i="1"/>
  <c r="E567" i="1"/>
  <c r="F567" i="1"/>
  <c r="G567" i="1"/>
  <c r="K567" i="1"/>
  <c r="N567" i="1"/>
  <c r="O567" i="1"/>
  <c r="V567" i="1"/>
  <c r="AB567" i="1"/>
  <c r="AC567" i="1"/>
  <c r="AD567" i="1"/>
  <c r="AG567" i="1"/>
  <c r="AH567" i="1"/>
  <c r="AI567" i="1"/>
  <c r="AJ567" i="1"/>
  <c r="AK567" i="1"/>
  <c r="AM567" i="1"/>
  <c r="AN567" i="1"/>
  <c r="AO567" i="1"/>
  <c r="AP567" i="1"/>
  <c r="AQ567" i="1"/>
  <c r="A568" i="1"/>
  <c r="B568" i="1"/>
  <c r="C568" i="1"/>
  <c r="D568" i="1"/>
  <c r="E568" i="1"/>
  <c r="F568" i="1"/>
  <c r="G568" i="1"/>
  <c r="K568" i="1"/>
  <c r="N568" i="1"/>
  <c r="O568" i="1"/>
  <c r="V568" i="1"/>
  <c r="AB568" i="1"/>
  <c r="AC568" i="1"/>
  <c r="AD568" i="1"/>
  <c r="AG568" i="1"/>
  <c r="AH568" i="1"/>
  <c r="AI568" i="1"/>
  <c r="AJ568" i="1"/>
  <c r="AK568" i="1"/>
  <c r="AM568" i="1"/>
  <c r="AN568" i="1"/>
  <c r="AO568" i="1"/>
  <c r="AP568" i="1"/>
  <c r="AQ568" i="1"/>
  <c r="A569" i="1"/>
  <c r="B569" i="1"/>
  <c r="C569" i="1"/>
  <c r="D569" i="1"/>
  <c r="E569" i="1"/>
  <c r="F569" i="1"/>
  <c r="G569" i="1"/>
  <c r="K569" i="1"/>
  <c r="N569" i="1"/>
  <c r="O569" i="1"/>
  <c r="V569" i="1"/>
  <c r="AB569" i="1"/>
  <c r="AC569" i="1"/>
  <c r="AD569" i="1"/>
  <c r="AG569" i="1"/>
  <c r="AH569" i="1"/>
  <c r="AI569" i="1"/>
  <c r="AJ569" i="1"/>
  <c r="AK569" i="1"/>
  <c r="AM569" i="1"/>
  <c r="AN569" i="1"/>
  <c r="AO569" i="1"/>
  <c r="AP569" i="1"/>
  <c r="AQ569" i="1"/>
  <c r="A570" i="1"/>
  <c r="B570" i="1"/>
  <c r="C570" i="1"/>
  <c r="D570" i="1"/>
  <c r="E570" i="1"/>
  <c r="F570" i="1"/>
  <c r="G570" i="1"/>
  <c r="N570" i="1"/>
  <c r="O570" i="1"/>
  <c r="V570" i="1"/>
  <c r="AB570" i="1"/>
  <c r="AC570" i="1"/>
  <c r="AD570" i="1"/>
  <c r="AG570" i="1"/>
  <c r="AH570" i="1"/>
  <c r="AI570" i="1"/>
  <c r="AJ570" i="1"/>
  <c r="AK570" i="1"/>
  <c r="AM570" i="1"/>
  <c r="AN570" i="1"/>
  <c r="AO570" i="1"/>
  <c r="AP570" i="1"/>
  <c r="AQ570" i="1"/>
  <c r="A571" i="1"/>
  <c r="B571" i="1"/>
  <c r="C571" i="1"/>
  <c r="D571" i="1"/>
  <c r="E571" i="1"/>
  <c r="F571" i="1"/>
  <c r="G571" i="1"/>
  <c r="K571" i="1"/>
  <c r="N571" i="1"/>
  <c r="O571" i="1"/>
  <c r="V571" i="1"/>
  <c r="AB571" i="1"/>
  <c r="AC571" i="1"/>
  <c r="AD571" i="1"/>
  <c r="AG571" i="1"/>
  <c r="AH571" i="1"/>
  <c r="AI571" i="1"/>
  <c r="AJ571" i="1"/>
  <c r="AK571" i="1"/>
  <c r="AM571" i="1"/>
  <c r="AN571" i="1"/>
  <c r="AO571" i="1"/>
  <c r="AP571" i="1"/>
  <c r="AQ571" i="1"/>
  <c r="A572" i="1"/>
  <c r="B572" i="1"/>
  <c r="C572" i="1"/>
  <c r="D572" i="1"/>
  <c r="E572" i="1"/>
  <c r="F572" i="1"/>
  <c r="G572" i="1"/>
  <c r="K572" i="1"/>
  <c r="N572" i="1"/>
  <c r="O572" i="1"/>
  <c r="V572" i="1"/>
  <c r="AB572" i="1"/>
  <c r="AC572" i="1"/>
  <c r="AD572" i="1"/>
  <c r="AG572" i="1"/>
  <c r="AH572" i="1"/>
  <c r="AI572" i="1"/>
  <c r="AJ572" i="1"/>
  <c r="AK572" i="1"/>
  <c r="AM572" i="1"/>
  <c r="AN572" i="1"/>
  <c r="AO572" i="1"/>
  <c r="AP572" i="1"/>
  <c r="AQ572" i="1"/>
  <c r="A573" i="1"/>
  <c r="B573" i="1"/>
  <c r="C573" i="1"/>
  <c r="D573" i="1"/>
  <c r="E573" i="1"/>
  <c r="F573" i="1"/>
  <c r="G573" i="1"/>
  <c r="K573" i="1"/>
  <c r="N573" i="1"/>
  <c r="O573" i="1"/>
  <c r="V573" i="1"/>
  <c r="AB573" i="1"/>
  <c r="AC573" i="1"/>
  <c r="AD573" i="1"/>
  <c r="AG573" i="1"/>
  <c r="AH573" i="1"/>
  <c r="AI573" i="1"/>
  <c r="AJ573" i="1"/>
  <c r="AK573" i="1"/>
  <c r="AM573" i="1"/>
  <c r="AN573" i="1"/>
  <c r="AO573" i="1"/>
  <c r="AP573" i="1"/>
  <c r="AQ573" i="1"/>
  <c r="A574" i="1"/>
  <c r="B574" i="1"/>
  <c r="C574" i="1"/>
  <c r="D574" i="1"/>
  <c r="E574" i="1"/>
  <c r="F574" i="1"/>
  <c r="G574" i="1"/>
  <c r="K574" i="1"/>
  <c r="N574" i="1"/>
  <c r="O574" i="1"/>
  <c r="V574" i="1"/>
  <c r="AB574" i="1"/>
  <c r="AC574" i="1"/>
  <c r="AD574" i="1"/>
  <c r="AG574" i="1"/>
  <c r="AH574" i="1"/>
  <c r="AI574" i="1"/>
  <c r="AJ574" i="1"/>
  <c r="AK574" i="1"/>
  <c r="AM574" i="1"/>
  <c r="AN574" i="1"/>
  <c r="AO574" i="1"/>
  <c r="AP574" i="1"/>
  <c r="AQ574" i="1"/>
  <c r="A575" i="1"/>
  <c r="B575" i="1"/>
  <c r="C575" i="1"/>
  <c r="D575" i="1"/>
  <c r="E575" i="1"/>
  <c r="F575" i="1"/>
  <c r="G575" i="1"/>
  <c r="K575" i="1"/>
  <c r="N575" i="1"/>
  <c r="O575" i="1"/>
  <c r="V575" i="1"/>
  <c r="AB575" i="1"/>
  <c r="AC575" i="1"/>
  <c r="AD575" i="1"/>
  <c r="AG575" i="1"/>
  <c r="AH575" i="1"/>
  <c r="AI575" i="1"/>
  <c r="AJ575" i="1"/>
  <c r="AK575" i="1"/>
  <c r="AM575" i="1"/>
  <c r="AN575" i="1"/>
  <c r="AO575" i="1"/>
  <c r="AP575" i="1"/>
  <c r="AQ575" i="1"/>
  <c r="A576" i="1"/>
  <c r="B576" i="1"/>
  <c r="C576" i="1"/>
  <c r="D576" i="1"/>
  <c r="E576" i="1"/>
  <c r="F576" i="1"/>
  <c r="G576" i="1"/>
  <c r="K576" i="1"/>
  <c r="N576" i="1"/>
  <c r="O576" i="1"/>
  <c r="V576" i="1"/>
  <c r="AB576" i="1"/>
  <c r="AC576" i="1"/>
  <c r="AD576" i="1"/>
  <c r="AG576" i="1"/>
  <c r="AH576" i="1"/>
  <c r="AI576" i="1"/>
  <c r="AJ576" i="1"/>
  <c r="AK576" i="1"/>
  <c r="AM576" i="1"/>
  <c r="AN576" i="1"/>
  <c r="AO576" i="1"/>
  <c r="AP576" i="1"/>
  <c r="AQ576" i="1"/>
  <c r="A577" i="1"/>
  <c r="B577" i="1"/>
  <c r="C577" i="1"/>
  <c r="D577" i="1"/>
  <c r="E577" i="1"/>
  <c r="F577" i="1"/>
  <c r="G577" i="1"/>
  <c r="K577" i="1"/>
  <c r="N577" i="1"/>
  <c r="O577" i="1"/>
  <c r="V577" i="1"/>
  <c r="AB577" i="1"/>
  <c r="AC577" i="1"/>
  <c r="AD577" i="1"/>
  <c r="AG577" i="1"/>
  <c r="AH577" i="1"/>
  <c r="AI577" i="1"/>
  <c r="AJ577" i="1"/>
  <c r="AK577" i="1"/>
  <c r="AM577" i="1"/>
  <c r="AN577" i="1"/>
  <c r="AO577" i="1"/>
  <c r="AP577" i="1"/>
  <c r="AQ577" i="1"/>
  <c r="A578" i="1"/>
  <c r="B578" i="1"/>
  <c r="C578" i="1"/>
  <c r="D578" i="1"/>
  <c r="E578" i="1"/>
  <c r="F578" i="1"/>
  <c r="G578" i="1"/>
  <c r="K578" i="1"/>
  <c r="N578" i="1"/>
  <c r="O578" i="1"/>
  <c r="V578" i="1"/>
  <c r="AB578" i="1"/>
  <c r="AC578" i="1"/>
  <c r="AD578" i="1"/>
  <c r="AG578" i="1"/>
  <c r="AH578" i="1"/>
  <c r="AI578" i="1"/>
  <c r="AJ578" i="1"/>
  <c r="AK578" i="1"/>
  <c r="AM578" i="1"/>
  <c r="AN578" i="1"/>
  <c r="AO578" i="1"/>
  <c r="AP578" i="1"/>
  <c r="AQ578" i="1"/>
  <c r="A579" i="1"/>
  <c r="B579" i="1"/>
  <c r="C579" i="1"/>
  <c r="D579" i="1"/>
  <c r="E579" i="1"/>
  <c r="F579" i="1"/>
  <c r="G579" i="1"/>
  <c r="K579" i="1"/>
  <c r="N579" i="1"/>
  <c r="O579" i="1"/>
  <c r="V579" i="1"/>
  <c r="AB579" i="1"/>
  <c r="AC579" i="1"/>
  <c r="AD579" i="1"/>
  <c r="AG579" i="1"/>
  <c r="AH579" i="1"/>
  <c r="AI579" i="1"/>
  <c r="AJ579" i="1"/>
  <c r="AK579" i="1"/>
  <c r="AM579" i="1"/>
  <c r="AN579" i="1"/>
  <c r="AO579" i="1"/>
  <c r="AP579" i="1"/>
  <c r="AQ579" i="1"/>
  <c r="A580" i="1"/>
  <c r="B580" i="1"/>
  <c r="C580" i="1"/>
  <c r="D580" i="1"/>
  <c r="E580" i="1"/>
  <c r="F580" i="1"/>
  <c r="G580" i="1"/>
  <c r="K580" i="1"/>
  <c r="N580" i="1"/>
  <c r="O580" i="1"/>
  <c r="V580" i="1"/>
  <c r="AB580" i="1"/>
  <c r="AC580" i="1"/>
  <c r="AD580" i="1"/>
  <c r="AG580" i="1"/>
  <c r="AH580" i="1"/>
  <c r="AI580" i="1"/>
  <c r="AJ580" i="1"/>
  <c r="AK580" i="1"/>
  <c r="AM580" i="1"/>
  <c r="AN580" i="1"/>
  <c r="AO580" i="1"/>
  <c r="AP580" i="1"/>
  <c r="AQ580" i="1"/>
  <c r="A581" i="1"/>
  <c r="B581" i="1"/>
  <c r="C581" i="1"/>
  <c r="D581" i="1"/>
  <c r="E581" i="1"/>
  <c r="F581" i="1"/>
  <c r="G581" i="1"/>
  <c r="N581" i="1"/>
  <c r="O581" i="1"/>
  <c r="V581" i="1"/>
  <c r="AB581" i="1"/>
  <c r="AC581" i="1"/>
  <c r="AD581" i="1"/>
  <c r="AG581" i="1"/>
  <c r="AH581" i="1"/>
  <c r="AI581" i="1"/>
  <c r="AJ581" i="1"/>
  <c r="AK581" i="1"/>
  <c r="AM581" i="1"/>
  <c r="AN581" i="1"/>
  <c r="AO581" i="1"/>
  <c r="AP581" i="1"/>
  <c r="AQ581" i="1"/>
  <c r="A582" i="1"/>
  <c r="B582" i="1"/>
  <c r="C582" i="1"/>
  <c r="D582" i="1"/>
  <c r="E582" i="1"/>
  <c r="F582" i="1"/>
  <c r="G582" i="1"/>
  <c r="K582" i="1"/>
  <c r="N582" i="1"/>
  <c r="O582" i="1"/>
  <c r="V582" i="1"/>
  <c r="AB582" i="1"/>
  <c r="AC582" i="1"/>
  <c r="AD582" i="1"/>
  <c r="AG582" i="1"/>
  <c r="AH582" i="1"/>
  <c r="AI582" i="1"/>
  <c r="AJ582" i="1"/>
  <c r="AK582" i="1"/>
  <c r="AM582" i="1"/>
  <c r="AN582" i="1"/>
  <c r="AO582" i="1"/>
  <c r="AP582" i="1"/>
  <c r="AQ582" i="1"/>
  <c r="A583" i="1"/>
  <c r="B583" i="1"/>
  <c r="C583" i="1"/>
  <c r="D583" i="1"/>
  <c r="E583" i="1"/>
  <c r="F583" i="1"/>
  <c r="G583" i="1"/>
  <c r="K583" i="1"/>
  <c r="N583" i="1"/>
  <c r="O583" i="1"/>
  <c r="V583" i="1"/>
  <c r="AB583" i="1"/>
  <c r="AC583" i="1"/>
  <c r="AD583" i="1"/>
  <c r="AG583" i="1"/>
  <c r="AH583" i="1"/>
  <c r="AI583" i="1"/>
  <c r="AJ583" i="1"/>
  <c r="AK583" i="1"/>
  <c r="AM583" i="1"/>
  <c r="AN583" i="1"/>
  <c r="AO583" i="1"/>
  <c r="AP583" i="1"/>
  <c r="AQ583" i="1"/>
  <c r="A584" i="1"/>
  <c r="B584" i="1"/>
  <c r="C584" i="1"/>
  <c r="D584" i="1"/>
  <c r="E584" i="1"/>
  <c r="F584" i="1"/>
  <c r="G584" i="1"/>
  <c r="N584" i="1"/>
  <c r="V584" i="1"/>
  <c r="AB584" i="1"/>
  <c r="AC584" i="1"/>
  <c r="AD584" i="1"/>
  <c r="AG584" i="1"/>
  <c r="AH584" i="1"/>
  <c r="AI584" i="1"/>
  <c r="AJ584" i="1"/>
  <c r="AK584" i="1"/>
  <c r="AM584" i="1"/>
  <c r="AN584" i="1"/>
  <c r="AO584" i="1"/>
  <c r="AP584" i="1"/>
  <c r="AQ584" i="1"/>
  <c r="A585" i="1"/>
  <c r="B585" i="1"/>
  <c r="C585" i="1"/>
  <c r="D585" i="1"/>
  <c r="E585" i="1"/>
  <c r="F585" i="1"/>
  <c r="G585" i="1"/>
  <c r="K585" i="1"/>
  <c r="N585" i="1"/>
  <c r="O585" i="1"/>
  <c r="V585" i="1"/>
  <c r="AB585" i="1"/>
  <c r="AC585" i="1"/>
  <c r="AD585" i="1"/>
  <c r="AG585" i="1"/>
  <c r="AH585" i="1"/>
  <c r="AI585" i="1"/>
  <c r="AJ585" i="1"/>
  <c r="AK585" i="1"/>
  <c r="AM585" i="1"/>
  <c r="AN585" i="1"/>
  <c r="AO585" i="1"/>
  <c r="AP585" i="1"/>
  <c r="AQ585" i="1"/>
  <c r="A586" i="1"/>
  <c r="B586" i="1"/>
  <c r="C586" i="1"/>
  <c r="D586" i="1"/>
  <c r="E586" i="1"/>
  <c r="F586" i="1"/>
  <c r="G586" i="1"/>
  <c r="N586" i="1"/>
  <c r="O586" i="1"/>
  <c r="V586" i="1"/>
  <c r="AB586" i="1"/>
  <c r="AC586" i="1"/>
  <c r="AD586" i="1"/>
  <c r="AG586" i="1"/>
  <c r="AH586" i="1"/>
  <c r="AI586" i="1"/>
  <c r="AJ586" i="1"/>
  <c r="AK586" i="1"/>
  <c r="AM586" i="1"/>
  <c r="AN586" i="1"/>
  <c r="AO586" i="1"/>
  <c r="AP586" i="1"/>
  <c r="AQ586" i="1"/>
  <c r="A587" i="1"/>
  <c r="B587" i="1"/>
  <c r="C587" i="1"/>
  <c r="D587" i="1"/>
  <c r="E587" i="1"/>
  <c r="F587" i="1"/>
  <c r="G587" i="1"/>
  <c r="K587" i="1"/>
  <c r="N587" i="1"/>
  <c r="O587" i="1"/>
  <c r="V587" i="1"/>
  <c r="AB587" i="1"/>
  <c r="AC587" i="1"/>
  <c r="AD587" i="1"/>
  <c r="AG587" i="1"/>
  <c r="AH587" i="1"/>
  <c r="AI587" i="1"/>
  <c r="AJ587" i="1"/>
  <c r="AK587" i="1"/>
  <c r="AM587" i="1"/>
  <c r="AN587" i="1"/>
  <c r="AO587" i="1"/>
  <c r="AP587" i="1"/>
  <c r="AQ587" i="1"/>
  <c r="A588" i="1"/>
  <c r="B588" i="1"/>
  <c r="C588" i="1"/>
  <c r="D588" i="1"/>
  <c r="E588" i="1"/>
  <c r="F588" i="1"/>
  <c r="G588" i="1"/>
  <c r="K588" i="1"/>
  <c r="N588" i="1"/>
  <c r="V588" i="1"/>
  <c r="AB588" i="1"/>
  <c r="AC588" i="1"/>
  <c r="AD588" i="1"/>
  <c r="AG588" i="1"/>
  <c r="AH588" i="1"/>
  <c r="AI588" i="1"/>
  <c r="AJ588" i="1"/>
  <c r="AK588" i="1"/>
  <c r="AM588" i="1"/>
  <c r="AN588" i="1"/>
  <c r="AO588" i="1"/>
  <c r="AP588" i="1"/>
  <c r="AQ588" i="1"/>
  <c r="A589" i="1"/>
  <c r="B589" i="1"/>
  <c r="C589" i="1"/>
  <c r="D589" i="1"/>
  <c r="E589" i="1"/>
  <c r="F589" i="1"/>
  <c r="G589" i="1"/>
  <c r="K589" i="1"/>
  <c r="N589" i="1"/>
  <c r="O589" i="1"/>
  <c r="V589" i="1"/>
  <c r="AB589" i="1"/>
  <c r="AC589" i="1"/>
  <c r="AD589" i="1"/>
  <c r="AG589" i="1"/>
  <c r="AH589" i="1"/>
  <c r="AI589" i="1"/>
  <c r="AJ589" i="1"/>
  <c r="AK589" i="1"/>
  <c r="AM589" i="1"/>
  <c r="AN589" i="1"/>
  <c r="AO589" i="1"/>
  <c r="AP589" i="1"/>
  <c r="AQ589" i="1"/>
  <c r="A590" i="1"/>
  <c r="B590" i="1"/>
  <c r="C590" i="1"/>
  <c r="D590" i="1"/>
  <c r="E590" i="1"/>
  <c r="F590" i="1"/>
  <c r="G590" i="1"/>
  <c r="K590" i="1"/>
  <c r="N590" i="1"/>
  <c r="O590" i="1"/>
  <c r="V590" i="1"/>
  <c r="AB590" i="1"/>
  <c r="AC590" i="1"/>
  <c r="AD590" i="1"/>
  <c r="AG590" i="1"/>
  <c r="AH590" i="1"/>
  <c r="AI590" i="1"/>
  <c r="AJ590" i="1"/>
  <c r="AK590" i="1"/>
  <c r="AM590" i="1"/>
  <c r="AN590" i="1"/>
  <c r="AO590" i="1"/>
  <c r="AP590" i="1"/>
  <c r="AQ590" i="1"/>
  <c r="A591" i="1"/>
  <c r="B591" i="1"/>
  <c r="C591" i="1"/>
  <c r="D591" i="1"/>
  <c r="E591" i="1"/>
  <c r="F591" i="1"/>
  <c r="G591" i="1"/>
  <c r="K591" i="1"/>
  <c r="N591" i="1"/>
  <c r="O591" i="1"/>
  <c r="V591" i="1"/>
  <c r="AB591" i="1"/>
  <c r="AC591" i="1"/>
  <c r="AD591" i="1"/>
  <c r="AG591" i="1"/>
  <c r="AH591" i="1"/>
  <c r="AI591" i="1"/>
  <c r="AJ591" i="1"/>
  <c r="AK591" i="1"/>
  <c r="AM591" i="1"/>
  <c r="AN591" i="1"/>
  <c r="AO591" i="1"/>
  <c r="AP591" i="1"/>
  <c r="AQ591" i="1"/>
  <c r="A592" i="1"/>
  <c r="B592" i="1"/>
  <c r="C592" i="1"/>
  <c r="D592" i="1"/>
  <c r="E592" i="1"/>
  <c r="F592" i="1"/>
  <c r="G592" i="1"/>
  <c r="K592" i="1"/>
  <c r="N592" i="1"/>
  <c r="O592" i="1"/>
  <c r="V592" i="1"/>
  <c r="AB592" i="1"/>
  <c r="AC592" i="1"/>
  <c r="AD592" i="1"/>
  <c r="AG592" i="1"/>
  <c r="AH592" i="1"/>
  <c r="AI592" i="1"/>
  <c r="AJ592" i="1"/>
  <c r="AK592" i="1"/>
  <c r="AM592" i="1"/>
  <c r="AN592" i="1"/>
  <c r="AO592" i="1"/>
  <c r="AP592" i="1"/>
  <c r="AQ592" i="1"/>
  <c r="A593" i="1"/>
  <c r="B593" i="1"/>
  <c r="C593" i="1"/>
  <c r="D593" i="1"/>
  <c r="E593" i="1"/>
  <c r="F593" i="1"/>
  <c r="G593" i="1"/>
  <c r="K593" i="1"/>
  <c r="N593" i="1"/>
  <c r="O593" i="1"/>
  <c r="V593" i="1"/>
  <c r="AB593" i="1"/>
  <c r="AC593" i="1"/>
  <c r="AD593" i="1"/>
  <c r="AG593" i="1"/>
  <c r="AH593" i="1"/>
  <c r="AI593" i="1"/>
  <c r="AJ593" i="1"/>
  <c r="AK593" i="1"/>
  <c r="AM593" i="1"/>
  <c r="AN593" i="1"/>
  <c r="AO593" i="1"/>
  <c r="AP593" i="1"/>
  <c r="AQ593" i="1"/>
  <c r="A594" i="1"/>
  <c r="B594" i="1"/>
  <c r="C594" i="1"/>
  <c r="D594" i="1"/>
  <c r="E594" i="1"/>
  <c r="F594" i="1"/>
  <c r="G594" i="1"/>
  <c r="K594" i="1"/>
  <c r="N594" i="1"/>
  <c r="O594" i="1"/>
  <c r="V594" i="1"/>
  <c r="AB594" i="1"/>
  <c r="AC594" i="1"/>
  <c r="AD594" i="1"/>
  <c r="AG594" i="1"/>
  <c r="AH594" i="1"/>
  <c r="AI594" i="1"/>
  <c r="AJ594" i="1"/>
  <c r="AK594" i="1"/>
  <c r="AM594" i="1"/>
  <c r="AN594" i="1"/>
  <c r="AO594" i="1"/>
  <c r="AP594" i="1"/>
  <c r="AQ594" i="1"/>
  <c r="A595" i="1"/>
  <c r="B595" i="1"/>
  <c r="C595" i="1"/>
  <c r="D595" i="1"/>
  <c r="E595" i="1"/>
  <c r="F595" i="1"/>
  <c r="G595" i="1"/>
  <c r="K595" i="1"/>
  <c r="N595" i="1"/>
  <c r="O595" i="1"/>
  <c r="V595" i="1"/>
  <c r="AB595" i="1"/>
  <c r="AC595" i="1"/>
  <c r="AD595" i="1"/>
  <c r="AG595" i="1"/>
  <c r="AH595" i="1"/>
  <c r="AI595" i="1"/>
  <c r="AJ595" i="1"/>
  <c r="AK595" i="1"/>
  <c r="AM595" i="1"/>
  <c r="AN595" i="1"/>
  <c r="AO595" i="1"/>
  <c r="AP595" i="1"/>
  <c r="AQ595" i="1"/>
  <c r="A596" i="1"/>
  <c r="B596" i="1"/>
  <c r="C596" i="1"/>
  <c r="D596" i="1"/>
  <c r="E596" i="1"/>
  <c r="F596" i="1"/>
  <c r="G596" i="1"/>
  <c r="K596" i="1"/>
  <c r="N596" i="1"/>
  <c r="O596" i="1"/>
  <c r="V596" i="1"/>
  <c r="AB596" i="1"/>
  <c r="AC596" i="1"/>
  <c r="AD596" i="1"/>
  <c r="AG596" i="1"/>
  <c r="AH596" i="1"/>
  <c r="AI596" i="1"/>
  <c r="AJ596" i="1"/>
  <c r="AK596" i="1"/>
  <c r="AM596" i="1"/>
  <c r="AN596" i="1"/>
  <c r="AO596" i="1"/>
  <c r="AP596" i="1"/>
  <c r="AQ596" i="1"/>
  <c r="A597" i="1"/>
  <c r="B597" i="1"/>
  <c r="C597" i="1"/>
  <c r="D597" i="1"/>
  <c r="E597" i="1"/>
  <c r="F597" i="1"/>
  <c r="G597" i="1"/>
  <c r="K597" i="1"/>
  <c r="L597" i="1"/>
  <c r="N597" i="1"/>
  <c r="O597" i="1"/>
  <c r="V597" i="1"/>
  <c r="AB597" i="1"/>
  <c r="AC597" i="1"/>
  <c r="AD597" i="1"/>
  <c r="AG597" i="1"/>
  <c r="AH597" i="1"/>
  <c r="AI597" i="1"/>
  <c r="AJ597" i="1"/>
  <c r="AK597" i="1"/>
  <c r="AM597" i="1"/>
  <c r="AN597" i="1"/>
  <c r="AO597" i="1"/>
  <c r="AP597" i="1"/>
  <c r="AQ597" i="1"/>
  <c r="A598" i="1"/>
  <c r="B598" i="1"/>
  <c r="C598" i="1"/>
  <c r="D598" i="1"/>
  <c r="E598" i="1"/>
  <c r="F598" i="1"/>
  <c r="G598" i="1"/>
  <c r="K598" i="1"/>
  <c r="N598" i="1"/>
  <c r="O598" i="1"/>
  <c r="V598" i="1"/>
  <c r="AB598" i="1"/>
  <c r="AC598" i="1"/>
  <c r="AD598" i="1"/>
  <c r="AG598" i="1"/>
  <c r="AH598" i="1"/>
  <c r="AI598" i="1"/>
  <c r="AJ598" i="1"/>
  <c r="AK598" i="1"/>
  <c r="AM598" i="1"/>
  <c r="AN598" i="1"/>
  <c r="AO598" i="1"/>
  <c r="AP598" i="1"/>
  <c r="AQ598" i="1"/>
  <c r="A599" i="1"/>
  <c r="B599" i="1"/>
  <c r="C599" i="1"/>
  <c r="D599" i="1"/>
  <c r="E599" i="1"/>
  <c r="F599" i="1"/>
  <c r="G599" i="1"/>
  <c r="K599" i="1"/>
  <c r="N599" i="1"/>
  <c r="O599" i="1"/>
  <c r="V599" i="1"/>
  <c r="AB599" i="1"/>
  <c r="AC599" i="1"/>
  <c r="AD599" i="1"/>
  <c r="AG599" i="1"/>
  <c r="AH599" i="1"/>
  <c r="AI599" i="1"/>
  <c r="AJ599" i="1"/>
  <c r="AK599" i="1"/>
  <c r="AM599" i="1"/>
  <c r="AN599" i="1"/>
  <c r="AO599" i="1"/>
  <c r="AP599" i="1"/>
  <c r="AQ599" i="1"/>
  <c r="A600" i="1"/>
  <c r="B600" i="1"/>
  <c r="C600" i="1"/>
  <c r="D600" i="1"/>
  <c r="E600" i="1"/>
  <c r="F600" i="1"/>
  <c r="G600" i="1"/>
  <c r="K600" i="1"/>
  <c r="N600" i="1"/>
  <c r="O600" i="1"/>
  <c r="V600" i="1"/>
  <c r="AB600" i="1"/>
  <c r="AC600" i="1"/>
  <c r="AD600" i="1"/>
  <c r="AG600" i="1"/>
  <c r="AH600" i="1"/>
  <c r="AI600" i="1"/>
  <c r="AJ600" i="1"/>
  <c r="AK600" i="1"/>
  <c r="AM600" i="1"/>
  <c r="AN600" i="1"/>
  <c r="AO600" i="1"/>
  <c r="AP600" i="1"/>
  <c r="AQ600" i="1"/>
  <c r="A601" i="1"/>
  <c r="B601" i="1"/>
  <c r="C601" i="1"/>
  <c r="D601" i="1"/>
  <c r="E601" i="1"/>
  <c r="F601" i="1"/>
  <c r="G601" i="1"/>
  <c r="K601" i="1"/>
  <c r="N601" i="1"/>
  <c r="O601" i="1"/>
  <c r="V601" i="1"/>
  <c r="AB601" i="1"/>
  <c r="AC601" i="1"/>
  <c r="AD601" i="1"/>
  <c r="AG601" i="1"/>
  <c r="AH601" i="1"/>
  <c r="AI601" i="1"/>
  <c r="AJ601" i="1"/>
  <c r="AK601" i="1"/>
  <c r="AM601" i="1"/>
  <c r="AN601" i="1"/>
  <c r="AO601" i="1"/>
  <c r="AP601" i="1"/>
  <c r="AQ601" i="1"/>
  <c r="A602" i="1"/>
  <c r="B602" i="1"/>
  <c r="C602" i="1"/>
  <c r="D602" i="1"/>
  <c r="E602" i="1"/>
  <c r="F602" i="1"/>
  <c r="G602" i="1"/>
  <c r="K602" i="1"/>
  <c r="N602" i="1"/>
  <c r="O602" i="1"/>
  <c r="V602" i="1"/>
  <c r="AB602" i="1"/>
  <c r="AC602" i="1"/>
  <c r="AD602" i="1"/>
  <c r="AG602" i="1"/>
  <c r="AH602" i="1"/>
  <c r="AI602" i="1"/>
  <c r="AJ602" i="1"/>
  <c r="AK602" i="1"/>
  <c r="AM602" i="1"/>
  <c r="AN602" i="1"/>
  <c r="AO602" i="1"/>
  <c r="AP602" i="1"/>
  <c r="AQ602" i="1"/>
  <c r="A603" i="1"/>
  <c r="B603" i="1"/>
  <c r="C603" i="1"/>
  <c r="D603" i="1"/>
  <c r="E603" i="1"/>
  <c r="F603" i="1"/>
  <c r="G603" i="1"/>
  <c r="K603" i="1"/>
  <c r="N603" i="1"/>
  <c r="O603" i="1"/>
  <c r="V603" i="1"/>
  <c r="AB603" i="1"/>
  <c r="AC603" i="1"/>
  <c r="AD603" i="1"/>
  <c r="AG603" i="1"/>
  <c r="AH603" i="1"/>
  <c r="AI603" i="1"/>
  <c r="AJ603" i="1"/>
  <c r="AK603" i="1"/>
  <c r="AM603" i="1"/>
  <c r="AN603" i="1"/>
  <c r="AO603" i="1"/>
  <c r="AP603" i="1"/>
  <c r="AQ603" i="1"/>
  <c r="A604" i="1"/>
  <c r="B604" i="1"/>
  <c r="C604" i="1"/>
  <c r="D604" i="1"/>
  <c r="E604" i="1"/>
  <c r="F604" i="1"/>
  <c r="G604" i="1"/>
  <c r="K604" i="1"/>
  <c r="N604" i="1"/>
  <c r="V604" i="1"/>
  <c r="AB604" i="1"/>
  <c r="AC604" i="1"/>
  <c r="AD604" i="1"/>
  <c r="AG604" i="1"/>
  <c r="AH604" i="1"/>
  <c r="AI604" i="1"/>
  <c r="AJ604" i="1"/>
  <c r="AK604" i="1"/>
  <c r="AM604" i="1"/>
  <c r="AN604" i="1"/>
  <c r="AO604" i="1"/>
  <c r="AP604" i="1"/>
  <c r="AQ604" i="1"/>
  <c r="A605" i="1"/>
  <c r="B605" i="1"/>
  <c r="C605" i="1"/>
  <c r="D605" i="1"/>
  <c r="E605" i="1"/>
  <c r="F605" i="1"/>
  <c r="G605" i="1"/>
  <c r="K605" i="1"/>
  <c r="N605" i="1"/>
  <c r="O605" i="1"/>
  <c r="V605" i="1"/>
  <c r="AB605" i="1"/>
  <c r="AC605" i="1"/>
  <c r="AD605" i="1"/>
  <c r="AG605" i="1"/>
  <c r="AH605" i="1"/>
  <c r="AI605" i="1"/>
  <c r="AJ605" i="1"/>
  <c r="AK605" i="1"/>
  <c r="AM605" i="1"/>
  <c r="AN605" i="1"/>
  <c r="AO605" i="1"/>
  <c r="AP605" i="1"/>
  <c r="AQ605" i="1"/>
  <c r="A606" i="1"/>
  <c r="B606" i="1"/>
  <c r="C606" i="1"/>
  <c r="D606" i="1"/>
  <c r="E606" i="1"/>
  <c r="F606" i="1"/>
  <c r="G606" i="1"/>
  <c r="K606" i="1"/>
  <c r="N606" i="1"/>
  <c r="O606" i="1"/>
  <c r="V606" i="1"/>
  <c r="AB606" i="1"/>
  <c r="AC606" i="1"/>
  <c r="AD606" i="1"/>
  <c r="AG606" i="1"/>
  <c r="AH606" i="1"/>
  <c r="AI606" i="1"/>
  <c r="AJ606" i="1"/>
  <c r="AK606" i="1"/>
  <c r="AM606" i="1"/>
  <c r="AN606" i="1"/>
  <c r="AO606" i="1"/>
  <c r="AP606" i="1"/>
  <c r="AQ606" i="1"/>
  <c r="A607" i="1"/>
  <c r="B607" i="1"/>
  <c r="C607" i="1"/>
  <c r="D607" i="1"/>
  <c r="E607" i="1"/>
  <c r="F607" i="1"/>
  <c r="G607" i="1"/>
  <c r="K607" i="1"/>
  <c r="N607" i="1"/>
  <c r="O607" i="1"/>
  <c r="V607" i="1"/>
  <c r="AB607" i="1"/>
  <c r="AC607" i="1"/>
  <c r="AD607" i="1"/>
  <c r="AG607" i="1"/>
  <c r="AH607" i="1"/>
  <c r="AI607" i="1"/>
  <c r="AJ607" i="1"/>
  <c r="AK607" i="1"/>
  <c r="AM607" i="1"/>
  <c r="AN607" i="1"/>
  <c r="AO607" i="1"/>
  <c r="AP607" i="1"/>
  <c r="AQ607" i="1"/>
  <c r="A608" i="1"/>
  <c r="B608" i="1"/>
  <c r="C608" i="1"/>
  <c r="D608" i="1"/>
  <c r="E608" i="1"/>
  <c r="F608" i="1"/>
  <c r="G608" i="1"/>
  <c r="K608" i="1"/>
  <c r="N608" i="1"/>
  <c r="O608" i="1"/>
  <c r="V608" i="1"/>
  <c r="AB608" i="1"/>
  <c r="AC608" i="1"/>
  <c r="AD608" i="1"/>
  <c r="AG608" i="1"/>
  <c r="AH608" i="1"/>
  <c r="AI608" i="1"/>
  <c r="AJ608" i="1"/>
  <c r="AK608" i="1"/>
  <c r="AM608" i="1"/>
  <c r="AN608" i="1"/>
  <c r="AO608" i="1"/>
  <c r="AP608" i="1"/>
  <c r="AQ608" i="1"/>
  <c r="A609" i="1"/>
  <c r="B609" i="1"/>
  <c r="C609" i="1"/>
  <c r="D609" i="1"/>
  <c r="E609" i="1"/>
  <c r="F609" i="1"/>
  <c r="G609" i="1"/>
  <c r="K609" i="1"/>
  <c r="N609" i="1"/>
  <c r="O609" i="1"/>
  <c r="V609" i="1"/>
  <c r="AB609" i="1"/>
  <c r="AC609" i="1"/>
  <c r="AD609" i="1"/>
  <c r="AG609" i="1"/>
  <c r="AH609" i="1"/>
  <c r="AI609" i="1"/>
  <c r="AJ609" i="1"/>
  <c r="AK609" i="1"/>
  <c r="AM609" i="1"/>
  <c r="AN609" i="1"/>
  <c r="AO609" i="1"/>
  <c r="AP609" i="1"/>
  <c r="AQ609" i="1"/>
  <c r="A610" i="1"/>
  <c r="B610" i="1"/>
  <c r="C610" i="1"/>
  <c r="D610" i="1"/>
  <c r="E610" i="1"/>
  <c r="F610" i="1"/>
  <c r="G610" i="1"/>
  <c r="N610" i="1"/>
  <c r="V610" i="1"/>
  <c r="AB610" i="1"/>
  <c r="AC610" i="1"/>
  <c r="AD610" i="1"/>
  <c r="AG610" i="1"/>
  <c r="AH610" i="1"/>
  <c r="AI610" i="1"/>
  <c r="AJ610" i="1"/>
  <c r="AK610" i="1"/>
  <c r="AM610" i="1"/>
  <c r="AN610" i="1"/>
  <c r="AO610" i="1"/>
  <c r="AP610" i="1"/>
  <c r="AQ610" i="1"/>
  <c r="A611" i="1"/>
  <c r="B611" i="1"/>
  <c r="C611" i="1"/>
  <c r="D611" i="1"/>
  <c r="E611" i="1"/>
  <c r="F611" i="1"/>
  <c r="G611" i="1"/>
  <c r="N611" i="1"/>
  <c r="V611" i="1"/>
  <c r="AB611" i="1"/>
  <c r="AC611" i="1"/>
  <c r="AD611" i="1"/>
  <c r="AG611" i="1"/>
  <c r="AH611" i="1"/>
  <c r="AI611" i="1"/>
  <c r="AJ611" i="1"/>
  <c r="AK611" i="1"/>
  <c r="AM611" i="1"/>
  <c r="AN611" i="1"/>
  <c r="AO611" i="1"/>
  <c r="AP611" i="1"/>
  <c r="AQ611" i="1"/>
  <c r="A612" i="1"/>
  <c r="B612" i="1"/>
  <c r="C612" i="1"/>
  <c r="D612" i="1"/>
  <c r="E612" i="1"/>
  <c r="F612" i="1"/>
  <c r="G612" i="1"/>
  <c r="K612" i="1"/>
  <c r="N612" i="1"/>
  <c r="O612" i="1"/>
  <c r="S612" i="1"/>
  <c r="U612" i="1"/>
  <c r="V612" i="1"/>
  <c r="AB612" i="1"/>
  <c r="AC612" i="1"/>
  <c r="AD612" i="1"/>
  <c r="AE612" i="1"/>
  <c r="AG612" i="1"/>
  <c r="AH612" i="1"/>
  <c r="AI612" i="1"/>
  <c r="AJ612" i="1"/>
  <c r="AK612" i="1"/>
  <c r="AM612" i="1"/>
  <c r="AN612" i="1"/>
  <c r="AO612" i="1"/>
  <c r="AP612" i="1"/>
  <c r="AQ612" i="1"/>
  <c r="A613" i="1"/>
  <c r="B613" i="1"/>
  <c r="C613" i="1"/>
  <c r="D613" i="1"/>
  <c r="E613" i="1"/>
  <c r="F613" i="1"/>
  <c r="G613" i="1"/>
  <c r="K613" i="1"/>
  <c r="N613" i="1"/>
  <c r="O613" i="1"/>
  <c r="V613" i="1"/>
  <c r="AB613" i="1"/>
  <c r="AC613" i="1"/>
  <c r="AD613" i="1"/>
  <c r="AG613" i="1"/>
  <c r="AH613" i="1"/>
  <c r="AI613" i="1"/>
  <c r="AJ613" i="1"/>
  <c r="AK613" i="1"/>
  <c r="AM613" i="1"/>
  <c r="AN613" i="1"/>
  <c r="AO613" i="1"/>
  <c r="AP613" i="1"/>
  <c r="AQ613" i="1"/>
  <c r="A614" i="1"/>
  <c r="B614" i="1"/>
  <c r="C614" i="1"/>
  <c r="D614" i="1"/>
  <c r="E614" i="1"/>
  <c r="F614" i="1"/>
  <c r="G614" i="1"/>
  <c r="K614" i="1"/>
  <c r="N614" i="1"/>
  <c r="O614" i="1"/>
  <c r="V614" i="1"/>
  <c r="AB614" i="1"/>
  <c r="AC614" i="1"/>
  <c r="AD614" i="1"/>
  <c r="AG614" i="1"/>
  <c r="AH614" i="1"/>
  <c r="AI614" i="1"/>
  <c r="AJ614" i="1"/>
  <c r="AK614" i="1"/>
  <c r="AM614" i="1"/>
  <c r="AN614" i="1"/>
  <c r="AO614" i="1"/>
  <c r="AP614" i="1"/>
  <c r="AQ614" i="1"/>
  <c r="A615" i="1"/>
  <c r="B615" i="1"/>
  <c r="C615" i="1"/>
  <c r="D615" i="1"/>
  <c r="E615" i="1"/>
  <c r="F615" i="1"/>
  <c r="G615" i="1"/>
  <c r="K615" i="1"/>
  <c r="N615" i="1"/>
  <c r="O615" i="1"/>
  <c r="V615" i="1"/>
  <c r="AB615" i="1"/>
  <c r="AC615" i="1"/>
  <c r="AD615" i="1"/>
  <c r="AG615" i="1"/>
  <c r="AH615" i="1"/>
  <c r="AI615" i="1"/>
  <c r="AJ615" i="1"/>
  <c r="AK615" i="1"/>
  <c r="AM615" i="1"/>
  <c r="AN615" i="1"/>
  <c r="AO615" i="1"/>
  <c r="AP615" i="1"/>
  <c r="AQ615" i="1"/>
  <c r="A616" i="1"/>
  <c r="B616" i="1"/>
  <c r="C616" i="1"/>
  <c r="D616" i="1"/>
  <c r="E616" i="1"/>
  <c r="F616" i="1"/>
  <c r="G616" i="1"/>
  <c r="K616" i="1"/>
  <c r="N616" i="1"/>
  <c r="O616" i="1"/>
  <c r="V616" i="1"/>
  <c r="AB616" i="1"/>
  <c r="AC616" i="1"/>
  <c r="AD616" i="1"/>
  <c r="AG616" i="1"/>
  <c r="AH616" i="1"/>
  <c r="AI616" i="1"/>
  <c r="AJ616" i="1"/>
  <c r="AK616" i="1"/>
  <c r="AM616" i="1"/>
  <c r="AN616" i="1"/>
  <c r="AO616" i="1"/>
  <c r="AP616" i="1"/>
  <c r="AQ616" i="1"/>
  <c r="A617" i="1"/>
  <c r="B617" i="1"/>
  <c r="C617" i="1"/>
  <c r="D617" i="1"/>
  <c r="E617" i="1"/>
  <c r="F617" i="1"/>
  <c r="G617" i="1"/>
  <c r="K617" i="1"/>
  <c r="N617" i="1"/>
  <c r="O617" i="1"/>
  <c r="V617" i="1"/>
  <c r="AB617" i="1"/>
  <c r="AC617" i="1"/>
  <c r="AD617" i="1"/>
  <c r="AG617" i="1"/>
  <c r="AH617" i="1"/>
  <c r="AI617" i="1"/>
  <c r="AJ617" i="1"/>
  <c r="AK617" i="1"/>
  <c r="AM617" i="1"/>
  <c r="AN617" i="1"/>
  <c r="AO617" i="1"/>
  <c r="AP617" i="1"/>
  <c r="AQ617" i="1"/>
  <c r="A618" i="1"/>
  <c r="B618" i="1"/>
  <c r="C618" i="1"/>
  <c r="D618" i="1"/>
  <c r="E618" i="1"/>
  <c r="F618" i="1"/>
  <c r="G618" i="1"/>
  <c r="K618" i="1"/>
  <c r="N618" i="1"/>
  <c r="O618" i="1"/>
  <c r="V618" i="1"/>
  <c r="AB618" i="1"/>
  <c r="AC618" i="1"/>
  <c r="AD618" i="1"/>
  <c r="AG618" i="1"/>
  <c r="AH618" i="1"/>
  <c r="AI618" i="1"/>
  <c r="AJ618" i="1"/>
  <c r="AK618" i="1"/>
  <c r="AM618" i="1"/>
  <c r="AN618" i="1"/>
  <c r="AO618" i="1"/>
  <c r="AP618" i="1"/>
  <c r="AQ618" i="1"/>
  <c r="A619" i="1"/>
  <c r="B619" i="1"/>
  <c r="C619" i="1"/>
  <c r="D619" i="1"/>
  <c r="E619" i="1"/>
  <c r="F619" i="1"/>
  <c r="G619" i="1"/>
  <c r="K619" i="1"/>
  <c r="N619" i="1"/>
  <c r="O619" i="1"/>
  <c r="V619" i="1"/>
  <c r="AB619" i="1"/>
  <c r="AC619" i="1"/>
  <c r="AD619" i="1"/>
  <c r="AG619" i="1"/>
  <c r="AH619" i="1"/>
  <c r="AI619" i="1"/>
  <c r="AJ619" i="1"/>
  <c r="AK619" i="1"/>
  <c r="AM619" i="1"/>
  <c r="AN619" i="1"/>
  <c r="AO619" i="1"/>
  <c r="AP619" i="1"/>
  <c r="AQ619" i="1"/>
  <c r="A620" i="1"/>
  <c r="B620" i="1"/>
  <c r="C620" i="1"/>
  <c r="D620" i="1"/>
  <c r="E620" i="1"/>
  <c r="F620" i="1"/>
  <c r="G620" i="1"/>
  <c r="K620" i="1"/>
  <c r="L620" i="1"/>
  <c r="M620" i="1"/>
  <c r="N620" i="1"/>
  <c r="O620" i="1"/>
  <c r="V620" i="1"/>
  <c r="AB620" i="1"/>
  <c r="AC620" i="1"/>
  <c r="AD620" i="1"/>
  <c r="AE620" i="1"/>
  <c r="AG620" i="1"/>
  <c r="AH620" i="1"/>
  <c r="AI620" i="1"/>
  <c r="AJ620" i="1"/>
  <c r="AK620" i="1"/>
  <c r="AM620" i="1"/>
  <c r="AN620" i="1"/>
  <c r="AO620" i="1"/>
  <c r="AP620" i="1"/>
  <c r="AQ620" i="1"/>
  <c r="A621" i="1"/>
  <c r="B621" i="1"/>
  <c r="C621" i="1"/>
  <c r="D621" i="1"/>
  <c r="E621" i="1"/>
  <c r="F621" i="1"/>
  <c r="G621" i="1"/>
  <c r="K621" i="1"/>
  <c r="N621" i="1"/>
  <c r="O621" i="1"/>
  <c r="V621" i="1"/>
  <c r="AB621" i="1"/>
  <c r="AC621" i="1"/>
  <c r="AD621" i="1"/>
  <c r="AG621" i="1"/>
  <c r="AH621" i="1"/>
  <c r="AI621" i="1"/>
  <c r="AJ621" i="1"/>
  <c r="AK621" i="1"/>
  <c r="AM621" i="1"/>
  <c r="AN621" i="1"/>
  <c r="AO621" i="1"/>
  <c r="AP621" i="1"/>
  <c r="AQ621" i="1"/>
  <c r="A622" i="1"/>
  <c r="B622" i="1"/>
  <c r="C622" i="1"/>
  <c r="D622" i="1"/>
  <c r="E622" i="1"/>
  <c r="F622" i="1"/>
  <c r="G622" i="1"/>
  <c r="K622" i="1"/>
  <c r="N622" i="1"/>
  <c r="O622" i="1"/>
  <c r="V622" i="1"/>
  <c r="AB622" i="1"/>
  <c r="AC622" i="1"/>
  <c r="AD622" i="1"/>
  <c r="AG622" i="1"/>
  <c r="AH622" i="1"/>
  <c r="AI622" i="1"/>
  <c r="AJ622" i="1"/>
  <c r="AK622" i="1"/>
  <c r="AM622" i="1"/>
  <c r="AN622" i="1"/>
  <c r="AO622" i="1"/>
  <c r="AP622" i="1"/>
  <c r="AQ622" i="1"/>
  <c r="A623" i="1"/>
  <c r="B623" i="1"/>
  <c r="C623" i="1"/>
  <c r="D623" i="1"/>
  <c r="E623" i="1"/>
  <c r="F623" i="1"/>
  <c r="G623" i="1"/>
  <c r="K623" i="1"/>
  <c r="N623" i="1"/>
  <c r="O623" i="1"/>
  <c r="V623" i="1"/>
  <c r="AB623" i="1"/>
  <c r="AC623" i="1"/>
  <c r="AD623" i="1"/>
  <c r="AG623" i="1"/>
  <c r="AH623" i="1"/>
  <c r="AI623" i="1"/>
  <c r="AJ623" i="1"/>
  <c r="AK623" i="1"/>
  <c r="AM623" i="1"/>
  <c r="AN623" i="1"/>
  <c r="AO623" i="1"/>
  <c r="AP623" i="1"/>
  <c r="AQ623" i="1"/>
  <c r="A624" i="1"/>
  <c r="B624" i="1"/>
  <c r="C624" i="1"/>
  <c r="D624" i="1"/>
  <c r="E624" i="1"/>
  <c r="F624" i="1"/>
  <c r="G624" i="1"/>
  <c r="K624" i="1"/>
  <c r="L624" i="1"/>
  <c r="M624" i="1"/>
  <c r="N624" i="1"/>
  <c r="S624" i="1"/>
  <c r="U624" i="1"/>
  <c r="V624" i="1"/>
  <c r="AB624" i="1"/>
  <c r="AC624" i="1"/>
  <c r="AD624" i="1"/>
  <c r="AG624" i="1"/>
  <c r="AH624" i="1"/>
  <c r="AI624" i="1"/>
  <c r="AJ624" i="1"/>
  <c r="AK624" i="1"/>
  <c r="AM624" i="1"/>
  <c r="AN624" i="1"/>
  <c r="AO624" i="1"/>
  <c r="AP624" i="1"/>
  <c r="AQ624" i="1"/>
  <c r="A625" i="1"/>
  <c r="B625" i="1"/>
  <c r="C625" i="1"/>
  <c r="D625" i="1"/>
  <c r="E625" i="1"/>
  <c r="F625" i="1"/>
  <c r="G625" i="1"/>
  <c r="K625" i="1"/>
  <c r="N625" i="1"/>
  <c r="O625" i="1"/>
  <c r="V625" i="1"/>
  <c r="AB625" i="1"/>
  <c r="AC625" i="1"/>
  <c r="AD625" i="1"/>
  <c r="AG625" i="1"/>
  <c r="AH625" i="1"/>
  <c r="AI625" i="1"/>
  <c r="AJ625" i="1"/>
  <c r="AK625" i="1"/>
  <c r="AM625" i="1"/>
  <c r="AN625" i="1"/>
  <c r="AO625" i="1"/>
  <c r="AP625" i="1"/>
  <c r="AQ625" i="1"/>
  <c r="A626" i="1"/>
  <c r="B626" i="1"/>
  <c r="C626" i="1"/>
  <c r="D626" i="1"/>
  <c r="E626" i="1"/>
  <c r="F626" i="1"/>
  <c r="G626" i="1"/>
  <c r="K626" i="1"/>
  <c r="N626" i="1"/>
  <c r="O626" i="1"/>
  <c r="V626" i="1"/>
  <c r="AB626" i="1"/>
  <c r="AC626" i="1"/>
  <c r="AD626" i="1"/>
  <c r="AG626" i="1"/>
  <c r="AH626" i="1"/>
  <c r="AI626" i="1"/>
  <c r="AJ626" i="1"/>
  <c r="AK626" i="1"/>
  <c r="AM626" i="1"/>
  <c r="AN626" i="1"/>
  <c r="AO626" i="1"/>
  <c r="AP626" i="1"/>
  <c r="AQ626" i="1"/>
  <c r="A627" i="1"/>
  <c r="B627" i="1"/>
  <c r="C627" i="1"/>
  <c r="D627" i="1"/>
  <c r="E627" i="1"/>
  <c r="F627" i="1"/>
  <c r="G627" i="1"/>
  <c r="K627" i="1"/>
  <c r="N627" i="1"/>
  <c r="O627" i="1"/>
  <c r="V627" i="1"/>
  <c r="AB627" i="1"/>
  <c r="AC627" i="1"/>
  <c r="AD627" i="1"/>
  <c r="AG627" i="1"/>
  <c r="AH627" i="1"/>
  <c r="AI627" i="1"/>
  <c r="AJ627" i="1"/>
  <c r="AK627" i="1"/>
  <c r="AM627" i="1"/>
  <c r="AN627" i="1"/>
  <c r="AO627" i="1"/>
  <c r="AP627" i="1"/>
  <c r="AQ627" i="1"/>
  <c r="A628" i="1"/>
  <c r="B628" i="1"/>
  <c r="C628" i="1"/>
  <c r="D628" i="1"/>
  <c r="E628" i="1"/>
  <c r="F628" i="1"/>
  <c r="G628" i="1"/>
  <c r="K628" i="1"/>
  <c r="N628" i="1"/>
  <c r="O628" i="1"/>
  <c r="V628" i="1"/>
  <c r="AB628" i="1"/>
  <c r="AC628" i="1"/>
  <c r="AD628" i="1"/>
  <c r="AG628" i="1"/>
  <c r="AH628" i="1"/>
  <c r="AI628" i="1"/>
  <c r="AJ628" i="1"/>
  <c r="AK628" i="1"/>
  <c r="AM628" i="1"/>
  <c r="AN628" i="1"/>
  <c r="AO628" i="1"/>
  <c r="AP628" i="1"/>
  <c r="AQ628" i="1"/>
  <c r="A629" i="1"/>
  <c r="B629" i="1"/>
  <c r="C629" i="1"/>
  <c r="D629" i="1"/>
  <c r="E629" i="1"/>
  <c r="F629" i="1"/>
  <c r="G629" i="1"/>
  <c r="K629" i="1"/>
  <c r="N629" i="1"/>
  <c r="O629" i="1"/>
  <c r="V629" i="1"/>
  <c r="AB629" i="1"/>
  <c r="AC629" i="1"/>
  <c r="AD629" i="1"/>
  <c r="AG629" i="1"/>
  <c r="AH629" i="1"/>
  <c r="AI629" i="1"/>
  <c r="AJ629" i="1"/>
  <c r="AK629" i="1"/>
  <c r="AM629" i="1"/>
  <c r="AN629" i="1"/>
  <c r="AO629" i="1"/>
  <c r="AP629" i="1"/>
  <c r="AQ629" i="1"/>
  <c r="A630" i="1"/>
  <c r="B630" i="1"/>
  <c r="C630" i="1"/>
  <c r="D630" i="1"/>
  <c r="E630" i="1"/>
  <c r="F630" i="1"/>
  <c r="G630" i="1"/>
  <c r="K630" i="1"/>
  <c r="N630" i="1"/>
  <c r="O630" i="1"/>
  <c r="V630" i="1"/>
  <c r="AB630" i="1"/>
  <c r="AC630" i="1"/>
  <c r="AD630" i="1"/>
  <c r="AG630" i="1"/>
  <c r="AH630" i="1"/>
  <c r="AI630" i="1"/>
  <c r="AJ630" i="1"/>
  <c r="AK630" i="1"/>
  <c r="AM630" i="1"/>
  <c r="AN630" i="1"/>
  <c r="AO630" i="1"/>
  <c r="AP630" i="1"/>
  <c r="AQ630" i="1"/>
  <c r="A631" i="1"/>
  <c r="B631" i="1"/>
  <c r="C631" i="1"/>
  <c r="D631" i="1"/>
  <c r="E631" i="1"/>
  <c r="F631" i="1"/>
  <c r="G631" i="1"/>
  <c r="K631" i="1"/>
  <c r="N631" i="1"/>
  <c r="O631" i="1"/>
  <c r="V631" i="1"/>
  <c r="AB631" i="1"/>
  <c r="AC631" i="1"/>
  <c r="AD631" i="1"/>
  <c r="AG631" i="1"/>
  <c r="AH631" i="1"/>
  <c r="AI631" i="1"/>
  <c r="AJ631" i="1"/>
  <c r="AK631" i="1"/>
  <c r="AM631" i="1"/>
  <c r="AN631" i="1"/>
  <c r="AO631" i="1"/>
  <c r="AP631" i="1"/>
  <c r="AQ631" i="1"/>
  <c r="A632" i="1"/>
  <c r="B632" i="1"/>
  <c r="C632" i="1"/>
  <c r="D632" i="1"/>
  <c r="E632" i="1"/>
  <c r="F632" i="1"/>
  <c r="G632" i="1"/>
  <c r="K632" i="1"/>
  <c r="N632" i="1"/>
  <c r="O632" i="1"/>
  <c r="V632" i="1"/>
  <c r="AB632" i="1"/>
  <c r="AC632" i="1"/>
  <c r="AD632" i="1"/>
  <c r="AG632" i="1"/>
  <c r="AH632" i="1"/>
  <c r="AI632" i="1"/>
  <c r="AJ632" i="1"/>
  <c r="AK632" i="1"/>
  <c r="AM632" i="1"/>
  <c r="AN632" i="1"/>
  <c r="AO632" i="1"/>
  <c r="AP632" i="1"/>
  <c r="AQ632" i="1"/>
  <c r="A633" i="1"/>
  <c r="B633" i="1"/>
  <c r="C633" i="1"/>
  <c r="D633" i="1"/>
  <c r="E633" i="1"/>
  <c r="F633" i="1"/>
  <c r="G633" i="1"/>
  <c r="K633" i="1"/>
  <c r="N633" i="1"/>
  <c r="O633" i="1"/>
  <c r="V633" i="1"/>
  <c r="AB633" i="1"/>
  <c r="AC633" i="1"/>
  <c r="AD633" i="1"/>
  <c r="AG633" i="1"/>
  <c r="AH633" i="1"/>
  <c r="AI633" i="1"/>
  <c r="AJ633" i="1"/>
  <c r="AK633" i="1"/>
  <c r="AM633" i="1"/>
  <c r="AN633" i="1"/>
  <c r="AO633" i="1"/>
  <c r="AP633" i="1"/>
  <c r="AQ633" i="1"/>
  <c r="A634" i="1"/>
  <c r="B634" i="1"/>
  <c r="C634" i="1"/>
  <c r="D634" i="1"/>
  <c r="E634" i="1"/>
  <c r="F634" i="1"/>
  <c r="G634" i="1"/>
  <c r="K634" i="1"/>
  <c r="N634" i="1"/>
  <c r="O634" i="1"/>
  <c r="V634" i="1"/>
  <c r="AB634" i="1"/>
  <c r="AC634" i="1"/>
  <c r="AD634" i="1"/>
  <c r="AG634" i="1"/>
  <c r="AH634" i="1"/>
  <c r="AI634" i="1"/>
  <c r="AJ634" i="1"/>
  <c r="AK634" i="1"/>
  <c r="AM634" i="1"/>
  <c r="AN634" i="1"/>
  <c r="AO634" i="1"/>
  <c r="AP634" i="1"/>
  <c r="AQ634" i="1"/>
  <c r="A635" i="1"/>
  <c r="B635" i="1"/>
  <c r="C635" i="1"/>
  <c r="D635" i="1"/>
  <c r="E635" i="1"/>
  <c r="F635" i="1"/>
  <c r="G635" i="1"/>
  <c r="K635" i="1"/>
  <c r="N635" i="1"/>
  <c r="O635" i="1"/>
  <c r="V635" i="1"/>
  <c r="AB635" i="1"/>
  <c r="AC635" i="1"/>
  <c r="AD635" i="1"/>
  <c r="AG635" i="1"/>
  <c r="AH635" i="1"/>
  <c r="AI635" i="1"/>
  <c r="AJ635" i="1"/>
  <c r="AK635" i="1"/>
  <c r="AM635" i="1"/>
  <c r="AN635" i="1"/>
  <c r="AO635" i="1"/>
  <c r="AP635" i="1"/>
  <c r="AQ635" i="1"/>
  <c r="A636" i="1"/>
  <c r="B636" i="1"/>
  <c r="C636" i="1"/>
  <c r="D636" i="1"/>
  <c r="E636" i="1"/>
  <c r="F636" i="1"/>
  <c r="G636" i="1"/>
  <c r="K636" i="1"/>
  <c r="N636" i="1"/>
  <c r="O636" i="1"/>
  <c r="V636" i="1"/>
  <c r="AB636" i="1"/>
  <c r="AC636" i="1"/>
  <c r="AD636" i="1"/>
  <c r="AG636" i="1"/>
  <c r="AH636" i="1"/>
  <c r="AI636" i="1"/>
  <c r="AJ636" i="1"/>
  <c r="AK636" i="1"/>
  <c r="AM636" i="1"/>
  <c r="AN636" i="1"/>
  <c r="AO636" i="1"/>
  <c r="AP636" i="1"/>
  <c r="AQ636" i="1"/>
  <c r="A637" i="1"/>
  <c r="B637" i="1"/>
  <c r="C637" i="1"/>
  <c r="D637" i="1"/>
  <c r="E637" i="1"/>
  <c r="F637" i="1"/>
  <c r="G637" i="1"/>
  <c r="K637" i="1"/>
  <c r="L637" i="1"/>
  <c r="M637" i="1"/>
  <c r="N637" i="1"/>
  <c r="O637" i="1"/>
  <c r="Q637" i="1"/>
  <c r="S637" i="1"/>
  <c r="U637" i="1"/>
  <c r="V637" i="1"/>
  <c r="AB637" i="1"/>
  <c r="AC637" i="1"/>
  <c r="AD637" i="1"/>
  <c r="AE637" i="1"/>
  <c r="AG637" i="1"/>
  <c r="AH637" i="1"/>
  <c r="AI637" i="1"/>
  <c r="AJ637" i="1"/>
  <c r="AK637" i="1"/>
  <c r="AM637" i="1"/>
  <c r="AN637" i="1"/>
  <c r="AO637" i="1"/>
  <c r="AP637" i="1"/>
  <c r="AQ637" i="1"/>
  <c r="A638" i="1"/>
  <c r="B638" i="1"/>
  <c r="C638" i="1"/>
  <c r="D638" i="1"/>
  <c r="E638" i="1"/>
  <c r="F638" i="1"/>
  <c r="G638" i="1"/>
  <c r="K638" i="1"/>
  <c r="L638" i="1"/>
  <c r="M638" i="1"/>
  <c r="N638" i="1"/>
  <c r="O638" i="1"/>
  <c r="Q638" i="1"/>
  <c r="S638" i="1"/>
  <c r="U638" i="1"/>
  <c r="V638" i="1"/>
  <c r="AB638" i="1"/>
  <c r="AC638" i="1"/>
  <c r="AD638" i="1"/>
  <c r="AE638" i="1"/>
  <c r="AG638" i="1"/>
  <c r="AH638" i="1"/>
  <c r="AI638" i="1"/>
  <c r="AJ638" i="1"/>
  <c r="AK638" i="1"/>
  <c r="AM638" i="1"/>
  <c r="AN638" i="1"/>
  <c r="AO638" i="1"/>
  <c r="AP638" i="1"/>
  <c r="AQ638" i="1"/>
  <c r="A639" i="1"/>
  <c r="B639" i="1"/>
  <c r="C639" i="1"/>
  <c r="D639" i="1"/>
  <c r="E639" i="1"/>
  <c r="F639" i="1"/>
  <c r="G639" i="1"/>
  <c r="K639" i="1"/>
  <c r="L639" i="1"/>
  <c r="M639" i="1"/>
  <c r="N639" i="1"/>
  <c r="O639" i="1"/>
  <c r="S639" i="1"/>
  <c r="U639" i="1"/>
  <c r="V639" i="1"/>
  <c r="AB639" i="1"/>
  <c r="AC639" i="1"/>
  <c r="AD639" i="1"/>
  <c r="AE639" i="1"/>
  <c r="AF639" i="1"/>
  <c r="AG639" i="1"/>
  <c r="AH639" i="1"/>
  <c r="AI639" i="1"/>
  <c r="AJ639" i="1"/>
  <c r="AK639" i="1"/>
  <c r="AM639" i="1"/>
  <c r="AN639" i="1"/>
  <c r="AO639" i="1"/>
  <c r="AP639" i="1"/>
  <c r="AQ639" i="1"/>
  <c r="A640" i="1"/>
  <c r="B640" i="1"/>
  <c r="C640" i="1"/>
  <c r="D640" i="1"/>
  <c r="E640" i="1"/>
  <c r="F640" i="1"/>
  <c r="G640" i="1"/>
  <c r="K640" i="1"/>
  <c r="M640" i="1"/>
  <c r="N640" i="1"/>
  <c r="O640" i="1"/>
  <c r="V640" i="1"/>
  <c r="AB640" i="1"/>
  <c r="AC640" i="1"/>
  <c r="AD640" i="1"/>
  <c r="AE640" i="1"/>
  <c r="AG640" i="1"/>
  <c r="AH640" i="1"/>
  <c r="AI640" i="1"/>
  <c r="AJ640" i="1"/>
  <c r="AK640" i="1"/>
  <c r="AM640" i="1"/>
  <c r="AN640" i="1"/>
  <c r="AO640" i="1"/>
  <c r="AP640" i="1"/>
  <c r="AQ640" i="1"/>
  <c r="A641" i="1"/>
  <c r="B641" i="1"/>
  <c r="C641" i="1"/>
  <c r="D641" i="1"/>
  <c r="E641" i="1"/>
  <c r="F641" i="1"/>
  <c r="G641" i="1"/>
  <c r="K641" i="1"/>
  <c r="L641" i="1"/>
  <c r="M641" i="1"/>
  <c r="N641" i="1"/>
  <c r="O641" i="1"/>
  <c r="Q641" i="1"/>
  <c r="S641" i="1"/>
  <c r="U641" i="1"/>
  <c r="V641" i="1"/>
  <c r="W641" i="1"/>
  <c r="AB641" i="1"/>
  <c r="AC641" i="1"/>
  <c r="AD641" i="1"/>
  <c r="AE641" i="1"/>
  <c r="AG641" i="1"/>
  <c r="AH641" i="1"/>
  <c r="AI641" i="1"/>
  <c r="AJ641" i="1"/>
  <c r="AK641" i="1"/>
  <c r="AL641" i="1"/>
  <c r="AM641" i="1"/>
  <c r="AN641" i="1"/>
  <c r="AO641" i="1"/>
  <c r="AP641" i="1"/>
  <c r="AQ641" i="1"/>
  <c r="A642" i="1"/>
  <c r="B642" i="1"/>
  <c r="C642" i="1"/>
  <c r="D642" i="1"/>
  <c r="E642" i="1"/>
  <c r="F642" i="1"/>
  <c r="G642" i="1"/>
  <c r="K642" i="1"/>
  <c r="L642" i="1"/>
  <c r="M642" i="1"/>
  <c r="N642" i="1"/>
  <c r="O642" i="1"/>
  <c r="Q642" i="1"/>
  <c r="S642" i="1"/>
  <c r="U642" i="1"/>
  <c r="V642" i="1"/>
  <c r="AB642" i="1"/>
  <c r="AC642" i="1"/>
  <c r="AD642" i="1"/>
  <c r="AE642" i="1"/>
  <c r="AG642" i="1"/>
  <c r="AH642" i="1"/>
  <c r="AI642" i="1"/>
  <c r="AJ642" i="1"/>
  <c r="AK642" i="1"/>
  <c r="AM642" i="1"/>
  <c r="AN642" i="1"/>
  <c r="AO642" i="1"/>
  <c r="AP642" i="1"/>
  <c r="AQ642" i="1"/>
  <c r="A643" i="1"/>
  <c r="B643" i="1"/>
  <c r="C643" i="1"/>
  <c r="D643" i="1"/>
  <c r="E643" i="1"/>
  <c r="F643" i="1"/>
  <c r="G643" i="1"/>
  <c r="K643" i="1"/>
  <c r="N643" i="1"/>
  <c r="O643" i="1"/>
  <c r="V643" i="1"/>
  <c r="AB643" i="1"/>
  <c r="AC643" i="1"/>
  <c r="AD643" i="1"/>
  <c r="AG643" i="1"/>
  <c r="AH643" i="1"/>
  <c r="AI643" i="1"/>
  <c r="AJ643" i="1"/>
  <c r="AK643" i="1"/>
  <c r="AM643" i="1"/>
  <c r="AN643" i="1"/>
  <c r="AO643" i="1"/>
  <c r="AP643" i="1"/>
  <c r="AQ643" i="1"/>
  <c r="A644" i="1"/>
  <c r="B644" i="1"/>
  <c r="C644" i="1"/>
  <c r="D644" i="1"/>
  <c r="E644" i="1"/>
  <c r="F644" i="1"/>
  <c r="G644" i="1"/>
  <c r="K644" i="1"/>
  <c r="N644" i="1"/>
  <c r="O644" i="1"/>
  <c r="V644" i="1"/>
  <c r="AB644" i="1"/>
  <c r="AC644" i="1"/>
  <c r="AD644" i="1"/>
  <c r="AG644" i="1"/>
  <c r="AH644" i="1"/>
  <c r="AI644" i="1"/>
  <c r="AJ644" i="1"/>
  <c r="AK644" i="1"/>
  <c r="AM644" i="1"/>
  <c r="AN644" i="1"/>
  <c r="AO644" i="1"/>
  <c r="AP644" i="1"/>
  <c r="AQ644" i="1"/>
  <c r="A645" i="1"/>
  <c r="B645" i="1"/>
  <c r="C645" i="1"/>
  <c r="D645" i="1"/>
  <c r="E645" i="1"/>
  <c r="F645" i="1"/>
  <c r="G645" i="1"/>
  <c r="K645" i="1"/>
  <c r="N645" i="1"/>
  <c r="O645" i="1"/>
  <c r="V645" i="1"/>
  <c r="AB645" i="1"/>
  <c r="AC645" i="1"/>
  <c r="AD645" i="1"/>
  <c r="AG645" i="1"/>
  <c r="AH645" i="1"/>
  <c r="AI645" i="1"/>
  <c r="AJ645" i="1"/>
  <c r="AK645" i="1"/>
  <c r="AM645" i="1"/>
  <c r="AN645" i="1"/>
  <c r="AO645" i="1"/>
  <c r="AP645" i="1"/>
  <c r="AQ645" i="1"/>
  <c r="A646" i="1"/>
  <c r="B646" i="1"/>
  <c r="C646" i="1"/>
  <c r="D646" i="1"/>
  <c r="E646" i="1"/>
  <c r="F646" i="1"/>
  <c r="G646" i="1"/>
  <c r="K646" i="1"/>
  <c r="N646" i="1"/>
  <c r="O646" i="1"/>
  <c r="V646" i="1"/>
  <c r="AB646" i="1"/>
  <c r="AC646" i="1"/>
  <c r="AD646" i="1"/>
  <c r="AG646" i="1"/>
  <c r="AH646" i="1"/>
  <c r="AI646" i="1"/>
  <c r="AJ646" i="1"/>
  <c r="AK646" i="1"/>
  <c r="AM646" i="1"/>
  <c r="AN646" i="1"/>
  <c r="AO646" i="1"/>
  <c r="AP646" i="1"/>
  <c r="AQ646" i="1"/>
  <c r="A647" i="1"/>
  <c r="B647" i="1"/>
  <c r="C647" i="1"/>
  <c r="D647" i="1"/>
  <c r="E647" i="1"/>
  <c r="F647" i="1"/>
  <c r="G647" i="1"/>
  <c r="K647" i="1"/>
  <c r="N647" i="1"/>
  <c r="O647" i="1"/>
  <c r="V647" i="1"/>
  <c r="AB647" i="1"/>
  <c r="AC647" i="1"/>
  <c r="AD647" i="1"/>
  <c r="AG647" i="1"/>
  <c r="AH647" i="1"/>
  <c r="AI647" i="1"/>
  <c r="AJ647" i="1"/>
  <c r="AK647" i="1"/>
  <c r="AM647" i="1"/>
  <c r="AN647" i="1"/>
  <c r="AO647" i="1"/>
  <c r="AP647" i="1"/>
  <c r="AQ647" i="1"/>
  <c r="A648" i="1"/>
  <c r="B648" i="1"/>
  <c r="C648" i="1"/>
  <c r="D648" i="1"/>
  <c r="E648" i="1"/>
  <c r="F648" i="1"/>
  <c r="G648" i="1"/>
  <c r="K648" i="1"/>
  <c r="N648" i="1"/>
  <c r="O648" i="1"/>
  <c r="V648" i="1"/>
  <c r="AB648" i="1"/>
  <c r="AC648" i="1"/>
  <c r="AD648" i="1"/>
  <c r="AG648" i="1"/>
  <c r="AH648" i="1"/>
  <c r="AI648" i="1"/>
  <c r="AJ648" i="1"/>
  <c r="AK648" i="1"/>
  <c r="AM648" i="1"/>
  <c r="AN648" i="1"/>
  <c r="AO648" i="1"/>
  <c r="AP648" i="1"/>
  <c r="AQ648" i="1"/>
  <c r="A649" i="1"/>
  <c r="B649" i="1"/>
  <c r="C649" i="1"/>
  <c r="D649" i="1"/>
  <c r="E649" i="1"/>
  <c r="F649" i="1"/>
  <c r="G649" i="1"/>
  <c r="K649" i="1"/>
  <c r="N649" i="1"/>
  <c r="O649" i="1"/>
  <c r="V649" i="1"/>
  <c r="AB649" i="1"/>
  <c r="AC649" i="1"/>
  <c r="AD649" i="1"/>
  <c r="AG649" i="1"/>
  <c r="AH649" i="1"/>
  <c r="AI649" i="1"/>
  <c r="AJ649" i="1"/>
  <c r="AK649" i="1"/>
  <c r="AM649" i="1"/>
  <c r="AN649" i="1"/>
  <c r="AO649" i="1"/>
  <c r="AP649" i="1"/>
  <c r="AQ649" i="1"/>
  <c r="A650" i="1"/>
  <c r="B650" i="1"/>
  <c r="C650" i="1"/>
  <c r="D650" i="1"/>
  <c r="E650" i="1"/>
  <c r="F650" i="1"/>
  <c r="G650" i="1"/>
  <c r="K650" i="1"/>
  <c r="N650" i="1"/>
  <c r="O650" i="1"/>
  <c r="V650" i="1"/>
  <c r="AB650" i="1"/>
  <c r="AC650" i="1"/>
  <c r="AD650" i="1"/>
  <c r="AG650" i="1"/>
  <c r="AH650" i="1"/>
  <c r="AI650" i="1"/>
  <c r="AJ650" i="1"/>
  <c r="AK650" i="1"/>
  <c r="AM650" i="1"/>
  <c r="AN650" i="1"/>
  <c r="AO650" i="1"/>
  <c r="AP650" i="1"/>
  <c r="AQ650" i="1"/>
  <c r="A651" i="1"/>
  <c r="B651" i="1"/>
  <c r="C651" i="1"/>
  <c r="D651" i="1"/>
  <c r="E651" i="1"/>
  <c r="F651" i="1"/>
  <c r="G651" i="1"/>
  <c r="K651" i="1"/>
  <c r="N651" i="1"/>
  <c r="O651" i="1"/>
  <c r="V651" i="1"/>
  <c r="AB651" i="1"/>
  <c r="AC651" i="1"/>
  <c r="AD651" i="1"/>
  <c r="AG651" i="1"/>
  <c r="AH651" i="1"/>
  <c r="AI651" i="1"/>
  <c r="AJ651" i="1"/>
  <c r="AK651" i="1"/>
  <c r="AM651" i="1"/>
  <c r="AN651" i="1"/>
  <c r="AO651" i="1"/>
  <c r="AP651" i="1"/>
  <c r="AQ651" i="1"/>
  <c r="A652" i="1"/>
  <c r="B652" i="1"/>
  <c r="C652" i="1"/>
  <c r="D652" i="1"/>
  <c r="E652" i="1"/>
  <c r="F652" i="1"/>
  <c r="G652" i="1"/>
  <c r="K652" i="1"/>
  <c r="N652" i="1"/>
  <c r="O652" i="1"/>
  <c r="V652" i="1"/>
  <c r="AB652" i="1"/>
  <c r="AC652" i="1"/>
  <c r="AD652" i="1"/>
  <c r="AG652" i="1"/>
  <c r="AH652" i="1"/>
  <c r="AI652" i="1"/>
  <c r="AJ652" i="1"/>
  <c r="AK652" i="1"/>
  <c r="AM652" i="1"/>
  <c r="AN652" i="1"/>
  <c r="AO652" i="1"/>
  <c r="AP652" i="1"/>
  <c r="AQ652" i="1"/>
  <c r="A653" i="1"/>
  <c r="B653" i="1"/>
  <c r="C653" i="1"/>
  <c r="D653" i="1"/>
  <c r="E653" i="1"/>
  <c r="F653" i="1"/>
  <c r="G653" i="1"/>
  <c r="K653" i="1"/>
  <c r="N653" i="1"/>
  <c r="O653" i="1"/>
  <c r="V653" i="1"/>
  <c r="AB653" i="1"/>
  <c r="AC653" i="1"/>
  <c r="AD653" i="1"/>
  <c r="AG653" i="1"/>
  <c r="AH653" i="1"/>
  <c r="AI653" i="1"/>
  <c r="AJ653" i="1"/>
  <c r="AK653" i="1"/>
  <c r="AM653" i="1"/>
  <c r="AN653" i="1"/>
  <c r="AO653" i="1"/>
  <c r="AP653" i="1"/>
  <c r="AQ653" i="1"/>
  <c r="A654" i="1"/>
  <c r="B654" i="1"/>
  <c r="C654" i="1"/>
  <c r="D654" i="1"/>
  <c r="E654" i="1"/>
  <c r="F654" i="1"/>
  <c r="G654" i="1"/>
  <c r="K654" i="1"/>
  <c r="N654" i="1"/>
  <c r="O654" i="1"/>
  <c r="V654" i="1"/>
  <c r="AB654" i="1"/>
  <c r="AC654" i="1"/>
  <c r="AD654" i="1"/>
  <c r="AG654" i="1"/>
  <c r="AH654" i="1"/>
  <c r="AI654" i="1"/>
  <c r="AJ654" i="1"/>
  <c r="AK654" i="1"/>
  <c r="AM654" i="1"/>
  <c r="AN654" i="1"/>
  <c r="AO654" i="1"/>
  <c r="AP654" i="1"/>
  <c r="AQ654" i="1"/>
  <c r="A655" i="1"/>
  <c r="B655" i="1"/>
  <c r="C655" i="1"/>
  <c r="D655" i="1"/>
  <c r="E655" i="1"/>
  <c r="F655" i="1"/>
  <c r="G655" i="1"/>
  <c r="K655" i="1"/>
  <c r="N655" i="1"/>
  <c r="O655" i="1"/>
  <c r="V655" i="1"/>
  <c r="AB655" i="1"/>
  <c r="AC655" i="1"/>
  <c r="AD655" i="1"/>
  <c r="AG655" i="1"/>
  <c r="AH655" i="1"/>
  <c r="AI655" i="1"/>
  <c r="AJ655" i="1"/>
  <c r="AK655" i="1"/>
  <c r="AM655" i="1"/>
  <c r="AN655" i="1"/>
  <c r="AO655" i="1"/>
  <c r="AP655" i="1"/>
  <c r="AQ655" i="1"/>
  <c r="A656" i="1"/>
  <c r="B656" i="1"/>
  <c r="C656" i="1"/>
  <c r="D656" i="1"/>
  <c r="E656" i="1"/>
  <c r="F656" i="1"/>
  <c r="G656" i="1"/>
  <c r="K656" i="1"/>
  <c r="N656" i="1"/>
  <c r="O656" i="1"/>
  <c r="V656" i="1"/>
  <c r="AB656" i="1"/>
  <c r="AC656" i="1"/>
  <c r="AD656" i="1"/>
  <c r="AG656" i="1"/>
  <c r="AH656" i="1"/>
  <c r="AI656" i="1"/>
  <c r="AJ656" i="1"/>
  <c r="AK656" i="1"/>
  <c r="AM656" i="1"/>
  <c r="AN656" i="1"/>
  <c r="AO656" i="1"/>
  <c r="AP656" i="1"/>
  <c r="AQ656" i="1"/>
  <c r="A657" i="1"/>
  <c r="B657" i="1"/>
  <c r="C657" i="1"/>
  <c r="D657" i="1"/>
  <c r="E657" i="1"/>
  <c r="F657" i="1"/>
  <c r="G657" i="1"/>
  <c r="K657" i="1"/>
  <c r="N657" i="1"/>
  <c r="O657" i="1"/>
  <c r="V657" i="1"/>
  <c r="AB657" i="1"/>
  <c r="AC657" i="1"/>
  <c r="AD657" i="1"/>
  <c r="AG657" i="1"/>
  <c r="AH657" i="1"/>
  <c r="AI657" i="1"/>
  <c r="AJ657" i="1"/>
  <c r="AK657" i="1"/>
  <c r="AM657" i="1"/>
  <c r="AN657" i="1"/>
  <c r="AO657" i="1"/>
  <c r="AP657" i="1"/>
  <c r="AQ657" i="1"/>
  <c r="A658" i="1"/>
  <c r="B658" i="1"/>
  <c r="C658" i="1"/>
  <c r="D658" i="1"/>
  <c r="E658" i="1"/>
  <c r="F658" i="1"/>
  <c r="G658" i="1"/>
  <c r="K658" i="1"/>
  <c r="N658" i="1"/>
  <c r="O658" i="1"/>
  <c r="V658" i="1"/>
  <c r="AB658" i="1"/>
  <c r="AC658" i="1"/>
  <c r="AD658" i="1"/>
  <c r="AG658" i="1"/>
  <c r="AH658" i="1"/>
  <c r="AI658" i="1"/>
  <c r="AJ658" i="1"/>
  <c r="AK658" i="1"/>
  <c r="AM658" i="1"/>
  <c r="AN658" i="1"/>
  <c r="AO658" i="1"/>
  <c r="AP658" i="1"/>
  <c r="AQ658" i="1"/>
  <c r="A659" i="1"/>
  <c r="B659" i="1"/>
  <c r="C659" i="1"/>
  <c r="D659" i="1"/>
  <c r="E659" i="1"/>
  <c r="F659" i="1"/>
  <c r="G659" i="1"/>
  <c r="K659" i="1"/>
  <c r="N659" i="1"/>
  <c r="O659" i="1"/>
  <c r="V659" i="1"/>
  <c r="AB659" i="1"/>
  <c r="AC659" i="1"/>
  <c r="AD659" i="1"/>
  <c r="AG659" i="1"/>
  <c r="AH659" i="1"/>
  <c r="AI659" i="1"/>
  <c r="AJ659" i="1"/>
  <c r="AK659" i="1"/>
  <c r="AM659" i="1"/>
  <c r="AN659" i="1"/>
  <c r="AO659" i="1"/>
  <c r="AP659" i="1"/>
  <c r="AQ659" i="1"/>
  <c r="A660" i="1"/>
  <c r="B660" i="1"/>
  <c r="C660" i="1"/>
  <c r="D660" i="1"/>
  <c r="E660" i="1"/>
  <c r="F660" i="1"/>
  <c r="G660" i="1"/>
  <c r="K660" i="1"/>
  <c r="N660" i="1"/>
  <c r="O660" i="1"/>
  <c r="V660" i="1"/>
  <c r="AB660" i="1"/>
  <c r="AC660" i="1"/>
  <c r="AD660" i="1"/>
  <c r="AG660" i="1"/>
  <c r="AH660" i="1"/>
  <c r="AI660" i="1"/>
  <c r="AJ660" i="1"/>
  <c r="AK660" i="1"/>
  <c r="AM660" i="1"/>
  <c r="AN660" i="1"/>
  <c r="AO660" i="1"/>
  <c r="AP660" i="1"/>
  <c r="AQ660" i="1"/>
  <c r="A661" i="1"/>
  <c r="B661" i="1"/>
  <c r="C661" i="1"/>
  <c r="D661" i="1"/>
  <c r="E661" i="1"/>
  <c r="F661" i="1"/>
  <c r="G661" i="1"/>
  <c r="K661" i="1"/>
  <c r="N661" i="1"/>
  <c r="O661" i="1"/>
  <c r="S661" i="1"/>
  <c r="U661" i="1"/>
  <c r="V661" i="1"/>
  <c r="AB661" i="1"/>
  <c r="AC661" i="1"/>
  <c r="AD661" i="1"/>
  <c r="AG661" i="1"/>
  <c r="AH661" i="1"/>
  <c r="AI661" i="1"/>
  <c r="AJ661" i="1"/>
  <c r="AK661" i="1"/>
  <c r="AM661" i="1"/>
  <c r="AN661" i="1"/>
  <c r="AO661" i="1"/>
  <c r="AP661" i="1"/>
  <c r="AQ661" i="1"/>
  <c r="A662" i="1"/>
  <c r="B662" i="1"/>
  <c r="C662" i="1"/>
  <c r="D662" i="1"/>
  <c r="E662" i="1"/>
  <c r="F662" i="1"/>
  <c r="G662" i="1"/>
  <c r="K662" i="1"/>
  <c r="N662" i="1"/>
  <c r="O662" i="1"/>
  <c r="V662" i="1"/>
  <c r="AB662" i="1"/>
  <c r="AC662" i="1"/>
  <c r="AD662" i="1"/>
  <c r="AG662" i="1"/>
  <c r="AH662" i="1"/>
  <c r="AI662" i="1"/>
  <c r="AJ662" i="1"/>
  <c r="AK662" i="1"/>
  <c r="AM662" i="1"/>
  <c r="AN662" i="1"/>
  <c r="AO662" i="1"/>
  <c r="AP662" i="1"/>
  <c r="AQ662" i="1"/>
  <c r="A663" i="1"/>
  <c r="B663" i="1"/>
  <c r="C663" i="1"/>
  <c r="D663" i="1"/>
  <c r="E663" i="1"/>
  <c r="F663" i="1"/>
  <c r="G663" i="1"/>
  <c r="K663" i="1"/>
  <c r="L663" i="1"/>
  <c r="N663" i="1"/>
  <c r="O663" i="1"/>
  <c r="V663" i="1"/>
  <c r="AB663" i="1"/>
  <c r="AC663" i="1"/>
  <c r="AD663" i="1"/>
  <c r="AG663" i="1"/>
  <c r="AH663" i="1"/>
  <c r="AI663" i="1"/>
  <c r="AJ663" i="1"/>
  <c r="AK663" i="1"/>
  <c r="AM663" i="1"/>
  <c r="AN663" i="1"/>
  <c r="AO663" i="1"/>
  <c r="AP663" i="1"/>
  <c r="AQ663" i="1"/>
  <c r="A664" i="1"/>
  <c r="B664" i="1"/>
  <c r="C664" i="1"/>
  <c r="D664" i="1"/>
  <c r="E664" i="1"/>
  <c r="F664" i="1"/>
  <c r="G664" i="1"/>
  <c r="K664" i="1"/>
  <c r="N664" i="1"/>
  <c r="O664" i="1"/>
  <c r="V664" i="1"/>
  <c r="AB664" i="1"/>
  <c r="AC664" i="1"/>
  <c r="AD664" i="1"/>
  <c r="AG664" i="1"/>
  <c r="AH664" i="1"/>
  <c r="AI664" i="1"/>
  <c r="AJ664" i="1"/>
  <c r="AK664" i="1"/>
  <c r="AM664" i="1"/>
  <c r="AN664" i="1"/>
  <c r="AO664" i="1"/>
  <c r="AP664" i="1"/>
  <c r="AQ664" i="1"/>
  <c r="A665" i="1"/>
  <c r="B665" i="1"/>
  <c r="C665" i="1"/>
  <c r="D665" i="1"/>
  <c r="E665" i="1"/>
  <c r="F665" i="1"/>
  <c r="G665" i="1"/>
  <c r="K665" i="1"/>
  <c r="N665" i="1"/>
  <c r="O665" i="1"/>
  <c r="V665" i="1"/>
  <c r="AB665" i="1"/>
  <c r="AC665" i="1"/>
  <c r="AD665" i="1"/>
  <c r="AG665" i="1"/>
  <c r="AH665" i="1"/>
  <c r="AI665" i="1"/>
  <c r="AJ665" i="1"/>
  <c r="AK665" i="1"/>
  <c r="AM665" i="1"/>
  <c r="AN665" i="1"/>
  <c r="AO665" i="1"/>
  <c r="AP665" i="1"/>
  <c r="AQ665" i="1"/>
  <c r="A666" i="1"/>
  <c r="B666" i="1"/>
  <c r="C666" i="1"/>
  <c r="D666" i="1"/>
  <c r="E666" i="1"/>
  <c r="F666" i="1"/>
  <c r="G666" i="1"/>
  <c r="K666" i="1"/>
  <c r="N666" i="1"/>
  <c r="O666" i="1"/>
  <c r="V666" i="1"/>
  <c r="AB666" i="1"/>
  <c r="AC666" i="1"/>
  <c r="AD666" i="1"/>
  <c r="AG666" i="1"/>
  <c r="AH666" i="1"/>
  <c r="AI666" i="1"/>
  <c r="AJ666" i="1"/>
  <c r="AK666" i="1"/>
  <c r="AM666" i="1"/>
  <c r="AN666" i="1"/>
  <c r="AO666" i="1"/>
  <c r="AP666" i="1"/>
  <c r="AQ666" i="1"/>
  <c r="A667" i="1"/>
  <c r="B667" i="1"/>
  <c r="C667" i="1"/>
  <c r="D667" i="1"/>
  <c r="E667" i="1"/>
  <c r="F667" i="1"/>
  <c r="G667" i="1"/>
  <c r="K667" i="1"/>
  <c r="N667" i="1"/>
  <c r="O667" i="1"/>
  <c r="V667" i="1"/>
  <c r="AB667" i="1"/>
  <c r="AC667" i="1"/>
  <c r="AD667" i="1"/>
  <c r="AG667" i="1"/>
  <c r="AH667" i="1"/>
  <c r="AI667" i="1"/>
  <c r="AJ667" i="1"/>
  <c r="AK667" i="1"/>
  <c r="AM667" i="1"/>
  <c r="AN667" i="1"/>
  <c r="AO667" i="1"/>
  <c r="AP667" i="1"/>
  <c r="AQ667" i="1"/>
  <c r="A668" i="1"/>
  <c r="B668" i="1"/>
  <c r="C668" i="1"/>
  <c r="D668" i="1"/>
  <c r="E668" i="1"/>
  <c r="F668" i="1"/>
  <c r="G668" i="1"/>
  <c r="K668" i="1"/>
  <c r="N668" i="1"/>
  <c r="O668" i="1"/>
  <c r="V668" i="1"/>
  <c r="AB668" i="1"/>
  <c r="AC668" i="1"/>
  <c r="AD668" i="1"/>
  <c r="AG668" i="1"/>
  <c r="AH668" i="1"/>
  <c r="AI668" i="1"/>
  <c r="AJ668" i="1"/>
  <c r="AK668" i="1"/>
  <c r="AM668" i="1"/>
  <c r="AN668" i="1"/>
  <c r="AO668" i="1"/>
  <c r="AP668" i="1"/>
  <c r="AQ668" i="1"/>
  <c r="A669" i="1"/>
  <c r="B669" i="1"/>
  <c r="C669" i="1"/>
  <c r="D669" i="1"/>
  <c r="E669" i="1"/>
  <c r="F669" i="1"/>
  <c r="G669" i="1"/>
  <c r="K669" i="1"/>
  <c r="N669" i="1"/>
  <c r="O669" i="1"/>
  <c r="V669" i="1"/>
  <c r="AB669" i="1"/>
  <c r="AC669" i="1"/>
  <c r="AD669" i="1"/>
  <c r="AG669" i="1"/>
  <c r="AH669" i="1"/>
  <c r="AI669" i="1"/>
  <c r="AJ669" i="1"/>
  <c r="AK669" i="1"/>
  <c r="AM669" i="1"/>
  <c r="AN669" i="1"/>
  <c r="AO669" i="1"/>
  <c r="AP669" i="1"/>
  <c r="AQ669" i="1"/>
  <c r="A670" i="1"/>
  <c r="B670" i="1"/>
  <c r="C670" i="1"/>
  <c r="D670" i="1"/>
  <c r="E670" i="1"/>
  <c r="F670" i="1"/>
  <c r="G670" i="1"/>
  <c r="K670" i="1"/>
  <c r="N670" i="1"/>
  <c r="O670" i="1"/>
  <c r="V670" i="1"/>
  <c r="AB670" i="1"/>
  <c r="AC670" i="1"/>
  <c r="AD670" i="1"/>
  <c r="AG670" i="1"/>
  <c r="AH670" i="1"/>
  <c r="AI670" i="1"/>
  <c r="AJ670" i="1"/>
  <c r="AK670" i="1"/>
  <c r="AM670" i="1"/>
  <c r="AN670" i="1"/>
  <c r="AO670" i="1"/>
  <c r="AP670" i="1"/>
  <c r="AQ670" i="1"/>
  <c r="A671" i="1"/>
  <c r="B671" i="1"/>
  <c r="C671" i="1"/>
  <c r="D671" i="1"/>
  <c r="E671" i="1"/>
  <c r="F671" i="1"/>
  <c r="G671" i="1"/>
  <c r="K671" i="1"/>
  <c r="N671" i="1"/>
  <c r="O671" i="1"/>
  <c r="V671" i="1"/>
  <c r="AB671" i="1"/>
  <c r="AC671" i="1"/>
  <c r="AD671" i="1"/>
  <c r="AG671" i="1"/>
  <c r="AH671" i="1"/>
  <c r="AI671" i="1"/>
  <c r="AJ671" i="1"/>
  <c r="AK671" i="1"/>
  <c r="AM671" i="1"/>
  <c r="AN671" i="1"/>
  <c r="AO671" i="1"/>
  <c r="AP671" i="1"/>
  <c r="AQ671" i="1"/>
  <c r="A672" i="1"/>
  <c r="B672" i="1"/>
  <c r="C672" i="1"/>
  <c r="D672" i="1"/>
  <c r="E672" i="1"/>
  <c r="F672" i="1"/>
  <c r="G672" i="1"/>
  <c r="K672" i="1"/>
  <c r="N672" i="1"/>
  <c r="O672" i="1"/>
  <c r="V672" i="1"/>
  <c r="AB672" i="1"/>
  <c r="AC672" i="1"/>
  <c r="AD672" i="1"/>
  <c r="AG672" i="1"/>
  <c r="AH672" i="1"/>
  <c r="AI672" i="1"/>
  <c r="AJ672" i="1"/>
  <c r="AK672" i="1"/>
  <c r="AM672" i="1"/>
  <c r="AN672" i="1"/>
  <c r="AO672" i="1"/>
  <c r="AP672" i="1"/>
  <c r="AQ672" i="1"/>
  <c r="A673" i="1"/>
  <c r="B673" i="1"/>
  <c r="C673" i="1"/>
  <c r="D673" i="1"/>
  <c r="E673" i="1"/>
  <c r="F673" i="1"/>
  <c r="G673" i="1"/>
  <c r="K673" i="1"/>
  <c r="N673" i="1"/>
  <c r="O673" i="1"/>
  <c r="V673" i="1"/>
  <c r="AB673" i="1"/>
  <c r="AC673" i="1"/>
  <c r="AD673" i="1"/>
  <c r="AG673" i="1"/>
  <c r="AH673" i="1"/>
  <c r="AI673" i="1"/>
  <c r="AJ673" i="1"/>
  <c r="AK673" i="1"/>
  <c r="AM673" i="1"/>
  <c r="AN673" i="1"/>
  <c r="AO673" i="1"/>
  <c r="AP673" i="1"/>
  <c r="AQ673" i="1"/>
  <c r="A674" i="1"/>
  <c r="B674" i="1"/>
  <c r="C674" i="1"/>
  <c r="D674" i="1"/>
  <c r="E674" i="1"/>
  <c r="F674" i="1"/>
  <c r="G674" i="1"/>
  <c r="K674" i="1"/>
  <c r="N674" i="1"/>
  <c r="O674" i="1"/>
  <c r="V674" i="1"/>
  <c r="AB674" i="1"/>
  <c r="AC674" i="1"/>
  <c r="AD674" i="1"/>
  <c r="AG674" i="1"/>
  <c r="AH674" i="1"/>
  <c r="AI674" i="1"/>
  <c r="AJ674" i="1"/>
  <c r="AK674" i="1"/>
  <c r="AM674" i="1"/>
  <c r="AN674" i="1"/>
  <c r="AO674" i="1"/>
  <c r="AP674" i="1"/>
  <c r="AQ674" i="1"/>
  <c r="A675" i="1"/>
  <c r="B675" i="1"/>
  <c r="C675" i="1"/>
  <c r="D675" i="1"/>
  <c r="E675" i="1"/>
  <c r="F675" i="1"/>
  <c r="G675" i="1"/>
  <c r="K675" i="1"/>
  <c r="N675" i="1"/>
  <c r="O675" i="1"/>
  <c r="V675" i="1"/>
  <c r="AB675" i="1"/>
  <c r="AC675" i="1"/>
  <c r="AD675" i="1"/>
  <c r="AG675" i="1"/>
  <c r="AH675" i="1"/>
  <c r="AI675" i="1"/>
  <c r="AJ675" i="1"/>
  <c r="AK675" i="1"/>
  <c r="AM675" i="1"/>
  <c r="AN675" i="1"/>
  <c r="AO675" i="1"/>
  <c r="AP675" i="1"/>
  <c r="AQ675" i="1"/>
  <c r="A676" i="1"/>
  <c r="B676" i="1"/>
  <c r="C676" i="1"/>
  <c r="D676" i="1"/>
  <c r="E676" i="1"/>
  <c r="F676" i="1"/>
  <c r="G676" i="1"/>
  <c r="K676" i="1"/>
  <c r="N676" i="1"/>
  <c r="O676" i="1"/>
  <c r="V676" i="1"/>
  <c r="AB676" i="1"/>
  <c r="AC676" i="1"/>
  <c r="AD676" i="1"/>
  <c r="AG676" i="1"/>
  <c r="AH676" i="1"/>
  <c r="AI676" i="1"/>
  <c r="AJ676" i="1"/>
  <c r="AK676" i="1"/>
  <c r="AM676" i="1"/>
  <c r="AN676" i="1"/>
  <c r="AO676" i="1"/>
  <c r="AP676" i="1"/>
  <c r="AQ676" i="1"/>
  <c r="A677" i="1"/>
  <c r="B677" i="1"/>
  <c r="C677" i="1"/>
  <c r="D677" i="1"/>
  <c r="E677" i="1"/>
  <c r="F677" i="1"/>
  <c r="G677" i="1"/>
  <c r="K677" i="1"/>
  <c r="N677" i="1"/>
  <c r="O677" i="1"/>
  <c r="V677" i="1"/>
  <c r="AB677" i="1"/>
  <c r="AC677" i="1"/>
  <c r="AD677" i="1"/>
  <c r="AG677" i="1"/>
  <c r="AH677" i="1"/>
  <c r="AI677" i="1"/>
  <c r="AJ677" i="1"/>
  <c r="AK677" i="1"/>
  <c r="AM677" i="1"/>
  <c r="AN677" i="1"/>
  <c r="AO677" i="1"/>
  <c r="AP677" i="1"/>
  <c r="AQ677" i="1"/>
  <c r="A678" i="1"/>
  <c r="B678" i="1"/>
  <c r="C678" i="1"/>
  <c r="D678" i="1"/>
  <c r="E678" i="1"/>
  <c r="F678" i="1"/>
  <c r="G678" i="1"/>
  <c r="K678" i="1"/>
  <c r="N678" i="1"/>
  <c r="O678" i="1"/>
  <c r="V678" i="1"/>
  <c r="AB678" i="1"/>
  <c r="AC678" i="1"/>
  <c r="AD678" i="1"/>
  <c r="AG678" i="1"/>
  <c r="AH678" i="1"/>
  <c r="AI678" i="1"/>
  <c r="AJ678" i="1"/>
  <c r="AK678" i="1"/>
  <c r="AM678" i="1"/>
  <c r="AN678" i="1"/>
  <c r="AO678" i="1"/>
  <c r="AP678" i="1"/>
  <c r="AQ678" i="1"/>
  <c r="A679" i="1"/>
  <c r="B679" i="1"/>
  <c r="C679" i="1"/>
  <c r="D679" i="1"/>
  <c r="E679" i="1"/>
  <c r="F679" i="1"/>
  <c r="G679" i="1"/>
  <c r="K679" i="1"/>
  <c r="N679" i="1"/>
  <c r="O679" i="1"/>
  <c r="V679" i="1"/>
  <c r="AB679" i="1"/>
  <c r="AC679" i="1"/>
  <c r="AD679" i="1"/>
  <c r="AG679" i="1"/>
  <c r="AH679" i="1"/>
  <c r="AI679" i="1"/>
  <c r="AJ679" i="1"/>
  <c r="AK679" i="1"/>
  <c r="AM679" i="1"/>
  <c r="AN679" i="1"/>
  <c r="AO679" i="1"/>
  <c r="AP679" i="1"/>
  <c r="AQ679" i="1"/>
  <c r="A680" i="1"/>
  <c r="B680" i="1"/>
  <c r="C680" i="1"/>
  <c r="D680" i="1"/>
  <c r="E680" i="1"/>
  <c r="F680" i="1"/>
  <c r="G680" i="1"/>
  <c r="K680" i="1"/>
  <c r="N680" i="1"/>
  <c r="O680" i="1"/>
  <c r="V680" i="1"/>
  <c r="AB680" i="1"/>
  <c r="AC680" i="1"/>
  <c r="AD680" i="1"/>
  <c r="AG680" i="1"/>
  <c r="AH680" i="1"/>
  <c r="AI680" i="1"/>
  <c r="AJ680" i="1"/>
  <c r="AK680" i="1"/>
  <c r="AM680" i="1"/>
  <c r="AN680" i="1"/>
  <c r="AO680" i="1"/>
  <c r="AP680" i="1"/>
  <c r="AQ680" i="1"/>
  <c r="A681" i="1"/>
  <c r="B681" i="1"/>
  <c r="C681" i="1"/>
  <c r="D681" i="1"/>
  <c r="E681" i="1"/>
  <c r="F681" i="1"/>
  <c r="G681" i="1"/>
  <c r="K681" i="1"/>
  <c r="N681" i="1"/>
  <c r="O681" i="1"/>
  <c r="V681" i="1"/>
  <c r="AB681" i="1"/>
  <c r="AC681" i="1"/>
  <c r="AD681" i="1"/>
  <c r="AG681" i="1"/>
  <c r="AH681" i="1"/>
  <c r="AI681" i="1"/>
  <c r="AJ681" i="1"/>
  <c r="AK681" i="1"/>
  <c r="AM681" i="1"/>
  <c r="AN681" i="1"/>
  <c r="AO681" i="1"/>
  <c r="AP681" i="1"/>
  <c r="AQ681" i="1"/>
  <c r="A682" i="1"/>
  <c r="B682" i="1"/>
  <c r="C682" i="1"/>
  <c r="D682" i="1"/>
  <c r="E682" i="1"/>
  <c r="F682" i="1"/>
  <c r="G682" i="1"/>
  <c r="K682" i="1"/>
  <c r="N682" i="1"/>
  <c r="O682" i="1"/>
  <c r="V682" i="1"/>
  <c r="AB682" i="1"/>
  <c r="AC682" i="1"/>
  <c r="AD682" i="1"/>
  <c r="AG682" i="1"/>
  <c r="AH682" i="1"/>
  <c r="AI682" i="1"/>
  <c r="AJ682" i="1"/>
  <c r="AK682" i="1"/>
  <c r="AM682" i="1"/>
  <c r="AN682" i="1"/>
  <c r="AO682" i="1"/>
  <c r="AP682" i="1"/>
  <c r="AQ682" i="1"/>
  <c r="A683" i="1"/>
  <c r="B683" i="1"/>
  <c r="C683" i="1"/>
  <c r="D683" i="1"/>
  <c r="E683" i="1"/>
  <c r="F683" i="1"/>
  <c r="G683" i="1"/>
  <c r="K683" i="1"/>
  <c r="N683" i="1"/>
  <c r="O683" i="1"/>
  <c r="V683" i="1"/>
  <c r="AB683" i="1"/>
  <c r="AC683" i="1"/>
  <c r="AD683" i="1"/>
  <c r="AG683" i="1"/>
  <c r="AH683" i="1"/>
  <c r="AI683" i="1"/>
  <c r="AJ683" i="1"/>
  <c r="AK683" i="1"/>
  <c r="AM683" i="1"/>
  <c r="AN683" i="1"/>
  <c r="AO683" i="1"/>
  <c r="AP683" i="1"/>
  <c r="AQ683" i="1"/>
  <c r="A684" i="1"/>
  <c r="B684" i="1"/>
  <c r="C684" i="1"/>
  <c r="D684" i="1"/>
  <c r="E684" i="1"/>
  <c r="F684" i="1"/>
  <c r="G684" i="1"/>
  <c r="N684" i="1"/>
  <c r="O684" i="1"/>
  <c r="S684" i="1"/>
  <c r="U684" i="1"/>
  <c r="V684" i="1"/>
  <c r="AB684" i="1"/>
  <c r="AC684" i="1"/>
  <c r="AD684" i="1"/>
  <c r="AG684" i="1"/>
  <c r="AH684" i="1"/>
  <c r="AI684" i="1"/>
  <c r="AJ684" i="1"/>
  <c r="AK684" i="1"/>
  <c r="AM684" i="1"/>
  <c r="AN684" i="1"/>
  <c r="AO684" i="1"/>
  <c r="AP684" i="1"/>
  <c r="AQ684" i="1"/>
  <c r="A685" i="1"/>
  <c r="B685" i="1"/>
  <c r="C685" i="1"/>
  <c r="D685" i="1"/>
  <c r="E685" i="1"/>
  <c r="F685" i="1"/>
  <c r="G685" i="1"/>
  <c r="K685" i="1"/>
  <c r="N685" i="1"/>
  <c r="O685" i="1"/>
  <c r="V685" i="1"/>
  <c r="AB685" i="1"/>
  <c r="AC685" i="1"/>
  <c r="AD685" i="1"/>
  <c r="AG685" i="1"/>
  <c r="AH685" i="1"/>
  <c r="AI685" i="1"/>
  <c r="AJ685" i="1"/>
  <c r="AK685" i="1"/>
  <c r="AM685" i="1"/>
  <c r="AN685" i="1"/>
  <c r="AO685" i="1"/>
  <c r="AP685" i="1"/>
  <c r="AQ685" i="1"/>
  <c r="A686" i="1"/>
  <c r="B686" i="1"/>
  <c r="C686" i="1"/>
  <c r="D686" i="1"/>
  <c r="E686" i="1"/>
  <c r="F686" i="1"/>
  <c r="G686" i="1"/>
  <c r="K686" i="1"/>
  <c r="N686" i="1"/>
  <c r="O686" i="1"/>
  <c r="V686" i="1"/>
  <c r="AB686" i="1"/>
  <c r="AC686" i="1"/>
  <c r="AD686" i="1"/>
  <c r="AG686" i="1"/>
  <c r="AH686" i="1"/>
  <c r="AI686" i="1"/>
  <c r="AJ686" i="1"/>
  <c r="AK686" i="1"/>
  <c r="AM686" i="1"/>
  <c r="AN686" i="1"/>
  <c r="AO686" i="1"/>
  <c r="AP686" i="1"/>
  <c r="AQ686" i="1"/>
  <c r="A687" i="1"/>
  <c r="B687" i="1"/>
  <c r="C687" i="1"/>
  <c r="D687" i="1"/>
  <c r="E687" i="1"/>
  <c r="F687" i="1"/>
  <c r="G687" i="1"/>
  <c r="K687" i="1"/>
  <c r="N687" i="1"/>
  <c r="O687" i="1"/>
  <c r="V687" i="1"/>
  <c r="AB687" i="1"/>
  <c r="AC687" i="1"/>
  <c r="AD687" i="1"/>
  <c r="AG687" i="1"/>
  <c r="AH687" i="1"/>
  <c r="AI687" i="1"/>
  <c r="AJ687" i="1"/>
  <c r="AK687" i="1"/>
  <c r="AM687" i="1"/>
  <c r="AN687" i="1"/>
  <c r="AO687" i="1"/>
  <c r="AP687" i="1"/>
  <c r="AQ687" i="1"/>
  <c r="A688" i="1"/>
  <c r="B688" i="1"/>
  <c r="C688" i="1"/>
  <c r="D688" i="1"/>
  <c r="E688" i="1"/>
  <c r="F688" i="1"/>
  <c r="G688" i="1"/>
  <c r="K688" i="1"/>
  <c r="N688" i="1"/>
  <c r="O688" i="1"/>
  <c r="V688" i="1"/>
  <c r="AB688" i="1"/>
  <c r="AC688" i="1"/>
  <c r="AD688" i="1"/>
  <c r="AG688" i="1"/>
  <c r="AH688" i="1"/>
  <c r="AI688" i="1"/>
  <c r="AJ688" i="1"/>
  <c r="AK688" i="1"/>
  <c r="AM688" i="1"/>
  <c r="AN688" i="1"/>
  <c r="AO688" i="1"/>
  <c r="AP688" i="1"/>
  <c r="AQ688" i="1"/>
  <c r="A689" i="1"/>
  <c r="B689" i="1"/>
  <c r="C689" i="1"/>
  <c r="D689" i="1"/>
  <c r="E689" i="1"/>
  <c r="F689" i="1"/>
  <c r="G689" i="1"/>
  <c r="K689" i="1"/>
  <c r="N689" i="1"/>
  <c r="O689" i="1"/>
  <c r="V689" i="1"/>
  <c r="AB689" i="1"/>
  <c r="AC689" i="1"/>
  <c r="AD689" i="1"/>
  <c r="AG689" i="1"/>
  <c r="AH689" i="1"/>
  <c r="AI689" i="1"/>
  <c r="AJ689" i="1"/>
  <c r="AK689" i="1"/>
  <c r="AM689" i="1"/>
  <c r="AN689" i="1"/>
  <c r="AO689" i="1"/>
  <c r="AP689" i="1"/>
  <c r="AQ689" i="1"/>
  <c r="A690" i="1"/>
  <c r="B690" i="1"/>
  <c r="C690" i="1"/>
  <c r="D690" i="1"/>
  <c r="E690" i="1"/>
  <c r="F690" i="1"/>
  <c r="G690" i="1"/>
  <c r="K690" i="1"/>
  <c r="N690" i="1"/>
  <c r="O690" i="1"/>
  <c r="V690" i="1"/>
  <c r="AB690" i="1"/>
  <c r="AC690" i="1"/>
  <c r="AD690" i="1"/>
  <c r="AG690" i="1"/>
  <c r="AH690" i="1"/>
  <c r="AI690" i="1"/>
  <c r="AJ690" i="1"/>
  <c r="AK690" i="1"/>
  <c r="AM690" i="1"/>
  <c r="AN690" i="1"/>
  <c r="AO690" i="1"/>
  <c r="AP690" i="1"/>
  <c r="AQ690" i="1"/>
  <c r="A691" i="1"/>
  <c r="B691" i="1"/>
  <c r="C691" i="1"/>
  <c r="D691" i="1"/>
  <c r="E691" i="1"/>
  <c r="F691" i="1"/>
  <c r="G691" i="1"/>
  <c r="K691" i="1"/>
  <c r="N691" i="1"/>
  <c r="O691" i="1"/>
  <c r="V691" i="1"/>
  <c r="AB691" i="1"/>
  <c r="AC691" i="1"/>
  <c r="AD691" i="1"/>
  <c r="AG691" i="1"/>
  <c r="AH691" i="1"/>
  <c r="AI691" i="1"/>
  <c r="AJ691" i="1"/>
  <c r="AK691" i="1"/>
  <c r="AM691" i="1"/>
  <c r="AN691" i="1"/>
  <c r="AO691" i="1"/>
  <c r="AP691" i="1"/>
  <c r="AQ691" i="1"/>
  <c r="A692" i="1"/>
  <c r="B692" i="1"/>
  <c r="C692" i="1"/>
  <c r="D692" i="1"/>
  <c r="E692" i="1"/>
  <c r="F692" i="1"/>
  <c r="G692" i="1"/>
  <c r="K692" i="1"/>
  <c r="N692" i="1"/>
  <c r="O692" i="1"/>
  <c r="V692" i="1"/>
  <c r="AB692" i="1"/>
  <c r="AC692" i="1"/>
  <c r="AD692" i="1"/>
  <c r="AG692" i="1"/>
  <c r="AH692" i="1"/>
  <c r="AI692" i="1"/>
  <c r="AJ692" i="1"/>
  <c r="AK692" i="1"/>
  <c r="AM692" i="1"/>
  <c r="AN692" i="1"/>
  <c r="AO692" i="1"/>
  <c r="AP692" i="1"/>
  <c r="AQ692" i="1"/>
  <c r="A693" i="1"/>
  <c r="B693" i="1"/>
  <c r="C693" i="1"/>
  <c r="D693" i="1"/>
  <c r="E693" i="1"/>
  <c r="F693" i="1"/>
  <c r="G693" i="1"/>
  <c r="K693" i="1"/>
  <c r="N693" i="1"/>
  <c r="O693" i="1"/>
  <c r="V693" i="1"/>
  <c r="AB693" i="1"/>
  <c r="AC693" i="1"/>
  <c r="AD693" i="1"/>
  <c r="AG693" i="1"/>
  <c r="AH693" i="1"/>
  <c r="AI693" i="1"/>
  <c r="AJ693" i="1"/>
  <c r="AK693" i="1"/>
  <c r="AM693" i="1"/>
  <c r="AN693" i="1"/>
  <c r="AO693" i="1"/>
  <c r="AP693" i="1"/>
  <c r="AQ693" i="1"/>
  <c r="A694" i="1"/>
  <c r="B694" i="1"/>
  <c r="C694" i="1"/>
  <c r="D694" i="1"/>
  <c r="E694" i="1"/>
  <c r="F694" i="1"/>
  <c r="G694" i="1"/>
  <c r="K694" i="1"/>
  <c r="N694" i="1"/>
  <c r="O694" i="1"/>
  <c r="V694" i="1"/>
  <c r="AB694" i="1"/>
  <c r="AC694" i="1"/>
  <c r="AD694" i="1"/>
  <c r="AG694" i="1"/>
  <c r="AH694" i="1"/>
  <c r="AI694" i="1"/>
  <c r="AJ694" i="1"/>
  <c r="AK694" i="1"/>
  <c r="AM694" i="1"/>
  <c r="AN694" i="1"/>
  <c r="AO694" i="1"/>
  <c r="AP694" i="1"/>
  <c r="AQ694" i="1"/>
  <c r="A695" i="1"/>
  <c r="B695" i="1"/>
  <c r="C695" i="1"/>
  <c r="D695" i="1"/>
  <c r="E695" i="1"/>
  <c r="F695" i="1"/>
  <c r="G695" i="1"/>
  <c r="K695" i="1"/>
  <c r="N695" i="1"/>
  <c r="O695" i="1"/>
  <c r="V695" i="1"/>
  <c r="AB695" i="1"/>
  <c r="AC695" i="1"/>
  <c r="AD695" i="1"/>
  <c r="AG695" i="1"/>
  <c r="AH695" i="1"/>
  <c r="AI695" i="1"/>
  <c r="AJ695" i="1"/>
  <c r="AK695" i="1"/>
  <c r="AM695" i="1"/>
  <c r="AN695" i="1"/>
  <c r="AO695" i="1"/>
  <c r="AP695" i="1"/>
  <c r="AQ695" i="1"/>
  <c r="A696" i="1"/>
  <c r="B696" i="1"/>
  <c r="C696" i="1"/>
  <c r="D696" i="1"/>
  <c r="E696" i="1"/>
  <c r="F696" i="1"/>
  <c r="G696" i="1"/>
  <c r="K696" i="1"/>
  <c r="N696" i="1"/>
  <c r="O696" i="1"/>
  <c r="V696" i="1"/>
  <c r="AB696" i="1"/>
  <c r="AC696" i="1"/>
  <c r="AD696" i="1"/>
  <c r="AG696" i="1"/>
  <c r="AH696" i="1"/>
  <c r="AI696" i="1"/>
  <c r="AJ696" i="1"/>
  <c r="AK696" i="1"/>
  <c r="AM696" i="1"/>
  <c r="AN696" i="1"/>
  <c r="AO696" i="1"/>
  <c r="AP696" i="1"/>
  <c r="AQ696" i="1"/>
  <c r="A697" i="1"/>
  <c r="B697" i="1"/>
  <c r="C697" i="1"/>
  <c r="D697" i="1"/>
  <c r="E697" i="1"/>
  <c r="F697" i="1"/>
  <c r="G697" i="1"/>
  <c r="K697" i="1"/>
  <c r="N697" i="1"/>
  <c r="O697" i="1"/>
  <c r="V697" i="1"/>
  <c r="AB697" i="1"/>
  <c r="AC697" i="1"/>
  <c r="AD697" i="1"/>
  <c r="AG697" i="1"/>
  <c r="AH697" i="1"/>
  <c r="AI697" i="1"/>
  <c r="AJ697" i="1"/>
  <c r="AK697" i="1"/>
  <c r="AM697" i="1"/>
  <c r="AN697" i="1"/>
  <c r="AO697" i="1"/>
  <c r="AP697" i="1"/>
  <c r="AQ697" i="1"/>
  <c r="A698" i="1"/>
  <c r="B698" i="1"/>
  <c r="C698" i="1"/>
  <c r="D698" i="1"/>
  <c r="E698" i="1"/>
  <c r="F698" i="1"/>
  <c r="G698" i="1"/>
  <c r="K698" i="1"/>
  <c r="N698" i="1"/>
  <c r="O698" i="1"/>
  <c r="V698" i="1"/>
  <c r="AB698" i="1"/>
  <c r="AC698" i="1"/>
  <c r="AD698" i="1"/>
  <c r="AG698" i="1"/>
  <c r="AH698" i="1"/>
  <c r="AI698" i="1"/>
  <c r="AJ698" i="1"/>
  <c r="AK698" i="1"/>
  <c r="AM698" i="1"/>
  <c r="AN698" i="1"/>
  <c r="AO698" i="1"/>
  <c r="AP698" i="1"/>
  <c r="AQ698" i="1"/>
  <c r="A699" i="1"/>
  <c r="B699" i="1"/>
  <c r="C699" i="1"/>
  <c r="D699" i="1"/>
  <c r="E699" i="1"/>
  <c r="F699" i="1"/>
  <c r="G699" i="1"/>
  <c r="K699" i="1"/>
  <c r="N699" i="1"/>
  <c r="O699" i="1"/>
  <c r="V699" i="1"/>
  <c r="AB699" i="1"/>
  <c r="AC699" i="1"/>
  <c r="AD699" i="1"/>
  <c r="AG699" i="1"/>
  <c r="AH699" i="1"/>
  <c r="AI699" i="1"/>
  <c r="AJ699" i="1"/>
  <c r="AK699" i="1"/>
  <c r="AM699" i="1"/>
  <c r="AN699" i="1"/>
  <c r="AO699" i="1"/>
  <c r="AP699" i="1"/>
  <c r="AQ699" i="1"/>
  <c r="A700" i="1"/>
  <c r="B700" i="1"/>
  <c r="C700" i="1"/>
  <c r="D700" i="1"/>
  <c r="E700" i="1"/>
  <c r="F700" i="1"/>
  <c r="G700" i="1"/>
  <c r="K700" i="1"/>
  <c r="N700" i="1"/>
  <c r="O700" i="1"/>
  <c r="V700" i="1"/>
  <c r="AB700" i="1"/>
  <c r="AC700" i="1"/>
  <c r="AD700" i="1"/>
  <c r="AG700" i="1"/>
  <c r="AH700" i="1"/>
  <c r="AI700" i="1"/>
  <c r="AJ700" i="1"/>
  <c r="AK700" i="1"/>
  <c r="AM700" i="1"/>
  <c r="AN700" i="1"/>
  <c r="AO700" i="1"/>
  <c r="AP700" i="1"/>
  <c r="AQ700" i="1"/>
  <c r="A701" i="1"/>
  <c r="B701" i="1"/>
  <c r="C701" i="1"/>
  <c r="D701" i="1"/>
  <c r="E701" i="1"/>
  <c r="F701" i="1"/>
  <c r="G701" i="1"/>
  <c r="K701" i="1"/>
  <c r="N701" i="1"/>
  <c r="O701" i="1"/>
  <c r="V701" i="1"/>
  <c r="AB701" i="1"/>
  <c r="AC701" i="1"/>
  <c r="AD701" i="1"/>
  <c r="AG701" i="1"/>
  <c r="AH701" i="1"/>
  <c r="AI701" i="1"/>
  <c r="AJ701" i="1"/>
  <c r="AK701" i="1"/>
  <c r="AM701" i="1"/>
  <c r="AN701" i="1"/>
  <c r="AO701" i="1"/>
  <c r="AP701" i="1"/>
  <c r="AQ701" i="1"/>
  <c r="A702" i="1"/>
  <c r="B702" i="1"/>
  <c r="C702" i="1"/>
  <c r="D702" i="1"/>
  <c r="E702" i="1"/>
  <c r="F702" i="1"/>
  <c r="G702" i="1"/>
  <c r="K702" i="1"/>
  <c r="N702" i="1"/>
  <c r="O702" i="1"/>
  <c r="V702" i="1"/>
  <c r="AB702" i="1"/>
  <c r="AC702" i="1"/>
  <c r="AD702" i="1"/>
  <c r="AG702" i="1"/>
  <c r="AH702" i="1"/>
  <c r="AI702" i="1"/>
  <c r="AJ702" i="1"/>
  <c r="AK702" i="1"/>
  <c r="AM702" i="1"/>
  <c r="AN702" i="1"/>
  <c r="AO702" i="1"/>
  <c r="AP702" i="1"/>
  <c r="AQ702" i="1"/>
  <c r="A703" i="1"/>
  <c r="B703" i="1"/>
  <c r="C703" i="1"/>
  <c r="D703" i="1"/>
  <c r="E703" i="1"/>
  <c r="F703" i="1"/>
  <c r="G703" i="1"/>
  <c r="K703" i="1"/>
  <c r="N703" i="1"/>
  <c r="O703" i="1"/>
  <c r="V703" i="1"/>
  <c r="AB703" i="1"/>
  <c r="AC703" i="1"/>
  <c r="AD703" i="1"/>
  <c r="AG703" i="1"/>
  <c r="AH703" i="1"/>
  <c r="AI703" i="1"/>
  <c r="AJ703" i="1"/>
  <c r="AK703" i="1"/>
  <c r="AM703" i="1"/>
  <c r="AN703" i="1"/>
  <c r="AO703" i="1"/>
  <c r="AP703" i="1"/>
  <c r="AQ703" i="1"/>
  <c r="A704" i="1"/>
  <c r="B704" i="1"/>
  <c r="C704" i="1"/>
  <c r="D704" i="1"/>
  <c r="E704" i="1"/>
  <c r="F704" i="1"/>
  <c r="G704" i="1"/>
  <c r="K704" i="1"/>
  <c r="N704" i="1"/>
  <c r="O704" i="1"/>
  <c r="V704" i="1"/>
  <c r="AB704" i="1"/>
  <c r="AC704" i="1"/>
  <c r="AD704" i="1"/>
  <c r="AG704" i="1"/>
  <c r="AH704" i="1"/>
  <c r="AI704" i="1"/>
  <c r="AJ704" i="1"/>
  <c r="AK704" i="1"/>
  <c r="AM704" i="1"/>
  <c r="AN704" i="1"/>
  <c r="AO704" i="1"/>
  <c r="AP704" i="1"/>
  <c r="AQ704" i="1"/>
  <c r="A705" i="1"/>
  <c r="B705" i="1"/>
  <c r="C705" i="1"/>
  <c r="D705" i="1"/>
  <c r="E705" i="1"/>
  <c r="F705" i="1"/>
  <c r="G705" i="1"/>
  <c r="K705" i="1"/>
  <c r="N705" i="1"/>
  <c r="O705" i="1"/>
  <c r="V705" i="1"/>
  <c r="Z705" i="1"/>
  <c r="AB705" i="1"/>
  <c r="AC705" i="1"/>
  <c r="AD705" i="1"/>
  <c r="AG705" i="1"/>
  <c r="AH705" i="1"/>
  <c r="AI705" i="1"/>
  <c r="AJ705" i="1"/>
  <c r="AK705" i="1"/>
  <c r="AM705" i="1"/>
  <c r="AN705" i="1"/>
  <c r="AO705" i="1"/>
  <c r="AP705" i="1"/>
  <c r="AQ705" i="1"/>
  <c r="A706" i="1"/>
  <c r="B706" i="1"/>
  <c r="C706" i="1"/>
  <c r="D706" i="1"/>
  <c r="E706" i="1"/>
  <c r="F706" i="1"/>
  <c r="G706" i="1"/>
  <c r="K706" i="1"/>
  <c r="N706" i="1"/>
  <c r="O706" i="1"/>
  <c r="V706" i="1"/>
  <c r="Z706" i="1"/>
  <c r="AB706" i="1"/>
  <c r="AC706" i="1"/>
  <c r="AD706" i="1"/>
  <c r="AG706" i="1"/>
  <c r="AH706" i="1"/>
  <c r="AI706" i="1"/>
  <c r="AJ706" i="1"/>
  <c r="AK706" i="1"/>
  <c r="AM706" i="1"/>
  <c r="AN706" i="1"/>
  <c r="AO706" i="1"/>
  <c r="AP706" i="1"/>
  <c r="AQ706" i="1"/>
  <c r="A707" i="1"/>
  <c r="B707" i="1"/>
  <c r="C707" i="1"/>
  <c r="D707" i="1"/>
  <c r="E707" i="1"/>
  <c r="F707" i="1"/>
  <c r="G707" i="1"/>
  <c r="K707" i="1"/>
  <c r="N707" i="1"/>
  <c r="O707" i="1"/>
  <c r="V707" i="1"/>
  <c r="Z707" i="1"/>
  <c r="AB707" i="1"/>
  <c r="AC707" i="1"/>
  <c r="AD707" i="1"/>
  <c r="AG707" i="1"/>
  <c r="AH707" i="1"/>
  <c r="AI707" i="1"/>
  <c r="AJ707" i="1"/>
  <c r="AK707" i="1"/>
  <c r="AM707" i="1"/>
  <c r="AN707" i="1"/>
  <c r="AO707" i="1"/>
  <c r="AP707" i="1"/>
  <c r="AQ707" i="1"/>
  <c r="A708" i="1"/>
  <c r="B708" i="1"/>
  <c r="C708" i="1"/>
  <c r="D708" i="1"/>
  <c r="E708" i="1"/>
  <c r="F708" i="1"/>
  <c r="G708" i="1"/>
  <c r="K708" i="1"/>
  <c r="N708" i="1"/>
  <c r="O708" i="1"/>
  <c r="V708" i="1"/>
  <c r="Z708" i="1"/>
  <c r="AB708" i="1"/>
  <c r="AC708" i="1"/>
  <c r="AD708" i="1"/>
  <c r="AG708" i="1"/>
  <c r="AH708" i="1"/>
  <c r="AI708" i="1"/>
  <c r="AJ708" i="1"/>
  <c r="AK708" i="1"/>
  <c r="AM708" i="1"/>
  <c r="AN708" i="1"/>
  <c r="AO708" i="1"/>
  <c r="AP708" i="1"/>
  <c r="AQ708" i="1"/>
  <c r="A709" i="1"/>
  <c r="B709" i="1"/>
  <c r="C709" i="1"/>
  <c r="D709" i="1"/>
  <c r="E709" i="1"/>
  <c r="F709" i="1"/>
  <c r="G709" i="1"/>
  <c r="K709" i="1"/>
  <c r="N709" i="1"/>
  <c r="O709" i="1"/>
  <c r="V709" i="1"/>
  <c r="Z709" i="1"/>
  <c r="AB709" i="1"/>
  <c r="AC709" i="1"/>
  <c r="AD709" i="1"/>
  <c r="AG709" i="1"/>
  <c r="AH709" i="1"/>
  <c r="AI709" i="1"/>
  <c r="AJ709" i="1"/>
  <c r="AK709" i="1"/>
  <c r="AM709" i="1"/>
  <c r="AN709" i="1"/>
  <c r="AO709" i="1"/>
  <c r="AP709" i="1"/>
  <c r="AQ709" i="1"/>
  <c r="A710" i="1"/>
  <c r="B710" i="1"/>
  <c r="C710" i="1"/>
  <c r="D710" i="1"/>
  <c r="E710" i="1"/>
  <c r="F710" i="1"/>
  <c r="G710" i="1"/>
  <c r="K710" i="1"/>
  <c r="N710" i="1"/>
  <c r="O710" i="1"/>
  <c r="V710" i="1"/>
  <c r="Z710" i="1"/>
  <c r="AB710" i="1"/>
  <c r="AC710" i="1"/>
  <c r="AD710" i="1"/>
  <c r="AG710" i="1"/>
  <c r="AH710" i="1"/>
  <c r="AI710" i="1"/>
  <c r="AJ710" i="1"/>
  <c r="AK710" i="1"/>
  <c r="AM710" i="1"/>
  <c r="AN710" i="1"/>
  <c r="AO710" i="1"/>
  <c r="AP710" i="1"/>
  <c r="AQ710" i="1"/>
  <c r="A711" i="1"/>
  <c r="B711" i="1"/>
  <c r="C711" i="1"/>
  <c r="D711" i="1"/>
  <c r="E711" i="1"/>
  <c r="F711" i="1"/>
  <c r="G711" i="1"/>
  <c r="N711" i="1"/>
  <c r="O711" i="1"/>
  <c r="V711" i="1"/>
  <c r="Z711" i="1"/>
  <c r="AB711" i="1"/>
  <c r="AC711" i="1"/>
  <c r="AD711" i="1"/>
  <c r="AG711" i="1"/>
  <c r="AH711" i="1"/>
  <c r="AI711" i="1"/>
  <c r="AJ711" i="1"/>
  <c r="AK711" i="1"/>
  <c r="AM711" i="1"/>
  <c r="AN711" i="1"/>
  <c r="AO711" i="1"/>
  <c r="AP711" i="1"/>
  <c r="AQ711" i="1"/>
  <c r="A712" i="1"/>
  <c r="B712" i="1"/>
  <c r="C712" i="1"/>
  <c r="D712" i="1"/>
  <c r="E712" i="1"/>
  <c r="F712" i="1"/>
  <c r="G712" i="1"/>
  <c r="N712" i="1"/>
  <c r="O712" i="1"/>
  <c r="V712" i="1"/>
  <c r="Z712" i="1"/>
  <c r="AB712" i="1"/>
  <c r="AC712" i="1"/>
  <c r="AD712" i="1"/>
  <c r="AG712" i="1"/>
  <c r="AH712" i="1"/>
  <c r="AI712" i="1"/>
  <c r="AJ712" i="1"/>
  <c r="AK712" i="1"/>
  <c r="AM712" i="1"/>
  <c r="AN712" i="1"/>
  <c r="AO712" i="1"/>
  <c r="AP712" i="1"/>
  <c r="AQ712" i="1"/>
  <c r="A713" i="1"/>
  <c r="B713" i="1"/>
  <c r="C713" i="1"/>
  <c r="D713" i="1"/>
  <c r="E713" i="1"/>
  <c r="F713" i="1"/>
  <c r="G713" i="1"/>
  <c r="N713" i="1"/>
  <c r="V713" i="1"/>
  <c r="Z713" i="1"/>
  <c r="AB713" i="1"/>
  <c r="AC713" i="1"/>
  <c r="AD713" i="1"/>
  <c r="AG713" i="1"/>
  <c r="AH713" i="1"/>
  <c r="AI713" i="1"/>
  <c r="AJ713" i="1"/>
  <c r="AK713" i="1"/>
  <c r="AM713" i="1"/>
  <c r="AN713" i="1"/>
  <c r="AO713" i="1"/>
  <c r="AP713" i="1"/>
  <c r="AQ713" i="1"/>
  <c r="A714" i="1"/>
  <c r="B714" i="1"/>
  <c r="C714" i="1"/>
  <c r="D714" i="1"/>
  <c r="E714" i="1"/>
  <c r="F714" i="1"/>
  <c r="G714" i="1"/>
  <c r="K714" i="1"/>
  <c r="N714" i="1"/>
  <c r="O714" i="1"/>
  <c r="V714" i="1"/>
  <c r="Z714" i="1"/>
  <c r="AB714" i="1"/>
  <c r="AC714" i="1"/>
  <c r="AD714" i="1"/>
  <c r="AF714" i="1"/>
  <c r="AG714" i="1"/>
  <c r="AH714" i="1"/>
  <c r="AI714" i="1"/>
  <c r="AJ714" i="1"/>
  <c r="AK714" i="1"/>
  <c r="AM714" i="1"/>
  <c r="AN714" i="1"/>
  <c r="AO714" i="1"/>
  <c r="AP714" i="1"/>
  <c r="AQ714" i="1"/>
  <c r="A715" i="1"/>
  <c r="B715" i="1"/>
  <c r="C715" i="1"/>
  <c r="D715" i="1"/>
  <c r="E715" i="1"/>
  <c r="F715" i="1"/>
  <c r="G715" i="1"/>
  <c r="K715" i="1"/>
  <c r="N715" i="1"/>
  <c r="O715" i="1"/>
  <c r="V715" i="1"/>
  <c r="Z715" i="1"/>
  <c r="AB715" i="1"/>
  <c r="AC715" i="1"/>
  <c r="AD715" i="1"/>
  <c r="AG715" i="1"/>
  <c r="AH715" i="1"/>
  <c r="AI715" i="1"/>
  <c r="AJ715" i="1"/>
  <c r="AK715" i="1"/>
  <c r="AM715" i="1"/>
  <c r="AN715" i="1"/>
  <c r="AO715" i="1"/>
  <c r="AP715" i="1"/>
  <c r="AQ715" i="1"/>
  <c r="A716" i="1"/>
  <c r="B716" i="1"/>
  <c r="C716" i="1"/>
  <c r="D716" i="1"/>
  <c r="E716" i="1"/>
  <c r="F716" i="1"/>
  <c r="G716" i="1"/>
  <c r="K716" i="1"/>
  <c r="N716" i="1"/>
  <c r="O716" i="1"/>
  <c r="V716" i="1"/>
  <c r="Z716" i="1"/>
  <c r="AB716" i="1"/>
  <c r="AC716" i="1"/>
  <c r="AD716" i="1"/>
  <c r="AG716" i="1"/>
  <c r="AH716" i="1"/>
  <c r="AI716" i="1"/>
  <c r="AJ716" i="1"/>
  <c r="AK716" i="1"/>
  <c r="AM716" i="1"/>
  <c r="AN716" i="1"/>
  <c r="AO716" i="1"/>
  <c r="AP716" i="1"/>
  <c r="AQ716" i="1"/>
  <c r="A717" i="1"/>
  <c r="B717" i="1"/>
  <c r="C717" i="1"/>
  <c r="D717" i="1"/>
  <c r="E717" i="1"/>
  <c r="F717" i="1"/>
  <c r="G717" i="1"/>
  <c r="N717" i="1"/>
  <c r="O717" i="1"/>
  <c r="V717" i="1"/>
  <c r="Z717" i="1"/>
  <c r="AB717" i="1"/>
  <c r="AC717" i="1"/>
  <c r="AD717" i="1"/>
  <c r="AG717" i="1"/>
  <c r="AH717" i="1"/>
  <c r="AI717" i="1"/>
  <c r="AJ717" i="1"/>
  <c r="AK717" i="1"/>
  <c r="AM717" i="1"/>
  <c r="AN717" i="1"/>
  <c r="AO717" i="1"/>
  <c r="AP717" i="1"/>
  <c r="AQ717" i="1"/>
  <c r="A718" i="1"/>
  <c r="B718" i="1"/>
  <c r="C718" i="1"/>
  <c r="D718" i="1"/>
  <c r="E718" i="1"/>
  <c r="F718" i="1"/>
  <c r="G718" i="1"/>
  <c r="K718" i="1"/>
  <c r="N718" i="1"/>
  <c r="O718" i="1"/>
  <c r="V718" i="1"/>
  <c r="Z718" i="1"/>
  <c r="AB718" i="1"/>
  <c r="AC718" i="1"/>
  <c r="AD718" i="1"/>
  <c r="AG718" i="1"/>
  <c r="AH718" i="1"/>
  <c r="AI718" i="1"/>
  <c r="AJ718" i="1"/>
  <c r="AK718" i="1"/>
  <c r="AM718" i="1"/>
  <c r="AN718" i="1"/>
  <c r="AO718" i="1"/>
  <c r="AP718" i="1"/>
  <c r="AQ718" i="1"/>
  <c r="A719" i="1"/>
  <c r="B719" i="1"/>
  <c r="C719" i="1"/>
  <c r="D719" i="1"/>
  <c r="E719" i="1"/>
  <c r="F719" i="1"/>
  <c r="G719" i="1"/>
  <c r="K719" i="1"/>
  <c r="L719" i="1"/>
  <c r="M719" i="1"/>
  <c r="N719" i="1"/>
  <c r="O719" i="1"/>
  <c r="Q719" i="1"/>
  <c r="S719" i="1"/>
  <c r="U719" i="1"/>
  <c r="V719" i="1"/>
  <c r="Z719" i="1"/>
  <c r="AB719" i="1"/>
  <c r="AC719" i="1"/>
  <c r="AD719" i="1"/>
  <c r="AE719" i="1"/>
  <c r="AG719" i="1"/>
  <c r="AH719" i="1"/>
  <c r="AI719" i="1"/>
  <c r="AJ719" i="1"/>
  <c r="AK719" i="1"/>
  <c r="AM719" i="1"/>
  <c r="AN719" i="1"/>
  <c r="AO719" i="1"/>
  <c r="AP719" i="1"/>
  <c r="AQ719" i="1"/>
  <c r="A720" i="1"/>
  <c r="B720" i="1"/>
  <c r="C720" i="1"/>
  <c r="D720" i="1"/>
  <c r="E720" i="1"/>
  <c r="F720" i="1"/>
  <c r="G720" i="1"/>
  <c r="K720" i="1"/>
  <c r="N720" i="1"/>
  <c r="O720" i="1"/>
  <c r="V720" i="1"/>
  <c r="Z720" i="1"/>
  <c r="AB720" i="1"/>
  <c r="AC720" i="1"/>
  <c r="AD720" i="1"/>
  <c r="AG720" i="1"/>
  <c r="AH720" i="1"/>
  <c r="AI720" i="1"/>
  <c r="AJ720" i="1"/>
  <c r="AK720" i="1"/>
  <c r="AM720" i="1"/>
  <c r="AN720" i="1"/>
  <c r="AO720" i="1"/>
  <c r="AP720" i="1"/>
  <c r="AQ720" i="1"/>
  <c r="A721" i="1"/>
  <c r="B721" i="1"/>
  <c r="C721" i="1"/>
  <c r="D721" i="1"/>
  <c r="E721" i="1"/>
  <c r="F721" i="1"/>
  <c r="G721" i="1"/>
  <c r="K721" i="1"/>
  <c r="N721" i="1"/>
  <c r="O721" i="1"/>
  <c r="V721" i="1"/>
  <c r="Z721" i="1"/>
  <c r="AB721" i="1"/>
  <c r="AC721" i="1"/>
  <c r="AD721" i="1"/>
  <c r="AG721" i="1"/>
  <c r="AH721" i="1"/>
  <c r="AI721" i="1"/>
  <c r="AJ721" i="1"/>
  <c r="AK721" i="1"/>
  <c r="AM721" i="1"/>
  <c r="AN721" i="1"/>
  <c r="AO721" i="1"/>
  <c r="AP721" i="1"/>
  <c r="AQ721" i="1"/>
  <c r="A722" i="1"/>
  <c r="B722" i="1"/>
  <c r="C722" i="1"/>
  <c r="D722" i="1"/>
  <c r="E722" i="1"/>
  <c r="F722" i="1"/>
  <c r="G722" i="1"/>
  <c r="N722" i="1"/>
  <c r="O722" i="1"/>
  <c r="V722" i="1"/>
  <c r="Z722" i="1"/>
  <c r="AB722" i="1"/>
  <c r="AC722" i="1"/>
  <c r="AD722" i="1"/>
  <c r="AG722" i="1"/>
  <c r="AH722" i="1"/>
  <c r="AI722" i="1"/>
  <c r="AJ722" i="1"/>
  <c r="AK722" i="1"/>
  <c r="AM722" i="1"/>
  <c r="AN722" i="1"/>
  <c r="AO722" i="1"/>
  <c r="AP722" i="1"/>
  <c r="AQ722" i="1"/>
  <c r="A723" i="1"/>
  <c r="B723" i="1"/>
  <c r="C723" i="1"/>
  <c r="D723" i="1"/>
  <c r="E723" i="1"/>
  <c r="F723" i="1"/>
  <c r="G723" i="1"/>
  <c r="K723" i="1"/>
  <c r="N723" i="1"/>
  <c r="O723" i="1"/>
  <c r="V723" i="1"/>
  <c r="Z723" i="1"/>
  <c r="AB723" i="1"/>
  <c r="AC723" i="1"/>
  <c r="AD723" i="1"/>
  <c r="AG723" i="1"/>
  <c r="AH723" i="1"/>
  <c r="AI723" i="1"/>
  <c r="AJ723" i="1"/>
  <c r="AK723" i="1"/>
  <c r="AM723" i="1"/>
  <c r="AN723" i="1"/>
  <c r="AO723" i="1"/>
  <c r="AP723" i="1"/>
  <c r="AQ723" i="1"/>
  <c r="A724" i="1"/>
  <c r="B724" i="1"/>
  <c r="C724" i="1"/>
  <c r="D724" i="1"/>
  <c r="E724" i="1"/>
  <c r="F724" i="1"/>
  <c r="G724" i="1"/>
  <c r="K724" i="1"/>
  <c r="L724" i="1"/>
  <c r="N724" i="1"/>
  <c r="O724" i="1"/>
  <c r="V724" i="1"/>
  <c r="Z724" i="1"/>
  <c r="AB724" i="1"/>
  <c r="AC724" i="1"/>
  <c r="AD724" i="1"/>
  <c r="AG724" i="1"/>
  <c r="AH724" i="1"/>
  <c r="AI724" i="1"/>
  <c r="AJ724" i="1"/>
  <c r="AK724" i="1"/>
  <c r="AM724" i="1"/>
  <c r="AN724" i="1"/>
  <c r="AO724" i="1"/>
  <c r="AP724" i="1"/>
  <c r="AQ724" i="1"/>
  <c r="A725" i="1"/>
  <c r="B725" i="1"/>
  <c r="C725" i="1"/>
  <c r="D725" i="1"/>
  <c r="E725" i="1"/>
  <c r="F725" i="1"/>
  <c r="G725" i="1"/>
  <c r="K725" i="1"/>
  <c r="L725" i="1"/>
  <c r="M725" i="1"/>
  <c r="N725" i="1"/>
  <c r="O725" i="1"/>
  <c r="V725" i="1"/>
  <c r="Z725" i="1"/>
  <c r="AB725" i="1"/>
  <c r="AC725" i="1"/>
  <c r="AD725" i="1"/>
  <c r="AE725" i="1"/>
  <c r="AG725" i="1"/>
  <c r="AH725" i="1"/>
  <c r="AI725" i="1"/>
  <c r="AJ725" i="1"/>
  <c r="AK725" i="1"/>
  <c r="AM725" i="1"/>
  <c r="AN725" i="1"/>
  <c r="AO725" i="1"/>
  <c r="AP725" i="1"/>
  <c r="AQ725" i="1"/>
  <c r="A726" i="1"/>
  <c r="B726" i="1"/>
  <c r="C726" i="1"/>
  <c r="D726" i="1"/>
  <c r="E726" i="1"/>
  <c r="F726" i="1"/>
  <c r="G726" i="1"/>
  <c r="K726" i="1"/>
  <c r="N726" i="1"/>
  <c r="O726" i="1"/>
  <c r="S726" i="1"/>
  <c r="U726" i="1"/>
  <c r="V726" i="1"/>
  <c r="Z726" i="1"/>
  <c r="AB726" i="1"/>
  <c r="AC726" i="1"/>
  <c r="AD726" i="1"/>
  <c r="AG726" i="1"/>
  <c r="AH726" i="1"/>
  <c r="AI726" i="1"/>
  <c r="AJ726" i="1"/>
  <c r="AK726" i="1"/>
  <c r="AM726" i="1"/>
  <c r="AN726" i="1"/>
  <c r="AO726" i="1"/>
  <c r="AP726" i="1"/>
  <c r="AQ726" i="1"/>
  <c r="A727" i="1"/>
  <c r="B727" i="1"/>
  <c r="C727" i="1"/>
  <c r="D727" i="1"/>
  <c r="E727" i="1"/>
  <c r="F727" i="1"/>
  <c r="G727" i="1"/>
  <c r="K727" i="1"/>
  <c r="N727" i="1"/>
  <c r="O727" i="1"/>
  <c r="V727" i="1"/>
  <c r="Z727" i="1"/>
  <c r="AB727" i="1"/>
  <c r="AC727" i="1"/>
  <c r="AD727" i="1"/>
  <c r="AG727" i="1"/>
  <c r="AH727" i="1"/>
  <c r="AI727" i="1"/>
  <c r="AJ727" i="1"/>
  <c r="AK727" i="1"/>
  <c r="AM727" i="1"/>
  <c r="AN727" i="1"/>
  <c r="AO727" i="1"/>
  <c r="AP727" i="1"/>
  <c r="AQ727" i="1"/>
  <c r="A728" i="1"/>
  <c r="B728" i="1"/>
  <c r="C728" i="1"/>
  <c r="D728" i="1"/>
  <c r="E728" i="1"/>
  <c r="F728" i="1"/>
  <c r="G728" i="1"/>
  <c r="K728" i="1"/>
  <c r="L728" i="1"/>
  <c r="M728" i="1"/>
  <c r="N728" i="1"/>
  <c r="O728" i="1"/>
  <c r="S728" i="1"/>
  <c r="U728" i="1"/>
  <c r="V728" i="1"/>
  <c r="Z728" i="1"/>
  <c r="AB728" i="1"/>
  <c r="AC728" i="1"/>
  <c r="AD728" i="1"/>
  <c r="AE728" i="1"/>
  <c r="AG728" i="1"/>
  <c r="AH728" i="1"/>
  <c r="AI728" i="1"/>
  <c r="AJ728" i="1"/>
  <c r="AK728" i="1"/>
  <c r="AM728" i="1"/>
  <c r="AN728" i="1"/>
  <c r="AO728" i="1"/>
  <c r="AP728" i="1"/>
  <c r="AQ728" i="1"/>
  <c r="A729" i="1"/>
  <c r="B729" i="1"/>
  <c r="C729" i="1"/>
  <c r="D729" i="1"/>
  <c r="E729" i="1"/>
  <c r="F729" i="1"/>
  <c r="G729" i="1"/>
  <c r="K729" i="1"/>
  <c r="N729" i="1"/>
  <c r="O729" i="1"/>
  <c r="V729" i="1"/>
  <c r="Z729" i="1"/>
  <c r="AB729" i="1"/>
  <c r="AC729" i="1"/>
  <c r="AD729" i="1"/>
  <c r="AG729" i="1"/>
  <c r="AH729" i="1"/>
  <c r="AI729" i="1"/>
  <c r="AJ729" i="1"/>
  <c r="AK729" i="1"/>
  <c r="AM729" i="1"/>
  <c r="AN729" i="1"/>
  <c r="AO729" i="1"/>
  <c r="AP729" i="1"/>
  <c r="AQ729" i="1"/>
  <c r="A730" i="1"/>
  <c r="B730" i="1"/>
  <c r="C730" i="1"/>
  <c r="D730" i="1"/>
  <c r="E730" i="1"/>
  <c r="F730" i="1"/>
  <c r="G730" i="1"/>
  <c r="K730" i="1"/>
  <c r="M730" i="1"/>
  <c r="N730" i="1"/>
  <c r="V730" i="1"/>
  <c r="Z730" i="1"/>
  <c r="AB730" i="1"/>
  <c r="AC730" i="1"/>
  <c r="AD730" i="1"/>
  <c r="AG730" i="1"/>
  <c r="AH730" i="1"/>
  <c r="AI730" i="1"/>
  <c r="AJ730" i="1"/>
  <c r="AK730" i="1"/>
  <c r="AM730" i="1"/>
  <c r="AN730" i="1"/>
  <c r="AO730" i="1"/>
  <c r="AP730" i="1"/>
  <c r="AQ730" i="1"/>
  <c r="A731" i="1"/>
  <c r="B731" i="1"/>
  <c r="C731" i="1"/>
  <c r="D731" i="1"/>
  <c r="E731" i="1"/>
  <c r="F731" i="1"/>
  <c r="G731" i="1"/>
  <c r="K731" i="1"/>
  <c r="N731" i="1"/>
  <c r="O731" i="1"/>
  <c r="V731" i="1"/>
  <c r="Z731" i="1"/>
  <c r="AB731" i="1"/>
  <c r="AC731" i="1"/>
  <c r="AD731" i="1"/>
  <c r="AG731" i="1"/>
  <c r="AH731" i="1"/>
  <c r="AI731" i="1"/>
  <c r="AJ731" i="1"/>
  <c r="AK731" i="1"/>
  <c r="AM731" i="1"/>
  <c r="AN731" i="1"/>
  <c r="AO731" i="1"/>
  <c r="AP731" i="1"/>
  <c r="AQ731" i="1"/>
  <c r="A732" i="1"/>
  <c r="B732" i="1"/>
  <c r="C732" i="1"/>
  <c r="D732" i="1"/>
  <c r="E732" i="1"/>
  <c r="F732" i="1"/>
  <c r="G732" i="1"/>
  <c r="K732" i="1"/>
  <c r="N732" i="1"/>
  <c r="V732" i="1"/>
  <c r="Z732" i="1"/>
  <c r="AB732" i="1"/>
  <c r="AC732" i="1"/>
  <c r="AD732" i="1"/>
  <c r="AG732" i="1"/>
  <c r="AH732" i="1"/>
  <c r="AI732" i="1"/>
  <c r="AJ732" i="1"/>
  <c r="AK732" i="1"/>
  <c r="AM732" i="1"/>
  <c r="AN732" i="1"/>
  <c r="AO732" i="1"/>
  <c r="AP732" i="1"/>
  <c r="AQ732" i="1"/>
  <c r="A733" i="1"/>
  <c r="B733" i="1"/>
  <c r="C733" i="1"/>
  <c r="D733" i="1"/>
  <c r="E733" i="1"/>
  <c r="F733" i="1"/>
  <c r="G733" i="1"/>
  <c r="K733" i="1"/>
  <c r="N733" i="1"/>
  <c r="V733" i="1"/>
  <c r="Z733" i="1"/>
  <c r="AB733" i="1"/>
  <c r="AC733" i="1"/>
  <c r="AD733" i="1"/>
  <c r="AE733" i="1"/>
  <c r="AG733" i="1"/>
  <c r="AH733" i="1"/>
  <c r="AI733" i="1"/>
  <c r="AJ733" i="1"/>
  <c r="AK733" i="1"/>
  <c r="AM733" i="1"/>
  <c r="AN733" i="1"/>
  <c r="AO733" i="1"/>
  <c r="AP733" i="1"/>
  <c r="AQ733" i="1"/>
  <c r="A734" i="1"/>
  <c r="B734" i="1"/>
  <c r="C734" i="1"/>
  <c r="D734" i="1"/>
  <c r="E734" i="1"/>
  <c r="F734" i="1"/>
  <c r="G734" i="1"/>
  <c r="K734" i="1"/>
  <c r="L734" i="1"/>
  <c r="M734" i="1"/>
  <c r="N734" i="1"/>
  <c r="O734" i="1"/>
  <c r="V734" i="1"/>
  <c r="Z734" i="1"/>
  <c r="AB734" i="1"/>
  <c r="AC734" i="1"/>
  <c r="AD734" i="1"/>
  <c r="AG734" i="1"/>
  <c r="AH734" i="1"/>
  <c r="AI734" i="1"/>
  <c r="AJ734" i="1"/>
  <c r="AK734" i="1"/>
  <c r="AM734" i="1"/>
  <c r="AN734" i="1"/>
  <c r="AO734" i="1"/>
  <c r="AP734" i="1"/>
  <c r="AQ734" i="1"/>
  <c r="A735" i="1"/>
  <c r="B735" i="1"/>
  <c r="C735" i="1"/>
  <c r="D735" i="1"/>
  <c r="E735" i="1"/>
  <c r="F735" i="1"/>
  <c r="G735" i="1"/>
  <c r="K735" i="1"/>
  <c r="L735" i="1"/>
  <c r="M735" i="1"/>
  <c r="N735" i="1"/>
  <c r="O735" i="1"/>
  <c r="V735" i="1"/>
  <c r="Z735" i="1"/>
  <c r="AB735" i="1"/>
  <c r="AC735" i="1"/>
  <c r="AD735" i="1"/>
  <c r="AE735" i="1"/>
  <c r="AG735" i="1"/>
  <c r="AH735" i="1"/>
  <c r="AI735" i="1"/>
  <c r="AJ735" i="1"/>
  <c r="AK735" i="1"/>
  <c r="AM735" i="1"/>
  <c r="AN735" i="1"/>
  <c r="AO735" i="1"/>
  <c r="AP735" i="1"/>
  <c r="AQ735" i="1"/>
  <c r="A736" i="1"/>
  <c r="B736" i="1"/>
  <c r="C736" i="1"/>
  <c r="D736" i="1"/>
  <c r="E736" i="1"/>
  <c r="F736" i="1"/>
  <c r="G736" i="1"/>
  <c r="K736" i="1"/>
  <c r="N736" i="1"/>
  <c r="V736" i="1"/>
  <c r="Z736" i="1"/>
  <c r="AB736" i="1"/>
  <c r="AC736" i="1"/>
  <c r="AD736" i="1"/>
  <c r="AG736" i="1"/>
  <c r="AH736" i="1"/>
  <c r="AI736" i="1"/>
  <c r="AJ736" i="1"/>
  <c r="AK736" i="1"/>
  <c r="AM736" i="1"/>
  <c r="AN736" i="1"/>
  <c r="AO736" i="1"/>
  <c r="AP736" i="1"/>
  <c r="AQ736" i="1"/>
  <c r="A737" i="1"/>
  <c r="B737" i="1"/>
  <c r="C737" i="1"/>
  <c r="D737" i="1"/>
  <c r="E737" i="1"/>
  <c r="F737" i="1"/>
  <c r="G737" i="1"/>
  <c r="K737" i="1"/>
  <c r="L737" i="1"/>
  <c r="N737" i="1"/>
  <c r="V737" i="1"/>
  <c r="Z737" i="1"/>
  <c r="AB737" i="1"/>
  <c r="AC737" i="1"/>
  <c r="AD737" i="1"/>
  <c r="AE737" i="1"/>
  <c r="AG737" i="1"/>
  <c r="AH737" i="1"/>
  <c r="AI737" i="1"/>
  <c r="AJ737" i="1"/>
  <c r="AK737" i="1"/>
  <c r="AM737" i="1"/>
  <c r="AN737" i="1"/>
  <c r="AO737" i="1"/>
  <c r="AP737" i="1"/>
  <c r="AQ737" i="1"/>
  <c r="A738" i="1"/>
  <c r="B738" i="1"/>
  <c r="C738" i="1"/>
  <c r="D738" i="1"/>
  <c r="E738" i="1"/>
  <c r="F738" i="1"/>
  <c r="G738" i="1"/>
  <c r="K738" i="1"/>
  <c r="N738" i="1"/>
  <c r="V738" i="1"/>
  <c r="Z738" i="1"/>
  <c r="AB738" i="1"/>
  <c r="AC738" i="1"/>
  <c r="AD738" i="1"/>
  <c r="AG738" i="1"/>
  <c r="AH738" i="1"/>
  <c r="AI738" i="1"/>
  <c r="AJ738" i="1"/>
  <c r="AK738" i="1"/>
  <c r="AM738" i="1"/>
  <c r="AN738" i="1"/>
  <c r="AO738" i="1"/>
  <c r="AP738" i="1"/>
  <c r="AQ738" i="1"/>
  <c r="A739" i="1"/>
  <c r="B739" i="1"/>
  <c r="C739" i="1"/>
  <c r="D739" i="1"/>
  <c r="E739" i="1"/>
  <c r="F739" i="1"/>
  <c r="G739" i="1"/>
  <c r="K739" i="1"/>
  <c r="N739" i="1"/>
  <c r="S739" i="1"/>
  <c r="U739" i="1"/>
  <c r="V739" i="1"/>
  <c r="Z739" i="1"/>
  <c r="AB739" i="1"/>
  <c r="AC739" i="1"/>
  <c r="AD739" i="1"/>
  <c r="AG739" i="1"/>
  <c r="AH739" i="1"/>
  <c r="AI739" i="1"/>
  <c r="AJ739" i="1"/>
  <c r="AK739" i="1"/>
  <c r="AM739" i="1"/>
  <c r="AN739" i="1"/>
  <c r="AO739" i="1"/>
  <c r="AP739" i="1"/>
  <c r="AQ739" i="1"/>
  <c r="A740" i="1"/>
  <c r="B740" i="1"/>
  <c r="C740" i="1"/>
  <c r="D740" i="1"/>
  <c r="E740" i="1"/>
  <c r="F740" i="1"/>
  <c r="G740" i="1"/>
  <c r="K740" i="1"/>
  <c r="N740" i="1"/>
  <c r="O740" i="1"/>
  <c r="V740" i="1"/>
  <c r="Z740" i="1"/>
  <c r="AB740" i="1"/>
  <c r="AC740" i="1"/>
  <c r="AD740" i="1"/>
  <c r="AG740" i="1"/>
  <c r="AH740" i="1"/>
  <c r="AI740" i="1"/>
  <c r="AJ740" i="1"/>
  <c r="AK740" i="1"/>
  <c r="AM740" i="1"/>
  <c r="AN740" i="1"/>
  <c r="AO740" i="1"/>
  <c r="AP740" i="1"/>
  <c r="AQ740" i="1"/>
  <c r="A741" i="1"/>
  <c r="B741" i="1"/>
  <c r="C741" i="1"/>
  <c r="D741" i="1"/>
  <c r="E741" i="1"/>
  <c r="F741" i="1"/>
  <c r="G741" i="1"/>
  <c r="K741" i="1"/>
  <c r="N741" i="1"/>
  <c r="O741" i="1"/>
  <c r="V741" i="1"/>
  <c r="Z741" i="1"/>
  <c r="AB741" i="1"/>
  <c r="AC741" i="1"/>
  <c r="AD741" i="1"/>
  <c r="AG741" i="1"/>
  <c r="AH741" i="1"/>
  <c r="AI741" i="1"/>
  <c r="AJ741" i="1"/>
  <c r="AK741" i="1"/>
  <c r="AM741" i="1"/>
  <c r="AN741" i="1"/>
  <c r="AO741" i="1"/>
  <c r="AP741" i="1"/>
  <c r="AQ741" i="1"/>
  <c r="A742" i="1"/>
  <c r="B742" i="1"/>
  <c r="C742" i="1"/>
  <c r="D742" i="1"/>
  <c r="E742" i="1"/>
  <c r="F742" i="1"/>
  <c r="G742" i="1"/>
  <c r="K742" i="1"/>
  <c r="N742" i="1"/>
  <c r="O742" i="1"/>
  <c r="S742" i="1"/>
  <c r="U742" i="1"/>
  <c r="V742" i="1"/>
  <c r="Z742" i="1"/>
  <c r="AB742" i="1"/>
  <c r="AC742" i="1"/>
  <c r="AD742" i="1"/>
  <c r="AG742" i="1"/>
  <c r="AH742" i="1"/>
  <c r="AI742" i="1"/>
  <c r="AJ742" i="1"/>
  <c r="AK742" i="1"/>
  <c r="AM742" i="1"/>
  <c r="AN742" i="1"/>
  <c r="AO742" i="1"/>
  <c r="AP742" i="1"/>
  <c r="AQ742" i="1"/>
  <c r="A743" i="1"/>
  <c r="B743" i="1"/>
  <c r="C743" i="1"/>
  <c r="D743" i="1"/>
  <c r="E743" i="1"/>
  <c r="F743" i="1"/>
  <c r="G743" i="1"/>
  <c r="K743" i="1"/>
  <c r="N743" i="1"/>
  <c r="O743" i="1"/>
  <c r="V743" i="1"/>
  <c r="Z743" i="1"/>
  <c r="AB743" i="1"/>
  <c r="AC743" i="1"/>
  <c r="AD743" i="1"/>
  <c r="AG743" i="1"/>
  <c r="AH743" i="1"/>
  <c r="AI743" i="1"/>
  <c r="AJ743" i="1"/>
  <c r="AK743" i="1"/>
  <c r="AM743" i="1"/>
  <c r="AN743" i="1"/>
  <c r="AO743" i="1"/>
  <c r="AP743" i="1"/>
  <c r="AQ743" i="1"/>
  <c r="A744" i="1"/>
  <c r="B744" i="1"/>
  <c r="C744" i="1"/>
  <c r="D744" i="1"/>
  <c r="E744" i="1"/>
  <c r="F744" i="1"/>
  <c r="G744" i="1"/>
  <c r="N744" i="1"/>
  <c r="O744" i="1"/>
  <c r="V744" i="1"/>
  <c r="Z744" i="1"/>
  <c r="AB744" i="1"/>
  <c r="AC744" i="1"/>
  <c r="AD744" i="1"/>
  <c r="AG744" i="1"/>
  <c r="AH744" i="1"/>
  <c r="AI744" i="1"/>
  <c r="AJ744" i="1"/>
  <c r="AK744" i="1"/>
  <c r="AM744" i="1"/>
  <c r="AN744" i="1"/>
  <c r="AO744" i="1"/>
  <c r="AP744" i="1"/>
  <c r="AQ744" i="1"/>
  <c r="A745" i="1"/>
  <c r="B745" i="1"/>
  <c r="C745" i="1"/>
  <c r="D745" i="1"/>
  <c r="E745" i="1"/>
  <c r="F745" i="1"/>
  <c r="G745" i="1"/>
  <c r="K745" i="1"/>
  <c r="N745" i="1"/>
  <c r="O745" i="1"/>
  <c r="V745" i="1"/>
  <c r="Z745" i="1"/>
  <c r="AB745" i="1"/>
  <c r="AC745" i="1"/>
  <c r="AD745" i="1"/>
  <c r="AG745" i="1"/>
  <c r="AH745" i="1"/>
  <c r="AI745" i="1"/>
  <c r="AJ745" i="1"/>
  <c r="AK745" i="1"/>
  <c r="AM745" i="1"/>
  <c r="AN745" i="1"/>
  <c r="AO745" i="1"/>
  <c r="AP745" i="1"/>
  <c r="AQ745" i="1"/>
  <c r="A746" i="1"/>
  <c r="B746" i="1"/>
  <c r="C746" i="1"/>
  <c r="D746" i="1"/>
  <c r="E746" i="1"/>
  <c r="F746" i="1"/>
  <c r="G746" i="1"/>
  <c r="K746" i="1"/>
  <c r="N746" i="1"/>
  <c r="O746" i="1"/>
  <c r="V746" i="1"/>
  <c r="Z746" i="1"/>
  <c r="AB746" i="1"/>
  <c r="AC746" i="1"/>
  <c r="AD746" i="1"/>
  <c r="AG746" i="1"/>
  <c r="AH746" i="1"/>
  <c r="AI746" i="1"/>
  <c r="AJ746" i="1"/>
  <c r="AK746" i="1"/>
  <c r="AM746" i="1"/>
  <c r="AN746" i="1"/>
  <c r="AO746" i="1"/>
  <c r="AP746" i="1"/>
  <c r="AQ746" i="1"/>
  <c r="A747" i="1"/>
  <c r="B747" i="1"/>
  <c r="C747" i="1"/>
  <c r="D747" i="1"/>
  <c r="E747" i="1"/>
  <c r="F747" i="1"/>
  <c r="G747" i="1"/>
  <c r="K747" i="1"/>
  <c r="N747" i="1"/>
  <c r="O747" i="1"/>
  <c r="V747" i="1"/>
  <c r="Z747" i="1"/>
  <c r="AB747" i="1"/>
  <c r="AC747" i="1"/>
  <c r="AD747" i="1"/>
  <c r="AG747" i="1"/>
  <c r="AH747" i="1"/>
  <c r="AI747" i="1"/>
  <c r="AJ747" i="1"/>
  <c r="AK747" i="1"/>
  <c r="AM747" i="1"/>
  <c r="AN747" i="1"/>
  <c r="AO747" i="1"/>
  <c r="AP747" i="1"/>
  <c r="AQ747" i="1"/>
  <c r="A748" i="1"/>
  <c r="B748" i="1"/>
  <c r="C748" i="1"/>
  <c r="D748" i="1"/>
  <c r="E748" i="1"/>
  <c r="F748" i="1"/>
  <c r="G748" i="1"/>
  <c r="K748" i="1"/>
  <c r="L748" i="1"/>
  <c r="M748" i="1"/>
  <c r="N748" i="1"/>
  <c r="O748" i="1"/>
  <c r="V748" i="1"/>
  <c r="Z748" i="1"/>
  <c r="AB748" i="1"/>
  <c r="AC748" i="1"/>
  <c r="AD748" i="1"/>
  <c r="AG748" i="1"/>
  <c r="AH748" i="1"/>
  <c r="AI748" i="1"/>
  <c r="AJ748" i="1"/>
  <c r="AK748" i="1"/>
  <c r="AM748" i="1"/>
  <c r="AN748" i="1"/>
  <c r="AO748" i="1"/>
  <c r="AP748" i="1"/>
  <c r="AQ748" i="1"/>
  <c r="A749" i="1"/>
  <c r="B749" i="1"/>
  <c r="C749" i="1"/>
  <c r="D749" i="1"/>
  <c r="E749" i="1"/>
  <c r="F749" i="1"/>
  <c r="G749" i="1"/>
  <c r="K749" i="1"/>
  <c r="L749" i="1"/>
  <c r="M749" i="1"/>
  <c r="N749" i="1"/>
  <c r="O749" i="1"/>
  <c r="S749" i="1"/>
  <c r="U749" i="1"/>
  <c r="V749" i="1"/>
  <c r="Z749" i="1"/>
  <c r="AB749" i="1"/>
  <c r="AC749" i="1"/>
  <c r="AD749" i="1"/>
  <c r="AE749" i="1"/>
  <c r="AG749" i="1"/>
  <c r="AH749" i="1"/>
  <c r="AI749" i="1"/>
  <c r="AJ749" i="1"/>
  <c r="AK749" i="1"/>
  <c r="AM749" i="1"/>
  <c r="AN749" i="1"/>
  <c r="AO749" i="1"/>
  <c r="AP749" i="1"/>
  <c r="AQ749" i="1"/>
  <c r="A750" i="1"/>
  <c r="B750" i="1"/>
  <c r="C750" i="1"/>
  <c r="D750" i="1"/>
  <c r="E750" i="1"/>
  <c r="F750" i="1"/>
  <c r="G750" i="1"/>
  <c r="K750" i="1"/>
  <c r="L750" i="1"/>
  <c r="M750" i="1"/>
  <c r="N750" i="1"/>
  <c r="O750" i="1"/>
  <c r="V750" i="1"/>
  <c r="Z750" i="1"/>
  <c r="AB750" i="1"/>
  <c r="AC750" i="1"/>
  <c r="AD750" i="1"/>
  <c r="AE750" i="1"/>
  <c r="AG750" i="1"/>
  <c r="AH750" i="1"/>
  <c r="AI750" i="1"/>
  <c r="AJ750" i="1"/>
  <c r="AK750" i="1"/>
  <c r="AM750" i="1"/>
  <c r="AN750" i="1"/>
  <c r="AO750" i="1"/>
  <c r="AP750" i="1"/>
  <c r="AQ750" i="1"/>
  <c r="A751" i="1"/>
  <c r="B751" i="1"/>
  <c r="C751" i="1"/>
  <c r="D751" i="1"/>
  <c r="E751" i="1"/>
  <c r="F751" i="1"/>
  <c r="G751" i="1"/>
  <c r="K751" i="1"/>
  <c r="L751" i="1"/>
  <c r="M751" i="1"/>
  <c r="N751" i="1"/>
  <c r="O751" i="1"/>
  <c r="V751" i="1"/>
  <c r="Z751" i="1"/>
  <c r="AB751" i="1"/>
  <c r="AC751" i="1"/>
  <c r="AD751" i="1"/>
  <c r="AE751" i="1"/>
  <c r="AG751" i="1"/>
  <c r="AH751" i="1"/>
  <c r="AI751" i="1"/>
  <c r="AJ751" i="1"/>
  <c r="AK751" i="1"/>
  <c r="AM751" i="1"/>
  <c r="AN751" i="1"/>
  <c r="AO751" i="1"/>
  <c r="AP751" i="1"/>
  <c r="AQ751" i="1"/>
  <c r="A752" i="1"/>
  <c r="B752" i="1"/>
  <c r="C752" i="1"/>
  <c r="D752" i="1"/>
  <c r="E752" i="1"/>
  <c r="F752" i="1"/>
  <c r="G752" i="1"/>
  <c r="K752" i="1"/>
  <c r="L752" i="1"/>
  <c r="N752" i="1"/>
  <c r="O752" i="1"/>
  <c r="V752" i="1"/>
  <c r="Z752" i="1"/>
  <c r="AB752" i="1"/>
  <c r="AC752" i="1"/>
  <c r="AD752" i="1"/>
  <c r="AG752" i="1"/>
  <c r="AH752" i="1"/>
  <c r="AI752" i="1"/>
  <c r="AJ752" i="1"/>
  <c r="AK752" i="1"/>
  <c r="AM752" i="1"/>
  <c r="AN752" i="1"/>
  <c r="AO752" i="1"/>
  <c r="AP752" i="1"/>
  <c r="AQ752" i="1"/>
  <c r="A753" i="1"/>
  <c r="B753" i="1"/>
  <c r="C753" i="1"/>
  <c r="D753" i="1"/>
  <c r="E753" i="1"/>
  <c r="F753" i="1"/>
  <c r="G753" i="1"/>
  <c r="K753" i="1"/>
  <c r="L753" i="1"/>
  <c r="M753" i="1"/>
  <c r="N753" i="1"/>
  <c r="O753" i="1"/>
  <c r="V753" i="1"/>
  <c r="Z753" i="1"/>
  <c r="AB753" i="1"/>
  <c r="AC753" i="1"/>
  <c r="AD753" i="1"/>
  <c r="AG753" i="1"/>
  <c r="AH753" i="1"/>
  <c r="AI753" i="1"/>
  <c r="AJ753" i="1"/>
  <c r="AK753" i="1"/>
  <c r="AM753" i="1"/>
  <c r="AN753" i="1"/>
  <c r="AO753" i="1"/>
  <c r="AP753" i="1"/>
  <c r="AQ753" i="1"/>
  <c r="A754" i="1"/>
  <c r="B754" i="1"/>
  <c r="C754" i="1"/>
  <c r="D754" i="1"/>
  <c r="E754" i="1"/>
  <c r="F754" i="1"/>
  <c r="G754" i="1"/>
  <c r="N754" i="1"/>
  <c r="V754" i="1"/>
  <c r="Z754" i="1"/>
  <c r="AB754" i="1"/>
  <c r="AC754" i="1"/>
  <c r="AD754" i="1"/>
  <c r="AG754" i="1"/>
  <c r="AH754" i="1"/>
  <c r="AI754" i="1"/>
  <c r="AJ754" i="1"/>
  <c r="AK754" i="1"/>
  <c r="AM754" i="1"/>
  <c r="AN754" i="1"/>
  <c r="AO754" i="1"/>
  <c r="AP754" i="1"/>
  <c r="AQ754" i="1"/>
  <c r="A755" i="1"/>
  <c r="B755" i="1"/>
  <c r="C755" i="1"/>
  <c r="D755" i="1"/>
  <c r="E755" i="1"/>
  <c r="F755" i="1"/>
  <c r="G755" i="1"/>
  <c r="K755" i="1"/>
  <c r="N755" i="1"/>
  <c r="O755" i="1"/>
  <c r="V755" i="1"/>
  <c r="Z755" i="1"/>
  <c r="AB755" i="1"/>
  <c r="AC755" i="1"/>
  <c r="AD755" i="1"/>
  <c r="AG755" i="1"/>
  <c r="AH755" i="1"/>
  <c r="AI755" i="1"/>
  <c r="AJ755" i="1"/>
  <c r="AK755" i="1"/>
  <c r="AM755" i="1"/>
  <c r="AN755" i="1"/>
  <c r="AO755" i="1"/>
  <c r="AP755" i="1"/>
  <c r="AQ755" i="1"/>
  <c r="A756" i="1"/>
  <c r="B756" i="1"/>
  <c r="C756" i="1"/>
  <c r="D756" i="1"/>
  <c r="E756" i="1"/>
  <c r="F756" i="1"/>
  <c r="G756" i="1"/>
  <c r="K756" i="1"/>
  <c r="N756" i="1"/>
  <c r="O756" i="1"/>
  <c r="V756" i="1"/>
  <c r="Z756" i="1"/>
  <c r="AB756" i="1"/>
  <c r="AC756" i="1"/>
  <c r="AD756" i="1"/>
  <c r="AG756" i="1"/>
  <c r="AH756" i="1"/>
  <c r="AI756" i="1"/>
  <c r="AJ756" i="1"/>
  <c r="AK756" i="1"/>
  <c r="AM756" i="1"/>
  <c r="AN756" i="1"/>
  <c r="AO756" i="1"/>
  <c r="AP756" i="1"/>
  <c r="AQ756" i="1"/>
  <c r="A757" i="1"/>
  <c r="B757" i="1"/>
  <c r="C757" i="1"/>
  <c r="D757" i="1"/>
  <c r="E757" i="1"/>
  <c r="F757" i="1"/>
  <c r="G757" i="1"/>
  <c r="K757" i="1"/>
  <c r="N757" i="1"/>
  <c r="O757" i="1"/>
  <c r="V757" i="1"/>
  <c r="Z757" i="1"/>
  <c r="AB757" i="1"/>
  <c r="AC757" i="1"/>
  <c r="AD757" i="1"/>
  <c r="AG757" i="1"/>
  <c r="AH757" i="1"/>
  <c r="AI757" i="1"/>
  <c r="AJ757" i="1"/>
  <c r="AK757" i="1"/>
  <c r="AM757" i="1"/>
  <c r="AN757" i="1"/>
  <c r="AO757" i="1"/>
  <c r="AP757" i="1"/>
  <c r="AQ757" i="1"/>
  <c r="A758" i="1"/>
  <c r="B758" i="1"/>
  <c r="C758" i="1"/>
  <c r="D758" i="1"/>
  <c r="E758" i="1"/>
  <c r="F758" i="1"/>
  <c r="G758" i="1"/>
  <c r="K758" i="1"/>
  <c r="N758" i="1"/>
  <c r="O758" i="1"/>
  <c r="V758" i="1"/>
  <c r="Z758" i="1"/>
  <c r="AB758" i="1"/>
  <c r="AC758" i="1"/>
  <c r="AD758" i="1"/>
  <c r="AG758" i="1"/>
  <c r="AH758" i="1"/>
  <c r="AI758" i="1"/>
  <c r="AJ758" i="1"/>
  <c r="AK758" i="1"/>
  <c r="AM758" i="1"/>
  <c r="AN758" i="1"/>
  <c r="AO758" i="1"/>
  <c r="AP758" i="1"/>
  <c r="AQ758" i="1"/>
  <c r="A759" i="1"/>
  <c r="B759" i="1"/>
  <c r="C759" i="1"/>
  <c r="D759" i="1"/>
  <c r="E759" i="1"/>
  <c r="F759" i="1"/>
  <c r="G759" i="1"/>
  <c r="K759" i="1"/>
  <c r="N759" i="1"/>
  <c r="O759" i="1"/>
  <c r="V759" i="1"/>
  <c r="Z759" i="1"/>
  <c r="AB759" i="1"/>
  <c r="AC759" i="1"/>
  <c r="AD759" i="1"/>
  <c r="AG759" i="1"/>
  <c r="AH759" i="1"/>
  <c r="AI759" i="1"/>
  <c r="AJ759" i="1"/>
  <c r="AK759" i="1"/>
  <c r="AM759" i="1"/>
  <c r="AN759" i="1"/>
  <c r="AO759" i="1"/>
  <c r="AP759" i="1"/>
  <c r="AQ759" i="1"/>
  <c r="A760" i="1"/>
  <c r="B760" i="1"/>
  <c r="C760" i="1"/>
  <c r="D760" i="1"/>
  <c r="E760" i="1"/>
  <c r="F760" i="1"/>
  <c r="G760" i="1"/>
  <c r="K760" i="1"/>
  <c r="N760" i="1"/>
  <c r="O760" i="1"/>
  <c r="V760" i="1"/>
  <c r="Z760" i="1"/>
  <c r="AB760" i="1"/>
  <c r="AC760" i="1"/>
  <c r="AD760" i="1"/>
  <c r="AG760" i="1"/>
  <c r="AH760" i="1"/>
  <c r="AI760" i="1"/>
  <c r="AJ760" i="1"/>
  <c r="AK760" i="1"/>
  <c r="AM760" i="1"/>
  <c r="AN760" i="1"/>
  <c r="AO760" i="1"/>
  <c r="AP760" i="1"/>
  <c r="AQ760" i="1"/>
  <c r="A761" i="1"/>
  <c r="B761" i="1"/>
  <c r="C761" i="1"/>
  <c r="D761" i="1"/>
  <c r="E761" i="1"/>
  <c r="F761" i="1"/>
  <c r="G761" i="1"/>
  <c r="K761" i="1"/>
  <c r="N761" i="1"/>
  <c r="O761" i="1"/>
  <c r="V761" i="1"/>
  <c r="Z761" i="1"/>
  <c r="AB761" i="1"/>
  <c r="AC761" i="1"/>
  <c r="AD761" i="1"/>
  <c r="AG761" i="1"/>
  <c r="AH761" i="1"/>
  <c r="AI761" i="1"/>
  <c r="AJ761" i="1"/>
  <c r="AK761" i="1"/>
  <c r="AM761" i="1"/>
  <c r="AN761" i="1"/>
  <c r="AO761" i="1"/>
  <c r="AP761" i="1"/>
  <c r="AQ761" i="1"/>
  <c r="A762" i="1"/>
  <c r="B762" i="1"/>
  <c r="C762" i="1"/>
  <c r="D762" i="1"/>
  <c r="E762" i="1"/>
  <c r="F762" i="1"/>
  <c r="G762" i="1"/>
  <c r="K762" i="1"/>
  <c r="N762" i="1"/>
  <c r="O762" i="1"/>
  <c r="V762" i="1"/>
  <c r="Z762" i="1"/>
  <c r="AB762" i="1"/>
  <c r="AC762" i="1"/>
  <c r="AD762" i="1"/>
  <c r="AG762" i="1"/>
  <c r="AH762" i="1"/>
  <c r="AI762" i="1"/>
  <c r="AJ762" i="1"/>
  <c r="AK762" i="1"/>
  <c r="AM762" i="1"/>
  <c r="AN762" i="1"/>
  <c r="AO762" i="1"/>
  <c r="AP762" i="1"/>
  <c r="AQ762" i="1"/>
  <c r="A763" i="1"/>
  <c r="B763" i="1"/>
  <c r="C763" i="1"/>
  <c r="D763" i="1"/>
  <c r="E763" i="1"/>
  <c r="F763" i="1"/>
  <c r="G763" i="1"/>
  <c r="K763" i="1"/>
  <c r="N763" i="1"/>
  <c r="O763" i="1"/>
  <c r="V763" i="1"/>
  <c r="Z763" i="1"/>
  <c r="AB763" i="1"/>
  <c r="AC763" i="1"/>
  <c r="AD763" i="1"/>
  <c r="AG763" i="1"/>
  <c r="AH763" i="1"/>
  <c r="AI763" i="1"/>
  <c r="AJ763" i="1"/>
  <c r="AK763" i="1"/>
  <c r="AM763" i="1"/>
  <c r="AN763" i="1"/>
  <c r="AO763" i="1"/>
  <c r="AP763" i="1"/>
  <c r="AQ763" i="1"/>
  <c r="A764" i="1"/>
  <c r="B764" i="1"/>
  <c r="C764" i="1"/>
  <c r="D764" i="1"/>
  <c r="E764" i="1"/>
  <c r="F764" i="1"/>
  <c r="G764" i="1"/>
  <c r="N764" i="1"/>
  <c r="V764" i="1"/>
  <c r="Z764" i="1"/>
  <c r="AB764" i="1"/>
  <c r="AC764" i="1"/>
  <c r="AD764" i="1"/>
  <c r="AG764" i="1"/>
  <c r="AH764" i="1"/>
  <c r="AI764" i="1"/>
  <c r="AJ764" i="1"/>
  <c r="AK764" i="1"/>
  <c r="AM764" i="1"/>
  <c r="AN764" i="1"/>
  <c r="AO764" i="1"/>
  <c r="AP764" i="1"/>
  <c r="AQ764" i="1"/>
  <c r="A765" i="1"/>
  <c r="B765" i="1"/>
  <c r="C765" i="1"/>
  <c r="D765" i="1"/>
  <c r="E765" i="1"/>
  <c r="F765" i="1"/>
  <c r="G765" i="1"/>
  <c r="K765" i="1"/>
  <c r="N765" i="1"/>
  <c r="O765" i="1"/>
  <c r="V765" i="1"/>
  <c r="Z765" i="1"/>
  <c r="AB765" i="1"/>
  <c r="AC765" i="1"/>
  <c r="AD765" i="1"/>
  <c r="AG765" i="1"/>
  <c r="AH765" i="1"/>
  <c r="AI765" i="1"/>
  <c r="AJ765" i="1"/>
  <c r="AK765" i="1"/>
  <c r="AM765" i="1"/>
  <c r="AN765" i="1"/>
  <c r="AO765" i="1"/>
  <c r="AP765" i="1"/>
  <c r="AQ765" i="1"/>
  <c r="A766" i="1"/>
  <c r="B766" i="1"/>
  <c r="C766" i="1"/>
  <c r="D766" i="1"/>
  <c r="E766" i="1"/>
  <c r="F766" i="1"/>
  <c r="G766" i="1"/>
  <c r="K766" i="1"/>
  <c r="N766" i="1"/>
  <c r="O766" i="1"/>
  <c r="V766" i="1"/>
  <c r="Z766" i="1"/>
  <c r="AB766" i="1"/>
  <c r="AC766" i="1"/>
  <c r="AD766" i="1"/>
  <c r="AG766" i="1"/>
  <c r="AH766" i="1"/>
  <c r="AI766" i="1"/>
  <c r="AJ766" i="1"/>
  <c r="AK766" i="1"/>
  <c r="AM766" i="1"/>
  <c r="AN766" i="1"/>
  <c r="AO766" i="1"/>
  <c r="AP766" i="1"/>
  <c r="AQ766" i="1"/>
  <c r="A767" i="1"/>
  <c r="B767" i="1"/>
  <c r="C767" i="1"/>
  <c r="D767" i="1"/>
  <c r="E767" i="1"/>
  <c r="F767" i="1"/>
  <c r="G767" i="1"/>
  <c r="K767" i="1"/>
  <c r="N767" i="1"/>
  <c r="O767" i="1"/>
  <c r="V767" i="1"/>
  <c r="Z767" i="1"/>
  <c r="AB767" i="1"/>
  <c r="AC767" i="1"/>
  <c r="AD767" i="1"/>
  <c r="AG767" i="1"/>
  <c r="AH767" i="1"/>
  <c r="AI767" i="1"/>
  <c r="AJ767" i="1"/>
  <c r="AK767" i="1"/>
  <c r="AM767" i="1"/>
  <c r="AN767" i="1"/>
  <c r="AO767" i="1"/>
  <c r="AP767" i="1"/>
  <c r="AQ767" i="1"/>
  <c r="A768" i="1"/>
  <c r="B768" i="1"/>
  <c r="C768" i="1"/>
  <c r="D768" i="1"/>
  <c r="E768" i="1"/>
  <c r="F768" i="1"/>
  <c r="G768" i="1"/>
  <c r="K768" i="1"/>
  <c r="N768" i="1"/>
  <c r="O768" i="1"/>
  <c r="V768" i="1"/>
  <c r="Z768" i="1"/>
  <c r="AB768" i="1"/>
  <c r="AC768" i="1"/>
  <c r="AD768" i="1"/>
  <c r="AG768" i="1"/>
  <c r="AH768" i="1"/>
  <c r="AI768" i="1"/>
  <c r="AJ768" i="1"/>
  <c r="AK768" i="1"/>
  <c r="AM768" i="1"/>
  <c r="AN768" i="1"/>
  <c r="AO768" i="1"/>
  <c r="AP768" i="1"/>
  <c r="AQ768" i="1"/>
  <c r="A769" i="1"/>
  <c r="B769" i="1"/>
  <c r="C769" i="1"/>
  <c r="D769" i="1"/>
  <c r="E769" i="1"/>
  <c r="F769" i="1"/>
  <c r="G769" i="1"/>
  <c r="K769" i="1"/>
  <c r="N769" i="1"/>
  <c r="O769" i="1"/>
  <c r="V769" i="1"/>
  <c r="Z769" i="1"/>
  <c r="AB769" i="1"/>
  <c r="AC769" i="1"/>
  <c r="AD769" i="1"/>
  <c r="AG769" i="1"/>
  <c r="AH769" i="1"/>
  <c r="AI769" i="1"/>
  <c r="AJ769" i="1"/>
  <c r="AK769" i="1"/>
  <c r="AM769" i="1"/>
  <c r="AN769" i="1"/>
  <c r="AO769" i="1"/>
  <c r="AP769" i="1"/>
  <c r="AQ769" i="1"/>
  <c r="A770" i="1"/>
  <c r="B770" i="1"/>
  <c r="C770" i="1"/>
  <c r="D770" i="1"/>
  <c r="E770" i="1"/>
  <c r="F770" i="1"/>
  <c r="G770" i="1"/>
  <c r="K770" i="1"/>
  <c r="N770" i="1"/>
  <c r="O770" i="1"/>
  <c r="V770" i="1"/>
  <c r="Z770" i="1"/>
  <c r="AB770" i="1"/>
  <c r="AC770" i="1"/>
  <c r="AD770" i="1"/>
  <c r="AG770" i="1"/>
  <c r="AH770" i="1"/>
  <c r="AI770" i="1"/>
  <c r="AJ770" i="1"/>
  <c r="AK770" i="1"/>
  <c r="AM770" i="1"/>
  <c r="AN770" i="1"/>
  <c r="AO770" i="1"/>
  <c r="AP770" i="1"/>
  <c r="AQ770" i="1"/>
  <c r="A771" i="1"/>
  <c r="B771" i="1"/>
  <c r="C771" i="1"/>
  <c r="D771" i="1"/>
  <c r="E771" i="1"/>
  <c r="F771" i="1"/>
  <c r="G771" i="1"/>
  <c r="K771" i="1"/>
  <c r="N771" i="1"/>
  <c r="O771" i="1"/>
  <c r="V771" i="1"/>
  <c r="Z771" i="1"/>
  <c r="AB771" i="1"/>
  <c r="AC771" i="1"/>
  <c r="AD771" i="1"/>
  <c r="AG771" i="1"/>
  <c r="AH771" i="1"/>
  <c r="AI771" i="1"/>
  <c r="AJ771" i="1"/>
  <c r="AK771" i="1"/>
  <c r="AM771" i="1"/>
  <c r="AN771" i="1"/>
  <c r="AO771" i="1"/>
  <c r="AP771" i="1"/>
  <c r="AQ771" i="1"/>
  <c r="A772" i="1"/>
  <c r="B772" i="1"/>
  <c r="C772" i="1"/>
  <c r="D772" i="1"/>
  <c r="E772" i="1"/>
  <c r="F772" i="1"/>
  <c r="G772" i="1"/>
  <c r="K772" i="1"/>
  <c r="N772" i="1"/>
  <c r="O772" i="1"/>
  <c r="V772" i="1"/>
  <c r="Z772" i="1"/>
  <c r="AB772" i="1"/>
  <c r="AC772" i="1"/>
  <c r="AD772" i="1"/>
  <c r="AG772" i="1"/>
  <c r="AH772" i="1"/>
  <c r="AI772" i="1"/>
  <c r="AJ772" i="1"/>
  <c r="AK772" i="1"/>
  <c r="AM772" i="1"/>
  <c r="AN772" i="1"/>
  <c r="AO772" i="1"/>
  <c r="AP772" i="1"/>
  <c r="AQ772" i="1"/>
  <c r="A773" i="1"/>
  <c r="B773" i="1"/>
  <c r="C773" i="1"/>
  <c r="D773" i="1"/>
  <c r="E773" i="1"/>
  <c r="F773" i="1"/>
  <c r="G773" i="1"/>
  <c r="K773" i="1"/>
  <c r="N773" i="1"/>
  <c r="O773" i="1"/>
  <c r="V773" i="1"/>
  <c r="Z773" i="1"/>
  <c r="AB773" i="1"/>
  <c r="AC773" i="1"/>
  <c r="AD773" i="1"/>
  <c r="AG773" i="1"/>
  <c r="AH773" i="1"/>
  <c r="AI773" i="1"/>
  <c r="AJ773" i="1"/>
  <c r="AK773" i="1"/>
  <c r="AM773" i="1"/>
  <c r="AN773" i="1"/>
  <c r="AO773" i="1"/>
  <c r="AP773" i="1"/>
  <c r="AQ773" i="1"/>
  <c r="A774" i="1"/>
  <c r="B774" i="1"/>
  <c r="C774" i="1"/>
  <c r="D774" i="1"/>
  <c r="E774" i="1"/>
  <c r="F774" i="1"/>
  <c r="G774" i="1"/>
  <c r="K774" i="1"/>
  <c r="N774" i="1"/>
  <c r="O774" i="1"/>
  <c r="V774" i="1"/>
  <c r="Z774" i="1"/>
  <c r="AB774" i="1"/>
  <c r="AC774" i="1"/>
  <c r="AD774" i="1"/>
  <c r="AG774" i="1"/>
  <c r="AH774" i="1"/>
  <c r="AI774" i="1"/>
  <c r="AJ774" i="1"/>
  <c r="AK774" i="1"/>
  <c r="AM774" i="1"/>
  <c r="AN774" i="1"/>
  <c r="AO774" i="1"/>
  <c r="AP774" i="1"/>
  <c r="AQ774" i="1"/>
  <c r="A775" i="1"/>
  <c r="B775" i="1"/>
  <c r="C775" i="1"/>
  <c r="D775" i="1"/>
  <c r="E775" i="1"/>
  <c r="F775" i="1"/>
  <c r="G775" i="1"/>
  <c r="K775" i="1"/>
  <c r="N775" i="1"/>
  <c r="O775" i="1"/>
  <c r="V775" i="1"/>
  <c r="Z775" i="1"/>
  <c r="AB775" i="1"/>
  <c r="AC775" i="1"/>
  <c r="AD775" i="1"/>
  <c r="AG775" i="1"/>
  <c r="AH775" i="1"/>
  <c r="AI775" i="1"/>
  <c r="AJ775" i="1"/>
  <c r="AK775" i="1"/>
  <c r="AM775" i="1"/>
  <c r="AN775" i="1"/>
  <c r="AO775" i="1"/>
  <c r="AP775" i="1"/>
  <c r="AQ775" i="1"/>
  <c r="A776" i="1"/>
  <c r="B776" i="1"/>
  <c r="C776" i="1"/>
  <c r="D776" i="1"/>
  <c r="E776" i="1"/>
  <c r="F776" i="1"/>
  <c r="G776" i="1"/>
  <c r="K776" i="1"/>
  <c r="N776" i="1"/>
  <c r="O776" i="1"/>
  <c r="V776" i="1"/>
  <c r="Z776" i="1"/>
  <c r="AB776" i="1"/>
  <c r="AC776" i="1"/>
  <c r="AD776" i="1"/>
  <c r="AG776" i="1"/>
  <c r="AH776" i="1"/>
  <c r="AI776" i="1"/>
  <c r="AJ776" i="1"/>
  <c r="AK776" i="1"/>
  <c r="AM776" i="1"/>
  <c r="AN776" i="1"/>
  <c r="AO776" i="1"/>
  <c r="AP776" i="1"/>
  <c r="AQ776" i="1"/>
  <c r="A777" i="1"/>
  <c r="B777" i="1"/>
  <c r="C777" i="1"/>
  <c r="D777" i="1"/>
  <c r="E777" i="1"/>
  <c r="F777" i="1"/>
  <c r="G777" i="1"/>
  <c r="N777" i="1"/>
  <c r="O777" i="1"/>
  <c r="V777" i="1"/>
  <c r="Z777" i="1"/>
  <c r="AB777" i="1"/>
  <c r="AC777" i="1"/>
  <c r="AD777" i="1"/>
  <c r="AG777" i="1"/>
  <c r="AH777" i="1"/>
  <c r="AI777" i="1"/>
  <c r="AJ777" i="1"/>
  <c r="AK777" i="1"/>
  <c r="AM777" i="1"/>
  <c r="AN777" i="1"/>
  <c r="AO777" i="1"/>
  <c r="AP777" i="1"/>
  <c r="AQ777" i="1"/>
  <c r="A778" i="1"/>
  <c r="B778" i="1"/>
  <c r="C778" i="1"/>
  <c r="D778" i="1"/>
  <c r="E778" i="1"/>
  <c r="F778" i="1"/>
  <c r="G778" i="1"/>
  <c r="K778" i="1"/>
  <c r="N778" i="1"/>
  <c r="O778" i="1"/>
  <c r="V778" i="1"/>
  <c r="Z778" i="1"/>
  <c r="AB778" i="1"/>
  <c r="AC778" i="1"/>
  <c r="AD778" i="1"/>
  <c r="AG778" i="1"/>
  <c r="AH778" i="1"/>
  <c r="AI778" i="1"/>
  <c r="AJ778" i="1"/>
  <c r="AK778" i="1"/>
  <c r="AM778" i="1"/>
  <c r="AN778" i="1"/>
  <c r="AO778" i="1"/>
  <c r="AP778" i="1"/>
  <c r="AQ778" i="1"/>
  <c r="A779" i="1"/>
  <c r="B779" i="1"/>
  <c r="C779" i="1"/>
  <c r="D779" i="1"/>
  <c r="E779" i="1"/>
  <c r="F779" i="1"/>
  <c r="G779" i="1"/>
  <c r="K779" i="1"/>
  <c r="L779" i="1"/>
  <c r="M779" i="1"/>
  <c r="N779" i="1"/>
  <c r="O779" i="1"/>
  <c r="S779" i="1"/>
  <c r="U779" i="1"/>
  <c r="V779" i="1"/>
  <c r="Z779" i="1"/>
  <c r="AB779" i="1"/>
  <c r="AC779" i="1"/>
  <c r="AD779" i="1"/>
  <c r="AE779" i="1"/>
  <c r="AG779" i="1"/>
  <c r="AH779" i="1"/>
  <c r="AI779" i="1"/>
  <c r="AJ779" i="1"/>
  <c r="AK779" i="1"/>
  <c r="AM779" i="1"/>
  <c r="AN779" i="1"/>
  <c r="AO779" i="1"/>
  <c r="AP779" i="1"/>
  <c r="AQ779" i="1"/>
  <c r="A780" i="1"/>
  <c r="B780" i="1"/>
  <c r="C780" i="1"/>
  <c r="D780" i="1"/>
  <c r="E780" i="1"/>
  <c r="F780" i="1"/>
  <c r="G780" i="1"/>
  <c r="K780" i="1"/>
  <c r="N780" i="1"/>
  <c r="O780" i="1"/>
  <c r="S780" i="1"/>
  <c r="U780" i="1"/>
  <c r="V780" i="1"/>
  <c r="Z780" i="1"/>
  <c r="AB780" i="1"/>
  <c r="AC780" i="1"/>
  <c r="AD780" i="1"/>
  <c r="AG780" i="1"/>
  <c r="AH780" i="1"/>
  <c r="AI780" i="1"/>
  <c r="AJ780" i="1"/>
  <c r="AK780" i="1"/>
  <c r="AM780" i="1"/>
  <c r="AN780" i="1"/>
  <c r="AO780" i="1"/>
  <c r="AP780" i="1"/>
  <c r="AQ780" i="1"/>
  <c r="A781" i="1"/>
  <c r="B781" i="1"/>
  <c r="C781" i="1"/>
  <c r="D781" i="1"/>
  <c r="E781" i="1"/>
  <c r="F781" i="1"/>
  <c r="G781" i="1"/>
  <c r="K781" i="1"/>
  <c r="N781" i="1"/>
  <c r="O781" i="1"/>
  <c r="V781" i="1"/>
  <c r="Z781" i="1"/>
  <c r="AB781" i="1"/>
  <c r="AC781" i="1"/>
  <c r="AD781" i="1"/>
  <c r="AG781" i="1"/>
  <c r="AH781" i="1"/>
  <c r="AI781" i="1"/>
  <c r="AJ781" i="1"/>
  <c r="AK781" i="1"/>
  <c r="AM781" i="1"/>
  <c r="AN781" i="1"/>
  <c r="AO781" i="1"/>
  <c r="AP781" i="1"/>
  <c r="AQ781" i="1"/>
  <c r="A782" i="1"/>
  <c r="B782" i="1"/>
  <c r="C782" i="1"/>
  <c r="D782" i="1"/>
  <c r="E782" i="1"/>
  <c r="F782" i="1"/>
  <c r="G782" i="1"/>
  <c r="K782" i="1"/>
  <c r="N782" i="1"/>
  <c r="O782" i="1"/>
  <c r="V782" i="1"/>
  <c r="Z782" i="1"/>
  <c r="AB782" i="1"/>
  <c r="AC782" i="1"/>
  <c r="AD782" i="1"/>
  <c r="AG782" i="1"/>
  <c r="AH782" i="1"/>
  <c r="AI782" i="1"/>
  <c r="AJ782" i="1"/>
  <c r="AK782" i="1"/>
  <c r="AM782" i="1"/>
  <c r="AN782" i="1"/>
  <c r="AO782" i="1"/>
  <c r="AP782" i="1"/>
  <c r="AQ782" i="1"/>
  <c r="A783" i="1"/>
  <c r="B783" i="1"/>
  <c r="C783" i="1"/>
  <c r="D783" i="1"/>
  <c r="E783" i="1"/>
  <c r="F783" i="1"/>
  <c r="G783" i="1"/>
  <c r="K783" i="1"/>
  <c r="N783" i="1"/>
  <c r="O783" i="1"/>
  <c r="V783" i="1"/>
  <c r="Z783" i="1"/>
  <c r="AB783" i="1"/>
  <c r="AC783" i="1"/>
  <c r="AD783" i="1"/>
  <c r="AG783" i="1"/>
  <c r="AH783" i="1"/>
  <c r="AI783" i="1"/>
  <c r="AJ783" i="1"/>
  <c r="AK783" i="1"/>
  <c r="AM783" i="1"/>
  <c r="AN783" i="1"/>
  <c r="AO783" i="1"/>
  <c r="AP783" i="1"/>
  <c r="AQ783" i="1"/>
  <c r="A784" i="1"/>
  <c r="B784" i="1"/>
  <c r="C784" i="1"/>
  <c r="D784" i="1"/>
  <c r="E784" i="1"/>
  <c r="F784" i="1"/>
  <c r="G784" i="1"/>
  <c r="K784" i="1"/>
  <c r="N784" i="1"/>
  <c r="O784" i="1"/>
  <c r="V784" i="1"/>
  <c r="Z784" i="1"/>
  <c r="AB784" i="1"/>
  <c r="AC784" i="1"/>
  <c r="AD784" i="1"/>
  <c r="AG784" i="1"/>
  <c r="AH784" i="1"/>
  <c r="AI784" i="1"/>
  <c r="AJ784" i="1"/>
  <c r="AK784" i="1"/>
  <c r="AM784" i="1"/>
  <c r="AN784" i="1"/>
  <c r="AO784" i="1"/>
  <c r="AP784" i="1"/>
  <c r="AQ784" i="1"/>
  <c r="A785" i="1"/>
  <c r="B785" i="1"/>
  <c r="C785" i="1"/>
  <c r="D785" i="1"/>
  <c r="E785" i="1"/>
  <c r="F785" i="1"/>
  <c r="G785" i="1"/>
  <c r="K785" i="1"/>
  <c r="N785" i="1"/>
  <c r="O785" i="1"/>
  <c r="S785" i="1"/>
  <c r="U785" i="1"/>
  <c r="V785" i="1"/>
  <c r="Z785" i="1"/>
  <c r="AB785" i="1"/>
  <c r="AC785" i="1"/>
  <c r="AD785" i="1"/>
  <c r="AG785" i="1"/>
  <c r="AH785" i="1"/>
  <c r="AI785" i="1"/>
  <c r="AJ785" i="1"/>
  <c r="AK785" i="1"/>
  <c r="AM785" i="1"/>
  <c r="AN785" i="1"/>
  <c r="AO785" i="1"/>
  <c r="AP785" i="1"/>
  <c r="AQ785" i="1"/>
  <c r="A786" i="1"/>
  <c r="B786" i="1"/>
  <c r="C786" i="1"/>
  <c r="D786" i="1"/>
  <c r="E786" i="1"/>
  <c r="F786" i="1"/>
  <c r="G786" i="1"/>
  <c r="N786" i="1"/>
  <c r="O786" i="1"/>
  <c r="V786" i="1"/>
  <c r="Z786" i="1"/>
  <c r="AB786" i="1"/>
  <c r="AC786" i="1"/>
  <c r="AD786" i="1"/>
  <c r="AG786" i="1"/>
  <c r="AH786" i="1"/>
  <c r="AI786" i="1"/>
  <c r="AJ786" i="1"/>
  <c r="AK786" i="1"/>
  <c r="AM786" i="1"/>
  <c r="AN786" i="1"/>
  <c r="AO786" i="1"/>
  <c r="AP786" i="1"/>
  <c r="AQ786" i="1"/>
  <c r="A787" i="1"/>
  <c r="B787" i="1"/>
  <c r="C787" i="1"/>
  <c r="D787" i="1"/>
  <c r="E787" i="1"/>
  <c r="F787" i="1"/>
  <c r="G787" i="1"/>
  <c r="N787" i="1"/>
  <c r="V787" i="1"/>
  <c r="Z787" i="1"/>
  <c r="AB787" i="1"/>
  <c r="AC787" i="1"/>
  <c r="AD787" i="1"/>
  <c r="AG787" i="1"/>
  <c r="AH787" i="1"/>
  <c r="AI787" i="1"/>
  <c r="AJ787" i="1"/>
  <c r="AK787" i="1"/>
  <c r="AM787" i="1"/>
  <c r="AN787" i="1"/>
  <c r="AO787" i="1"/>
  <c r="AP787" i="1"/>
  <c r="AQ787" i="1"/>
  <c r="A788" i="1"/>
  <c r="B788" i="1"/>
  <c r="C788" i="1"/>
  <c r="D788" i="1"/>
  <c r="E788" i="1"/>
  <c r="F788" i="1"/>
  <c r="G788" i="1"/>
  <c r="K788" i="1"/>
  <c r="L788" i="1"/>
  <c r="M788" i="1"/>
  <c r="N788" i="1"/>
  <c r="O788" i="1"/>
  <c r="Q788" i="1"/>
  <c r="S788" i="1"/>
  <c r="U788" i="1"/>
  <c r="V788" i="1"/>
  <c r="Z788" i="1"/>
  <c r="AB788" i="1"/>
  <c r="AC788" i="1"/>
  <c r="AD788" i="1"/>
  <c r="AE788" i="1"/>
  <c r="AG788" i="1"/>
  <c r="AH788" i="1"/>
  <c r="AI788" i="1"/>
  <c r="AJ788" i="1"/>
  <c r="AK788" i="1"/>
  <c r="AM788" i="1"/>
  <c r="AN788" i="1"/>
  <c r="AO788" i="1"/>
  <c r="AP788" i="1"/>
  <c r="AQ788" i="1"/>
  <c r="A789" i="1"/>
  <c r="B789" i="1"/>
  <c r="C789" i="1"/>
  <c r="D789" i="1"/>
  <c r="E789" i="1"/>
  <c r="F789" i="1"/>
  <c r="G789" i="1"/>
  <c r="K789" i="1"/>
  <c r="L789" i="1"/>
  <c r="M789" i="1"/>
  <c r="N789" i="1"/>
  <c r="O789" i="1"/>
  <c r="Q789" i="1"/>
  <c r="S789" i="1"/>
  <c r="U789" i="1"/>
  <c r="V789" i="1"/>
  <c r="Z789" i="1"/>
  <c r="AB789" i="1"/>
  <c r="AC789" i="1"/>
  <c r="AD789" i="1"/>
  <c r="AE789" i="1"/>
  <c r="AG789" i="1"/>
  <c r="AH789" i="1"/>
  <c r="AI789" i="1"/>
  <c r="AJ789" i="1"/>
  <c r="AK789" i="1"/>
  <c r="AM789" i="1"/>
  <c r="AN789" i="1"/>
  <c r="AO789" i="1"/>
  <c r="AP789" i="1"/>
  <c r="AQ789" i="1"/>
</calcChain>
</file>

<file path=xl/sharedStrings.xml><?xml version="1.0" encoding="utf-8"?>
<sst xmlns="http://schemas.openxmlformats.org/spreadsheetml/2006/main" count="81" uniqueCount="81">
  <si>
    <t>="TOEIC passé en 2021 à Tunis avant d'arriver à l'ENSAI : score 955 (doivent repasser le TOEIC pendant ses études à l'ENSAI pour diplomation)  TOEIC 3A à l'ENSAI le 23-01-2024 : score 990 (C1)    Bénéficiaire de la bourse d'état du 01/09/2002 au 30/05/202</t>
  </si>
  <si>
    <t xml:space="preserve">="Bénéficiaire de la bourse d'ambassade de France de Tunisie  à compter de septembre 2022 pour une durée de 22 mois.    TOEIC 2A à l'ENSAI le 09/01/2023    Report de scolarité 2023/2024, en mars 2024 =&amp;gt: aménagement de scolarité autorisé pour 2024/2025 </t>
  </si>
  <si>
    <t>Ce qui est attendu</t>
  </si>
  <si>
    <t xml:space="preserve">Dessin d'enregistrement SISE </t>
  </si>
  <si>
    <t>REQUETE ACTUELLE PAMPLEMOUSSE</t>
  </si>
  <si>
    <t>Champ 1</t>
  </si>
  <si>
    <t>Champ 2</t>
  </si>
  <si>
    <t>Champ 3</t>
  </si>
  <si>
    <t>Champ 4</t>
  </si>
  <si>
    <t>Champ 5</t>
  </si>
  <si>
    <t>Jour de naissance (JONAIS)</t>
  </si>
  <si>
    <t>Champ 6</t>
  </si>
  <si>
    <t>Champ 7</t>
  </si>
  <si>
    <t>Mois de naissance (MONAIS)</t>
  </si>
  <si>
    <t>Champ 8</t>
  </si>
  <si>
    <t>Champ 9</t>
  </si>
  <si>
    <t>Champ 10</t>
  </si>
  <si>
    <t>Champ 11</t>
  </si>
  <si>
    <t>Champ 12</t>
  </si>
  <si>
    <t>Champ 13</t>
  </si>
  <si>
    <t>Champ 14</t>
  </si>
  <si>
    <t>Champ 15</t>
  </si>
  <si>
    <t>Champ 16</t>
  </si>
  <si>
    <t>Champ 17</t>
  </si>
  <si>
    <t>Champ 18</t>
  </si>
  <si>
    <t>Champ 19</t>
  </si>
  <si>
    <t>Champ 20</t>
  </si>
  <si>
    <t>Champ 21</t>
  </si>
  <si>
    <t>Champ 22</t>
  </si>
  <si>
    <t>Champ 23</t>
  </si>
  <si>
    <t>Champ 24</t>
  </si>
  <si>
    <t>Champ 25</t>
  </si>
  <si>
    <t>Champ 26</t>
  </si>
  <si>
    <t>Champ 27</t>
  </si>
  <si>
    <t>Champ 28</t>
  </si>
  <si>
    <t>Champ 29</t>
  </si>
  <si>
    <t>Champ 30</t>
  </si>
  <si>
    <t>Champ 31</t>
  </si>
  <si>
    <t>Champ 32</t>
  </si>
  <si>
    <t>Champ 33</t>
  </si>
  <si>
    <t>Champ 34</t>
  </si>
  <si>
    <t>Champ 35</t>
  </si>
  <si>
    <t>Champ 36</t>
  </si>
  <si>
    <t>Champ 37</t>
  </si>
  <si>
    <t>Champ 38</t>
  </si>
  <si>
    <t>Champ 39</t>
  </si>
  <si>
    <t>Champ 40</t>
  </si>
  <si>
    <t>Champ 41</t>
  </si>
  <si>
    <t>Champ 42</t>
  </si>
  <si>
    <t>PRENOM2</t>
  </si>
  <si>
    <t>PRENOM3</t>
  </si>
  <si>
    <t>Champ 43</t>
  </si>
  <si>
    <t>Commune de naissance (LIEU_NAI)</t>
  </si>
  <si>
    <t>Champ 44</t>
  </si>
  <si>
    <t>Libellé commune de naissance (LIB_LNAI)</t>
  </si>
  <si>
    <t>Champ 45</t>
  </si>
  <si>
    <t>Département d'obtention du baccalauréat (DEPBAC)</t>
  </si>
  <si>
    <t>Champ 46</t>
  </si>
  <si>
    <t>Exonérations (EXOINS)</t>
  </si>
  <si>
    <t>Spécialité du baccalauréat 1 (BAC SPE1)</t>
  </si>
  <si>
    <t>Spécialité du baccalauréat 2 (BAC SPE2)</t>
  </si>
  <si>
    <t>Champ 47</t>
  </si>
  <si>
    <t>Champ 48</t>
  </si>
  <si>
    <t>Champ 49</t>
  </si>
  <si>
    <t>Champ 50</t>
  </si>
  <si>
    <t>Numéro de téléphone de l'étudiant (NUMTEL)</t>
  </si>
  <si>
    <t>Adresse email personnelle de l'étudiant (MAILP)</t>
  </si>
  <si>
    <t>Champ 51</t>
  </si>
  <si>
    <t>Adresse email institutionnelle de l'étudiant (MAILETAB)</t>
  </si>
  <si>
    <r>
      <t>PRENOM</t>
    </r>
    <r>
      <rPr>
        <sz val="11"/>
        <color rgb="FFFF0000"/>
        <rFont val="Calibri"/>
        <family val="2"/>
        <scheme val="minor"/>
      </rPr>
      <t>1</t>
    </r>
  </si>
  <si>
    <r>
      <t xml:space="preserve">NOM </t>
    </r>
    <r>
      <rPr>
        <sz val="11"/>
        <color rgb="FFFF0000"/>
        <rFont val="Calibri"/>
        <family val="2"/>
        <scheme val="minor"/>
      </rPr>
      <t>correspond à NOM_USA dans Pamplemousse</t>
    </r>
  </si>
  <si>
    <t>Nom de famille de naissance (NOM_FAM)</t>
  </si>
  <si>
    <t>Retrait de la règle Egal_Paripa</t>
  </si>
  <si>
    <t>Retrait de la règle Egal_CP_Etu</t>
  </si>
  <si>
    <t>Attention tous les étudiants se retrouvent avec le code du cursus ingénieur</t>
  </si>
  <si>
    <t>Retrait de la règle LCOMREF_EGAL_LCOMETU</t>
  </si>
  <si>
    <t>colonne de contrôle de champ 11</t>
  </si>
  <si>
    <t>colonne d'aide en l'absence du champ 45</t>
  </si>
  <si>
    <t xml:space="preserve">il faudrait que cela câble sur le champ si CPGE type </t>
  </si>
  <si>
    <t>10 mis par défaut dans l'extraction / pas bon</t>
  </si>
  <si>
    <t>Retrait de la règle du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</si>
</sst>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Border="1" applyAlignment="1">
      <alignment wrapText="1"/>
    </xf>
    <xf numFmtId="0" fontId="14" fillId="0" borderId="10" xfId="0" applyFont="1" applyBorder="1"/>
    <xf numFmtId="0" fontId="14" fillId="0" borderId="10" xfId="0" applyFont="1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0</xdr:row>
      <xdr:rowOff>19050</xdr:rowOff>
    </xdr:from>
    <xdr:to>
      <xdr:col>6</xdr:col>
      <xdr:colOff>514710</xdr:colOff>
      <xdr:row>24</xdr:row>
      <xdr:rowOff>76846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19050"/>
          <a:ext cx="2581635" cy="4629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9"/>
  <sheetViews>
    <sheetView topLeftCell="AB1" workbookViewId="0">
      <selection activeCell="AN21" sqref="AN21"/>
    </sheetView>
  </sheetViews>
  <sheetFormatPr baseColWidth="10" defaultRowHeight="15" x14ac:dyDescent="0.25"/>
  <sheetData>
    <row r="1" spans="1:43" x14ac:dyDescent="0.25">
      <c r="A1" t="str">
        <f>"VOIES"</f>
        <v>VOIES</v>
      </c>
      <c r="B1" t="str">
        <f>"NOM"</f>
        <v>NOM</v>
      </c>
      <c r="C1" t="str">
        <f>"PRENOM"</f>
        <v>PRENOM</v>
      </c>
      <c r="D1" t="str">
        <f>"NUMINS"</f>
        <v>NUMINS</v>
      </c>
      <c r="E1" t="str">
        <f>"IDETU"</f>
        <v>IDETU</v>
      </c>
      <c r="F1" t="str">
        <f>"COMPOS"</f>
        <v>COMPOS</v>
      </c>
      <c r="G1" t="str">
        <f>"INSPR"</f>
        <v>INSPR</v>
      </c>
      <c r="H1" t="str">
        <f>"REGIME"</f>
        <v>REGIME</v>
      </c>
      <c r="I1" t="str">
        <f>"ANNAIS"</f>
        <v>ANNAIS</v>
      </c>
      <c r="J1" t="str">
        <f>"SEXE"</f>
        <v>SEXE</v>
      </c>
      <c r="K1" t="str">
        <f>"BAC"</f>
        <v>BAC</v>
      </c>
      <c r="L1" t="str">
        <f>"ACABAC"</f>
        <v>ACABAC</v>
      </c>
      <c r="M1" t="str">
        <f>"ANBAC"</f>
        <v>ANBAC</v>
      </c>
      <c r="N1" t="str">
        <f>"SITUPRE"</f>
        <v>SITUPRE</v>
      </c>
      <c r="O1" t="str">
        <f>"DIPDER"</f>
        <v>DIPDER</v>
      </c>
      <c r="P1" t="str">
        <f>"CURPAR"</f>
        <v>CURPAR</v>
      </c>
      <c r="Q1" t="str">
        <f>"NATION"</f>
        <v>NATION</v>
      </c>
      <c r="R1" t="str">
        <f>"PARIPA_100_SAUF_CESURE_A_COMPLETER"</f>
        <v>PARIPA_100_SAUF_CESURE_A_COMPLETER</v>
      </c>
      <c r="S1" t="str">
        <f>"CP_ETU"</f>
        <v>CP_ETU</v>
      </c>
      <c r="T1" t="str">
        <f>"PAYPAR_A_COMPLETER_EGAL_PARIPA"</f>
        <v>PAYPAR_A_COMPLETER_EGAL_PARIPA</v>
      </c>
      <c r="U1" t="str">
        <f>"CP_PAR_A_COMPLETER_EGAL_CP_ETU"</f>
        <v>CP_PAR_A_COMPLETER_EGAL_CP_ETU</v>
      </c>
      <c r="V1" t="str">
        <f>"CADRE_INFORMATION"</f>
        <v>CADRE_INFORMATION</v>
      </c>
      <c r="W1" t="str">
        <f>"PCSPAR_REMPLACER_0_PAR_99"</f>
        <v>PCSPAR_REMPLACER_0_PAR_99</v>
      </c>
      <c r="X1" t="str">
        <f>"ECHANG"</f>
        <v>ECHANG</v>
      </c>
      <c r="Y1" t="str">
        <f>"DIPLOM"</f>
        <v>DIPLOM</v>
      </c>
      <c r="Z1" t="str">
        <f>"NIVEAU_A_COMPLETER_pr_CESURE_SCOLARITE_EXT"</f>
        <v>NIVEAU_A_COMPLETER_pr_CESURE_SCOLARITE_EXT</v>
      </c>
      <c r="AA1" t="str">
        <f>"SPECIA"</f>
        <v>SPECIA</v>
      </c>
      <c r="AB1" t="str">
        <f>"SPECIB"</f>
        <v>SPECIB</v>
      </c>
      <c r="AC1" t="str">
        <f>"SPECIC"</f>
        <v>SPECIC</v>
      </c>
      <c r="AD1" t="str">
        <f>"REIMMA_A_VERIFIER"</f>
        <v>REIMMA_A_VERIFIER</v>
      </c>
      <c r="AE1" t="str">
        <f>"ANSUP_BLANC_QD_NON_RENSEIGNE"</f>
        <v>ANSUP_BLANC_QD_NON_RENSEIGNE</v>
      </c>
      <c r="AF1" t="str">
        <f>"ANETAB"</f>
        <v>ANETAB</v>
      </c>
      <c r="AG1" t="str">
        <f>"LCOMETU_VERIFIER_PBS_ACCENTS"</f>
        <v>LCOMETU_VERIFIER_PBS_ACCENTS</v>
      </c>
      <c r="AH1" t="str">
        <f>"LCOMREF_A_CORRIGER_EGAL_LCOMETU"</f>
        <v>LCOMREF_A_CORRIGER_EGAL_LCOMETU</v>
      </c>
      <c r="AI1" t="str">
        <f>"AMENA"</f>
        <v>AMENA</v>
      </c>
      <c r="AJ1" t="str">
        <f>"TYP_FORMATION"</f>
        <v>TYP_FORMATION</v>
      </c>
      <c r="AK1" t="str">
        <f>"TYPREPA"</f>
        <v>TYPREPA</v>
      </c>
      <c r="AL1" t="str">
        <f>"PCSPAR2"</f>
        <v>PCSPAR2</v>
      </c>
      <c r="AM1" t="str">
        <f>"NUMED"</f>
        <v>NUMED</v>
      </c>
      <c r="AN1" t="str">
        <f>"FONCTIO"</f>
        <v>FONCTIO</v>
      </c>
      <c r="AO1" t="str">
        <f>"bac_lycee"</f>
        <v>bac_lycee</v>
      </c>
      <c r="AP1" t="str">
        <f>"bac_ville"</f>
        <v>bac_ville</v>
      </c>
      <c r="AQ1" t="str">
        <f>"bac_academie"</f>
        <v>bac_academie</v>
      </c>
    </row>
    <row r="2" spans="1:43" x14ac:dyDescent="0.25">
      <c r="A2" t="str">
        <f>"1A,1A Att,1A Interne,1A SD,T00000"</f>
        <v>1A,1A Att,1A Interne,1A SD,T00000</v>
      </c>
      <c r="B2" t="str">
        <f>"CRATERE"</f>
        <v>CRATERE</v>
      </c>
      <c r="C2" t="str">
        <f>"Floraline"</f>
        <v>Floraline</v>
      </c>
      <c r="D2" t="str">
        <f>"024-2623"</f>
        <v>024-2623</v>
      </c>
      <c r="E2" t="str">
        <f>"3200009763G"</f>
        <v>3200009763G</v>
      </c>
      <c r="F2" t="str">
        <f t="shared" ref="F2:F65" si="0">"0352480F"</f>
        <v>0352480F</v>
      </c>
      <c r="G2" t="str">
        <f t="shared" ref="G2:G65" si="1">"O"</f>
        <v>O</v>
      </c>
      <c r="H2">
        <v>10</v>
      </c>
      <c r="I2">
        <v>1989</v>
      </c>
      <c r="J2">
        <v>2</v>
      </c>
      <c r="K2" t="str">
        <f>"S"</f>
        <v>S</v>
      </c>
      <c r="L2">
        <v>32</v>
      </c>
      <c r="M2">
        <v>2007</v>
      </c>
      <c r="N2" t="str">
        <f>"U"</f>
        <v>U</v>
      </c>
      <c r="O2" t="str">
        <f>"E"</f>
        <v>E</v>
      </c>
      <c r="P2">
        <v>0</v>
      </c>
      <c r="Q2">
        <v>100</v>
      </c>
      <c r="R2">
        <v>100</v>
      </c>
      <c r="S2">
        <v>35200</v>
      </c>
      <c r="T2">
        <v>100</v>
      </c>
      <c r="U2">
        <v>35200</v>
      </c>
      <c r="V2" t="str">
        <f>""</f>
        <v/>
      </c>
      <c r="W2">
        <v>0</v>
      </c>
      <c r="X2">
        <v>0</v>
      </c>
      <c r="Y2">
        <v>6000577</v>
      </c>
      <c r="Z2">
        <v>1</v>
      </c>
      <c r="AA2">
        <v>27</v>
      </c>
      <c r="AB2" t="str">
        <f>""</f>
        <v/>
      </c>
      <c r="AC2" t="str">
        <f>""</f>
        <v/>
      </c>
      <c r="AD2" t="str">
        <f>""</f>
        <v/>
      </c>
      <c r="AE2">
        <v>2007</v>
      </c>
      <c r="AF2">
        <v>2024</v>
      </c>
      <c r="AG2" t="str">
        <f>"RENNES"</f>
        <v>RENNES</v>
      </c>
      <c r="AH2" t="str">
        <f>"RENNES"</f>
        <v>RENNES</v>
      </c>
      <c r="AI2" t="str">
        <f>""</f>
        <v/>
      </c>
      <c r="AJ2" t="str">
        <f>""</f>
        <v/>
      </c>
      <c r="AK2" t="str">
        <f>""</f>
        <v/>
      </c>
      <c r="AL2">
        <v>86</v>
      </c>
      <c r="AM2" t="str">
        <f>""</f>
        <v/>
      </c>
      <c r="AN2" t="str">
        <f>""</f>
        <v/>
      </c>
      <c r="AO2" t="str">
        <f>"La Ramée"</f>
        <v>La Ramée</v>
      </c>
      <c r="AP2" t="str">
        <f>"SAINTE-ROSE"</f>
        <v>SAINTE-ROSE</v>
      </c>
      <c r="AQ2" t="str">
        <f>"Guadeloupe"</f>
        <v>Guadeloupe</v>
      </c>
    </row>
    <row r="3" spans="1:43" x14ac:dyDescent="0.25">
      <c r="A3" t="str">
        <f>"1A,1A Att,1A Interne,1A SD,T00000"</f>
        <v>1A,1A Att,1A Interne,1A SD,T00000</v>
      </c>
      <c r="B3" t="str">
        <f>"DESCLODURE"</f>
        <v>DESCLODURE</v>
      </c>
      <c r="C3" t="str">
        <f>"Josselin"</f>
        <v>Josselin</v>
      </c>
      <c r="D3" t="str">
        <f>"024-2622"</f>
        <v>024-2622</v>
      </c>
      <c r="E3" t="str">
        <f>"0192028570G"</f>
        <v>0192028570G</v>
      </c>
      <c r="F3" t="str">
        <f t="shared" si="0"/>
        <v>0352480F</v>
      </c>
      <c r="G3" t="str">
        <f t="shared" si="1"/>
        <v>O</v>
      </c>
      <c r="H3">
        <v>10</v>
      </c>
      <c r="I3">
        <v>1977</v>
      </c>
      <c r="J3">
        <v>1</v>
      </c>
      <c r="K3" t="str">
        <f>"S"</f>
        <v>S</v>
      </c>
      <c r="L3">
        <v>1</v>
      </c>
      <c r="M3">
        <v>1995</v>
      </c>
      <c r="N3" t="str">
        <f>"U"</f>
        <v>U</v>
      </c>
      <c r="O3" t="str">
        <f>"N"</f>
        <v>N</v>
      </c>
      <c r="P3">
        <v>0</v>
      </c>
      <c r="Q3">
        <v>100</v>
      </c>
      <c r="R3">
        <v>100</v>
      </c>
      <c r="S3">
        <v>94000</v>
      </c>
      <c r="T3">
        <v>100</v>
      </c>
      <c r="U3">
        <v>94000</v>
      </c>
      <c r="V3" t="str">
        <f>""</f>
        <v/>
      </c>
      <c r="W3">
        <v>99</v>
      </c>
      <c r="X3">
        <v>0</v>
      </c>
      <c r="Y3">
        <v>6000577</v>
      </c>
      <c r="Z3">
        <v>1</v>
      </c>
      <c r="AA3">
        <v>27</v>
      </c>
      <c r="AB3" t="str">
        <f>""</f>
        <v/>
      </c>
      <c r="AC3" t="str">
        <f>""</f>
        <v/>
      </c>
      <c r="AD3" t="str">
        <f>""</f>
        <v/>
      </c>
      <c r="AE3">
        <v>1995</v>
      </c>
      <c r="AF3">
        <v>2024</v>
      </c>
      <c r="AG3" t="str">
        <f>"CRETEIL"</f>
        <v>CRETEIL</v>
      </c>
      <c r="AH3" t="str">
        <f>"CRETEIL"</f>
        <v>CRETEIL</v>
      </c>
      <c r="AI3" t="str">
        <f>""</f>
        <v/>
      </c>
      <c r="AJ3" t="str">
        <f>""</f>
        <v/>
      </c>
      <c r="AK3" t="str">
        <f>""</f>
        <v/>
      </c>
      <c r="AL3">
        <v>75</v>
      </c>
      <c r="AM3" t="str">
        <f>""</f>
        <v/>
      </c>
      <c r="AN3" t="str">
        <f>""</f>
        <v/>
      </c>
      <c r="AO3" t="str">
        <f>"LYCEE LOUS-LE-GRAND"</f>
        <v>LYCEE LOUS-LE-GRAND</v>
      </c>
      <c r="AP3" t="str">
        <f>"PARIS"</f>
        <v>PARIS</v>
      </c>
      <c r="AQ3" t="str">
        <f>"Paris"</f>
        <v>Paris</v>
      </c>
    </row>
    <row r="4" spans="1:43" x14ac:dyDescent="0.25">
      <c r="A4" t="str">
        <f>"1A,1A Att,1A Interne,1A SD,T00000"</f>
        <v>1A,1A Att,1A Interne,1A SD,T00000</v>
      </c>
      <c r="B4" t="str">
        <f>"MALAHEL"</f>
        <v>MALAHEL</v>
      </c>
      <c r="C4" t="str">
        <f>"Olivier"</f>
        <v>Olivier</v>
      </c>
      <c r="D4" t="str">
        <f>"024-2621"</f>
        <v>024-2621</v>
      </c>
      <c r="E4" t="str">
        <f>"233370676HC"</f>
        <v>233370676HC</v>
      </c>
      <c r="F4" t="str">
        <f t="shared" si="0"/>
        <v>0352480F</v>
      </c>
      <c r="G4" t="str">
        <f t="shared" si="1"/>
        <v>O</v>
      </c>
      <c r="H4">
        <v>10</v>
      </c>
      <c r="I4">
        <v>1976</v>
      </c>
      <c r="J4">
        <v>1</v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"U"</f>
        <v>U</v>
      </c>
      <c r="P4">
        <v>0</v>
      </c>
      <c r="Q4">
        <v>100</v>
      </c>
      <c r="R4">
        <v>100</v>
      </c>
      <c r="S4">
        <v>92140</v>
      </c>
      <c r="T4">
        <v>100</v>
      </c>
      <c r="U4">
        <v>92140</v>
      </c>
      <c r="V4" t="str">
        <f>""</f>
        <v/>
      </c>
      <c r="W4">
        <v>0</v>
      </c>
      <c r="X4">
        <v>0</v>
      </c>
      <c r="Y4">
        <v>6000577</v>
      </c>
      <c r="Z4">
        <v>1</v>
      </c>
      <c r="AA4">
        <v>27</v>
      </c>
      <c r="AB4" t="str">
        <f>""</f>
        <v/>
      </c>
      <c r="AC4" t="str">
        <f>""</f>
        <v/>
      </c>
      <c r="AD4" t="str">
        <f>""</f>
        <v/>
      </c>
      <c r="AE4">
        <v>1994</v>
      </c>
      <c r="AF4">
        <v>2024</v>
      </c>
      <c r="AG4" t="str">
        <f>"Clamart"</f>
        <v>Clamart</v>
      </c>
      <c r="AH4" t="str">
        <f>"Clamart"</f>
        <v>Clamart</v>
      </c>
      <c r="AI4" t="str">
        <f>""</f>
        <v/>
      </c>
      <c r="AJ4" t="str">
        <f>""</f>
        <v/>
      </c>
      <c r="AK4" t="str">
        <f>""</f>
        <v/>
      </c>
      <c r="AL4">
        <v>0</v>
      </c>
      <c r="AM4" t="str">
        <f>""</f>
        <v/>
      </c>
      <c r="AN4" t="str">
        <f>""</f>
        <v/>
      </c>
      <c r="AO4" t="str">
        <f>""</f>
        <v/>
      </c>
      <c r="AP4" t="str">
        <f>""</f>
        <v/>
      </c>
      <c r="AQ4" t="str">
        <f>""</f>
        <v/>
      </c>
    </row>
    <row r="5" spans="1:43" x14ac:dyDescent="0.25">
      <c r="A5" t="str">
        <f>"1A,1A Att,1A Interne,1A SD,T00000"</f>
        <v>1A,1A Att,1A Interne,1A SD,T00000</v>
      </c>
      <c r="B5" t="str">
        <f>"ROSE"</f>
        <v>ROSE</v>
      </c>
      <c r="C5" t="str">
        <f>"Valentin"</f>
        <v>Valentin</v>
      </c>
      <c r="D5" t="str">
        <f>"024-2620"</f>
        <v>024-2620</v>
      </c>
      <c r="E5" t="str">
        <f>"0505008978C"</f>
        <v>0505008978C</v>
      </c>
      <c r="F5" t="str">
        <f t="shared" si="0"/>
        <v>0352480F</v>
      </c>
      <c r="G5" t="str">
        <f t="shared" si="1"/>
        <v>O</v>
      </c>
      <c r="H5">
        <v>10</v>
      </c>
      <c r="I5">
        <v>1994</v>
      </c>
      <c r="J5">
        <v>1</v>
      </c>
      <c r="K5" t="str">
        <f>"S"</f>
        <v>S</v>
      </c>
      <c r="L5">
        <v>5</v>
      </c>
      <c r="M5">
        <v>2013</v>
      </c>
      <c r="N5" t="str">
        <f t="shared" ref="N5:N10" si="2">"U"</f>
        <v>U</v>
      </c>
      <c r="O5" t="str">
        <f>"Q"</f>
        <v>Q</v>
      </c>
      <c r="P5">
        <v>0</v>
      </c>
      <c r="Q5">
        <v>100</v>
      </c>
      <c r="R5">
        <v>100</v>
      </c>
      <c r="S5">
        <v>35170</v>
      </c>
      <c r="T5">
        <v>100</v>
      </c>
      <c r="U5">
        <v>35170</v>
      </c>
      <c r="V5" t="str">
        <f>"Interne dispensé d'anglais 1A : validation de CLES B2 (2016)"</f>
        <v>Interne dispensé d'anglais 1A : validation de CLES B2 (2016)</v>
      </c>
      <c r="W5">
        <v>0</v>
      </c>
      <c r="X5">
        <v>0</v>
      </c>
      <c r="Y5">
        <v>6000577</v>
      </c>
      <c r="Z5">
        <v>1</v>
      </c>
      <c r="AA5">
        <v>27</v>
      </c>
      <c r="AB5" t="str">
        <f>""</f>
        <v/>
      </c>
      <c r="AC5" t="str">
        <f>""</f>
        <v/>
      </c>
      <c r="AD5" t="str">
        <f>""</f>
        <v/>
      </c>
      <c r="AE5">
        <v>2013</v>
      </c>
      <c r="AF5">
        <v>2024</v>
      </c>
      <c r="AG5" t="str">
        <f>"BRUZ"</f>
        <v>BRUZ</v>
      </c>
      <c r="AH5" t="str">
        <f>"BRUZ"</f>
        <v>BRUZ</v>
      </c>
      <c r="AI5" t="str">
        <f>""</f>
        <v/>
      </c>
      <c r="AJ5" t="str">
        <f>""</f>
        <v/>
      </c>
      <c r="AK5" t="str">
        <f>""</f>
        <v/>
      </c>
      <c r="AL5">
        <v>85</v>
      </c>
      <c r="AM5" t="str">
        <f>""</f>
        <v/>
      </c>
      <c r="AN5" t="str">
        <f>""</f>
        <v/>
      </c>
      <c r="AO5" t="str">
        <f>"Grignard"</f>
        <v>Grignard</v>
      </c>
      <c r="AP5" t="str">
        <f>"CHERBOURG"</f>
        <v>CHERBOURG</v>
      </c>
      <c r="AQ5" t="str">
        <f>"Caen"</f>
        <v>Caen</v>
      </c>
    </row>
    <row r="6" spans="1:43" x14ac:dyDescent="0.25">
      <c r="A6" t="str">
        <f>"1A,1A Att,1A Interne,1A SD,T00000"</f>
        <v>1A,1A Att,1A Interne,1A SD,T00000</v>
      </c>
      <c r="B6" t="str">
        <f>"TISSOT"</f>
        <v>TISSOT</v>
      </c>
      <c r="C6" t="str">
        <f>"Ivan"</f>
        <v>Ivan</v>
      </c>
      <c r="D6" t="str">
        <f>"024-2628"</f>
        <v>024-2628</v>
      </c>
      <c r="E6" t="str">
        <f>"233370683GF"</f>
        <v>233370683GF</v>
      </c>
      <c r="F6" t="str">
        <f t="shared" si="0"/>
        <v>0352480F</v>
      </c>
      <c r="G6" t="str">
        <f t="shared" si="1"/>
        <v>O</v>
      </c>
      <c r="H6">
        <v>10</v>
      </c>
      <c r="I6">
        <v>1973</v>
      </c>
      <c r="J6">
        <v>1</v>
      </c>
      <c r="K6" t="str">
        <f>"S"</f>
        <v>S</v>
      </c>
      <c r="L6">
        <v>22</v>
      </c>
      <c r="M6">
        <v>1990</v>
      </c>
      <c r="N6" t="str">
        <f t="shared" si="2"/>
        <v>U</v>
      </c>
      <c r="O6" t="str">
        <f>"U"</f>
        <v>U</v>
      </c>
      <c r="P6">
        <v>0</v>
      </c>
      <c r="Q6">
        <v>100</v>
      </c>
      <c r="R6">
        <v>100</v>
      </c>
      <c r="S6">
        <v>35170</v>
      </c>
      <c r="T6">
        <v>100</v>
      </c>
      <c r="U6">
        <v>35170</v>
      </c>
      <c r="V6" t="str">
        <f>""</f>
        <v/>
      </c>
      <c r="W6">
        <v>75</v>
      </c>
      <c r="X6">
        <v>0</v>
      </c>
      <c r="Y6">
        <v>6000577</v>
      </c>
      <c r="Z6">
        <v>1</v>
      </c>
      <c r="AA6">
        <v>27</v>
      </c>
      <c r="AB6" t="str">
        <f>""</f>
        <v/>
      </c>
      <c r="AC6" t="str">
        <f>""</f>
        <v/>
      </c>
      <c r="AD6" t="str">
        <f>""</f>
        <v/>
      </c>
      <c r="AE6">
        <v>1990</v>
      </c>
      <c r="AF6">
        <v>2024</v>
      </c>
      <c r="AG6" t="str">
        <f>"BRUZ"</f>
        <v>BRUZ</v>
      </c>
      <c r="AH6" t="str">
        <f>"BRUZ"</f>
        <v>BRUZ</v>
      </c>
      <c r="AI6" t="str">
        <f>""</f>
        <v/>
      </c>
      <c r="AJ6" t="str">
        <f>""</f>
        <v/>
      </c>
      <c r="AK6" t="str">
        <f>""</f>
        <v/>
      </c>
      <c r="AL6">
        <v>74</v>
      </c>
      <c r="AM6" t="str">
        <f>""</f>
        <v/>
      </c>
      <c r="AN6" t="str">
        <f>""</f>
        <v/>
      </c>
      <c r="AO6" t="str">
        <f>"Lycée d'Arsonval"</f>
        <v>Lycée d'Arsonval</v>
      </c>
      <c r="AP6" t="str">
        <f>"BRIVE-LA-GAILLARDE"</f>
        <v>BRIVE-LA-GAILLARDE</v>
      </c>
      <c r="AQ6" t="str">
        <f>"Limoges"</f>
        <v>Limoges</v>
      </c>
    </row>
    <row r="7" spans="1:43" x14ac:dyDescent="0.25">
      <c r="A7" t="str">
        <f>"1A,1A Eco,1A Att,1A Interne,T00000"</f>
        <v>1A,1A Eco,1A Att,1A Interne,T00000</v>
      </c>
      <c r="B7" t="str">
        <f>"GROIX"</f>
        <v>GROIX</v>
      </c>
      <c r="C7" t="str">
        <f>"Tual"</f>
        <v>Tual</v>
      </c>
      <c r="D7" t="str">
        <f>"024-2596"</f>
        <v>024-2596</v>
      </c>
      <c r="E7" t="str">
        <f>"053166536DH"</f>
        <v>053166536DH</v>
      </c>
      <c r="F7" t="str">
        <f t="shared" si="0"/>
        <v>0352480F</v>
      </c>
      <c r="G7" t="str">
        <f t="shared" si="1"/>
        <v>O</v>
      </c>
      <c r="H7">
        <v>10</v>
      </c>
      <c r="I7">
        <v>1987</v>
      </c>
      <c r="J7">
        <v>1</v>
      </c>
      <c r="K7" t="str">
        <f>"S"</f>
        <v>S</v>
      </c>
      <c r="L7">
        <v>17</v>
      </c>
      <c r="M7">
        <v>2005</v>
      </c>
      <c r="N7" t="str">
        <f t="shared" si="2"/>
        <v>U</v>
      </c>
      <c r="O7" t="str">
        <f>"A"</f>
        <v>A</v>
      </c>
      <c r="P7">
        <v>0</v>
      </c>
      <c r="Q7">
        <v>100</v>
      </c>
      <c r="R7">
        <v>100</v>
      </c>
      <c r="S7">
        <v>35890</v>
      </c>
      <c r="T7">
        <v>100</v>
      </c>
      <c r="U7">
        <v>35890</v>
      </c>
      <c r="V7" t="str">
        <f>""</f>
        <v/>
      </c>
      <c r="W7">
        <v>99</v>
      </c>
      <c r="X7">
        <v>0</v>
      </c>
      <c r="Y7">
        <v>6000577</v>
      </c>
      <c r="Z7">
        <v>1</v>
      </c>
      <c r="AA7">
        <v>27</v>
      </c>
      <c r="AB7" t="str">
        <f>""</f>
        <v/>
      </c>
      <c r="AC7" t="str">
        <f>""</f>
        <v/>
      </c>
      <c r="AD7" t="str">
        <f>""</f>
        <v/>
      </c>
      <c r="AE7">
        <v>2024</v>
      </c>
      <c r="AF7">
        <v>2024</v>
      </c>
      <c r="AG7" t="str">
        <f>"Laillé"</f>
        <v>Laillé</v>
      </c>
      <c r="AH7" t="str">
        <f>"Laillé"</f>
        <v>Laillé</v>
      </c>
      <c r="AI7" t="str">
        <f>""</f>
        <v/>
      </c>
      <c r="AJ7" t="str">
        <f>""</f>
        <v/>
      </c>
      <c r="AK7" t="str">
        <f>""</f>
        <v/>
      </c>
      <c r="AL7">
        <v>74</v>
      </c>
      <c r="AM7" t="str">
        <f>""</f>
        <v/>
      </c>
      <c r="AN7" t="str">
        <f>""</f>
        <v/>
      </c>
      <c r="AO7" t="str">
        <f>"la Herdrie"</f>
        <v>la Herdrie</v>
      </c>
      <c r="AP7" t="str">
        <f>"VERTOU"</f>
        <v>VERTOU</v>
      </c>
      <c r="AQ7" t="str">
        <f>"Nantes"</f>
        <v>Nantes</v>
      </c>
    </row>
    <row r="8" spans="1:43" x14ac:dyDescent="0.25">
      <c r="A8" t="str">
        <f>"1A,1A Eco,1A Att,1A Interne,T00000"</f>
        <v>1A,1A Eco,1A Att,1A Interne,T00000</v>
      </c>
      <c r="B8" t="str">
        <f>"JERRARI"</f>
        <v>JERRARI</v>
      </c>
      <c r="C8" t="str">
        <f>"Khalid"</f>
        <v>Khalid</v>
      </c>
      <c r="D8" t="str">
        <f>"023-2676"</f>
        <v>023-2676</v>
      </c>
      <c r="E8" t="str">
        <f>"233405746BK"</f>
        <v>233405746BK</v>
      </c>
      <c r="F8" t="str">
        <f t="shared" si="0"/>
        <v>0352480F</v>
      </c>
      <c r="G8" t="str">
        <f t="shared" si="1"/>
        <v>O</v>
      </c>
      <c r="H8">
        <v>10</v>
      </c>
      <c r="I8">
        <v>1977</v>
      </c>
      <c r="J8">
        <v>1</v>
      </c>
      <c r="K8" t="str">
        <f>"S"</f>
        <v>S</v>
      </c>
      <c r="L8">
        <v>21</v>
      </c>
      <c r="M8">
        <v>1996</v>
      </c>
      <c r="N8" t="str">
        <f t="shared" si="2"/>
        <v>U</v>
      </c>
      <c r="O8" t="str">
        <f>"U"</f>
        <v>U</v>
      </c>
      <c r="P8">
        <v>0</v>
      </c>
      <c r="Q8">
        <v>100</v>
      </c>
      <c r="R8">
        <v>100</v>
      </c>
      <c r="S8">
        <v>35000</v>
      </c>
      <c r="T8">
        <v>100</v>
      </c>
      <c r="U8">
        <v>35000</v>
      </c>
      <c r="V8" t="str">
        <f>""</f>
        <v/>
      </c>
      <c r="W8">
        <v>78</v>
      </c>
      <c r="X8">
        <v>0</v>
      </c>
      <c r="Y8">
        <v>6000577</v>
      </c>
      <c r="Z8">
        <v>1</v>
      </c>
      <c r="AA8">
        <v>27</v>
      </c>
      <c r="AB8" t="str">
        <f>""</f>
        <v/>
      </c>
      <c r="AC8" t="str">
        <f>""</f>
        <v/>
      </c>
      <c r="AD8" t="str">
        <f>""</f>
        <v/>
      </c>
      <c r="AE8">
        <v>1997</v>
      </c>
      <c r="AF8">
        <v>2023</v>
      </c>
      <c r="AG8" t="str">
        <f>"RENNES"</f>
        <v>RENNES</v>
      </c>
      <c r="AH8" t="str">
        <f>"RENNES"</f>
        <v>RENNES</v>
      </c>
      <c r="AI8" t="str">
        <f>""</f>
        <v/>
      </c>
      <c r="AJ8" t="str">
        <f>""</f>
        <v/>
      </c>
      <c r="AK8" t="str">
        <f>""</f>
        <v/>
      </c>
      <c r="AL8">
        <v>86</v>
      </c>
      <c r="AM8" t="str">
        <f>""</f>
        <v/>
      </c>
      <c r="AN8" t="str">
        <f>""</f>
        <v/>
      </c>
      <c r="AO8" t="str">
        <f>"Marcel Sembat"</f>
        <v>Marcel Sembat</v>
      </c>
      <c r="AP8" t="str">
        <f>"SOTTEVILLE-LES-ROUEN"</f>
        <v>SOTTEVILLE-LES-ROUEN</v>
      </c>
      <c r="AQ8" t="str">
        <f>"Normandie"</f>
        <v>Normandie</v>
      </c>
    </row>
    <row r="9" spans="1:43" x14ac:dyDescent="0.25">
      <c r="A9" t="str">
        <f>"1A,1A Eco,1A Att,1A Interne,T00000"</f>
        <v>1A,1A Eco,1A Att,1A Interne,T00000</v>
      </c>
      <c r="B9" t="str">
        <f>"LECOINTRE"</f>
        <v>LECOINTRE</v>
      </c>
      <c r="C9" t="str">
        <f>"Gabriel"</f>
        <v>Gabriel</v>
      </c>
      <c r="D9" t="str">
        <f>"024-2626"</f>
        <v>024-2626</v>
      </c>
      <c r="E9" t="str">
        <f>"1700904945Y"</f>
        <v>1700904945Y</v>
      </c>
      <c r="F9" t="str">
        <f t="shared" si="0"/>
        <v>0352480F</v>
      </c>
      <c r="G9" t="str">
        <f t="shared" si="1"/>
        <v>O</v>
      </c>
      <c r="H9">
        <v>10</v>
      </c>
      <c r="I9">
        <v>1983</v>
      </c>
      <c r="J9">
        <v>1</v>
      </c>
      <c r="K9" t="str">
        <f>"S"</f>
        <v>S</v>
      </c>
      <c r="L9">
        <v>17</v>
      </c>
      <c r="M9">
        <v>2001</v>
      </c>
      <c r="N9" t="str">
        <f t="shared" si="2"/>
        <v>U</v>
      </c>
      <c r="O9" t="str">
        <f>"N"</f>
        <v>N</v>
      </c>
      <c r="P9">
        <v>0</v>
      </c>
      <c r="Q9">
        <v>100</v>
      </c>
      <c r="R9">
        <v>100</v>
      </c>
      <c r="S9">
        <v>35000</v>
      </c>
      <c r="T9">
        <v>100</v>
      </c>
      <c r="U9">
        <v>35000</v>
      </c>
      <c r="V9" t="str">
        <f>""</f>
        <v/>
      </c>
      <c r="W9">
        <v>74</v>
      </c>
      <c r="X9">
        <v>0</v>
      </c>
      <c r="Y9">
        <v>6000577</v>
      </c>
      <c r="Z9">
        <v>1</v>
      </c>
      <c r="AA9">
        <v>27</v>
      </c>
      <c r="AB9" t="str">
        <f>""</f>
        <v/>
      </c>
      <c r="AC9" t="str">
        <f>""</f>
        <v/>
      </c>
      <c r="AD9" t="str">
        <f>""</f>
        <v/>
      </c>
      <c r="AE9">
        <v>2001</v>
      </c>
      <c r="AF9">
        <v>2024</v>
      </c>
      <c r="AG9" t="str">
        <f>"Rennes"</f>
        <v>Rennes</v>
      </c>
      <c r="AH9" t="str">
        <f>"Rennes"</f>
        <v>Rennes</v>
      </c>
      <c r="AI9" t="str">
        <f>""</f>
        <v/>
      </c>
      <c r="AJ9" t="str">
        <f>""</f>
        <v/>
      </c>
      <c r="AK9" t="str">
        <f>""</f>
        <v/>
      </c>
      <c r="AL9">
        <v>75</v>
      </c>
      <c r="AM9" t="str">
        <f>""</f>
        <v/>
      </c>
      <c r="AN9" t="str">
        <f>""</f>
        <v/>
      </c>
      <c r="AO9" t="str">
        <f>"Saint-Martin"</f>
        <v>Saint-Martin</v>
      </c>
      <c r="AP9" t="str">
        <f>"ANGERS"</f>
        <v>ANGERS</v>
      </c>
      <c r="AQ9" t="str">
        <f>"Nantes"</f>
        <v>Nantes</v>
      </c>
    </row>
    <row r="10" spans="1:43" x14ac:dyDescent="0.25">
      <c r="A10" t="str">
        <f>"1A,1A Eco,1A Att,1A Interne,T00000"</f>
        <v>1A,1A Eco,1A Att,1A Interne,T00000</v>
      </c>
      <c r="B10" t="str">
        <f>"MOLDOVAN"</f>
        <v>MOLDOVAN</v>
      </c>
      <c r="C10" t="str">
        <f>"Teodora"</f>
        <v>Teodora</v>
      </c>
      <c r="D10" t="str">
        <f>"024-2629"</f>
        <v>024-2629</v>
      </c>
      <c r="E10" t="str">
        <f>"0EEAPI00FK6"</f>
        <v>0EEAPI00FK6</v>
      </c>
      <c r="F10" t="str">
        <f t="shared" si="0"/>
        <v>0352480F</v>
      </c>
      <c r="G10" t="str">
        <f t="shared" si="1"/>
        <v>O</v>
      </c>
      <c r="H10">
        <v>10</v>
      </c>
      <c r="I10">
        <v>1983</v>
      </c>
      <c r="J10">
        <v>2</v>
      </c>
      <c r="K10">
        <v>1</v>
      </c>
      <c r="L10">
        <v>0</v>
      </c>
      <c r="M10">
        <v>2002</v>
      </c>
      <c r="N10" t="str">
        <f t="shared" si="2"/>
        <v>U</v>
      </c>
      <c r="O10" t="str">
        <f>""</f>
        <v/>
      </c>
      <c r="P10">
        <v>0</v>
      </c>
      <c r="Q10">
        <v>100</v>
      </c>
      <c r="R10">
        <v>100</v>
      </c>
      <c r="S10">
        <v>35131</v>
      </c>
      <c r="T10">
        <v>100</v>
      </c>
      <c r="U10">
        <v>35131</v>
      </c>
      <c r="V10" t="str">
        <f>""</f>
        <v/>
      </c>
      <c r="W10">
        <v>78</v>
      </c>
      <c r="X10">
        <v>0</v>
      </c>
      <c r="Y10">
        <v>6000577</v>
      </c>
      <c r="Z10">
        <v>1</v>
      </c>
      <c r="AA10">
        <v>27</v>
      </c>
      <c r="AB10" t="str">
        <f>""</f>
        <v/>
      </c>
      <c r="AC10" t="str">
        <f>""</f>
        <v/>
      </c>
      <c r="AD10" t="str">
        <f>""</f>
        <v/>
      </c>
      <c r="AE10">
        <v>2008</v>
      </c>
      <c r="AF10">
        <v>2024</v>
      </c>
      <c r="AG10" t="str">
        <f>"CHARTRES DE BRETAGNE"</f>
        <v>CHARTRES DE BRETAGNE</v>
      </c>
      <c r="AH10" t="str">
        <f>"CHARTRES DE BRETAGNE"</f>
        <v>CHARTRES DE BRETAGNE</v>
      </c>
      <c r="AI10" t="str">
        <f>""</f>
        <v/>
      </c>
      <c r="AJ10" t="str">
        <f>""</f>
        <v/>
      </c>
      <c r="AK10" t="str">
        <f>""</f>
        <v/>
      </c>
      <c r="AL10">
        <v>77</v>
      </c>
      <c r="AM10" t="str">
        <f>""</f>
        <v/>
      </c>
      <c r="AN10" t="str">
        <f>""</f>
        <v/>
      </c>
      <c r="AO10" t="str">
        <f>"Collège économique &amp;quot:Dionisie Pop Martian&amp;quot"</f>
        <v>Collège économique &amp;quot:Dionisie Pop Martian&amp;quot</v>
      </c>
      <c r="AP10" t="str">
        <f>"ALBA IULIA"</f>
        <v>ALBA IULIA</v>
      </c>
      <c r="AQ10" t="str">
        <f>"Etranger"</f>
        <v>Etranger</v>
      </c>
    </row>
    <row r="11" spans="1:43" x14ac:dyDescent="0.25">
      <c r="A11" t="str">
        <f t="shared" ref="A11:A32" si="3">"1A,1A Eco,1A Att,T00000"</f>
        <v>1A,1A Eco,1A Att,T00000</v>
      </c>
      <c r="B11" t="str">
        <f>"AMIGO"</f>
        <v>AMIGO</v>
      </c>
      <c r="C11" t="str">
        <f>"Eulalie"</f>
        <v>Eulalie</v>
      </c>
      <c r="D11" t="str">
        <f>"024-2672"</f>
        <v>024-2672</v>
      </c>
      <c r="E11" t="str">
        <f>"060047825CF"</f>
        <v>060047825CF</v>
      </c>
      <c r="F11" t="str">
        <f t="shared" si="0"/>
        <v>0352480F</v>
      </c>
      <c r="G11" t="str">
        <f t="shared" si="1"/>
        <v>O</v>
      </c>
      <c r="H11">
        <v>10</v>
      </c>
      <c r="I11">
        <v>2003</v>
      </c>
      <c r="J11">
        <v>2</v>
      </c>
      <c r="K11" t="str">
        <f>"NBGE"</f>
        <v>NBGE</v>
      </c>
      <c r="L11">
        <v>2</v>
      </c>
      <c r="M11">
        <v>2021</v>
      </c>
      <c r="N11" t="str">
        <f t="shared" ref="N11:O15" si="4">"D"</f>
        <v>D</v>
      </c>
      <c r="O11" t="str">
        <f t="shared" si="4"/>
        <v>D</v>
      </c>
      <c r="P11">
        <v>0</v>
      </c>
      <c r="Q11">
        <v>100</v>
      </c>
      <c r="R11">
        <v>100</v>
      </c>
      <c r="S11">
        <v>35170</v>
      </c>
      <c r="T11">
        <v>100</v>
      </c>
      <c r="U11">
        <v>35170</v>
      </c>
      <c r="V11" t="str">
        <f>""</f>
        <v/>
      </c>
      <c r="W11">
        <v>34</v>
      </c>
      <c r="X11">
        <v>0</v>
      </c>
      <c r="Y11">
        <v>6000577</v>
      </c>
      <c r="Z11">
        <v>1</v>
      </c>
      <c r="AA11">
        <v>27</v>
      </c>
      <c r="AB11" t="str">
        <f>""</f>
        <v/>
      </c>
      <c r="AC11" t="str">
        <f>""</f>
        <v/>
      </c>
      <c r="AD11" t="str">
        <f>""</f>
        <v/>
      </c>
      <c r="AE11">
        <v>2021</v>
      </c>
      <c r="AF11">
        <v>2024</v>
      </c>
      <c r="AG11" t="str">
        <f>""</f>
        <v/>
      </c>
      <c r="AH11" t="str">
        <f>""</f>
        <v/>
      </c>
      <c r="AI11" t="str">
        <f>""</f>
        <v/>
      </c>
      <c r="AJ11" t="str">
        <f>""</f>
        <v/>
      </c>
      <c r="AK11" t="str">
        <f>""</f>
        <v/>
      </c>
      <c r="AL11">
        <v>34</v>
      </c>
      <c r="AM11" t="str">
        <f>""</f>
        <v/>
      </c>
      <c r="AN11" t="str">
        <f>""</f>
        <v/>
      </c>
      <c r="AO11" t="str">
        <f>"Lycée Georges Duby"</f>
        <v>Lycée Georges Duby</v>
      </c>
      <c r="AP11" t="str">
        <f>"LUYNES"</f>
        <v>LUYNES</v>
      </c>
      <c r="AQ11" t="str">
        <f>"Aix-Marseille"</f>
        <v>Aix-Marseille</v>
      </c>
    </row>
    <row r="12" spans="1:43" x14ac:dyDescent="0.25">
      <c r="A12" t="str">
        <f t="shared" si="3"/>
        <v>1A,1A Eco,1A Att,T00000</v>
      </c>
      <c r="B12" t="str">
        <f>"CADIERGUE"</f>
        <v>CADIERGUE</v>
      </c>
      <c r="C12" t="str">
        <f>"Lucile"</f>
        <v>Lucile</v>
      </c>
      <c r="D12" t="str">
        <f>"024-2674"</f>
        <v>024-2674</v>
      </c>
      <c r="E12" t="str">
        <f>"153215080AK"</f>
        <v>153215080AK</v>
      </c>
      <c r="F12" t="str">
        <f t="shared" si="0"/>
        <v>0352480F</v>
      </c>
      <c r="G12" t="str">
        <f t="shared" si="1"/>
        <v>O</v>
      </c>
      <c r="H12">
        <v>10</v>
      </c>
      <c r="I12">
        <v>2005</v>
      </c>
      <c r="J12">
        <v>2</v>
      </c>
      <c r="K12" t="str">
        <f>"NBGE"</f>
        <v>NBGE</v>
      </c>
      <c r="L12">
        <v>8</v>
      </c>
      <c r="M12">
        <v>2022</v>
      </c>
      <c r="N12" t="str">
        <f t="shared" si="4"/>
        <v>D</v>
      </c>
      <c r="O12" t="str">
        <f t="shared" si="4"/>
        <v>D</v>
      </c>
      <c r="P12">
        <v>0</v>
      </c>
      <c r="Q12">
        <v>100</v>
      </c>
      <c r="R12">
        <v>100</v>
      </c>
      <c r="S12">
        <v>35170</v>
      </c>
      <c r="T12">
        <v>100</v>
      </c>
      <c r="U12">
        <v>35170</v>
      </c>
      <c r="V12" t="str">
        <f>""</f>
        <v/>
      </c>
      <c r="W12">
        <v>33</v>
      </c>
      <c r="X12">
        <v>0</v>
      </c>
      <c r="Y12">
        <v>6000577</v>
      </c>
      <c r="Z12">
        <v>1</v>
      </c>
      <c r="AA12">
        <v>27</v>
      </c>
      <c r="AB12" t="str">
        <f>""</f>
        <v/>
      </c>
      <c r="AC12" t="str">
        <f>""</f>
        <v/>
      </c>
      <c r="AD12" t="str">
        <f>""</f>
        <v/>
      </c>
      <c r="AE12">
        <v>2022</v>
      </c>
      <c r="AF12">
        <v>2024</v>
      </c>
      <c r="AG12" t="str">
        <f>"Bruz"</f>
        <v>Bruz</v>
      </c>
      <c r="AH12" t="str">
        <f>"Bruz"</f>
        <v>Bruz</v>
      </c>
      <c r="AI12" t="str">
        <f>""</f>
        <v/>
      </c>
      <c r="AJ12" t="str">
        <f>""</f>
        <v/>
      </c>
      <c r="AK12" t="str">
        <f>""</f>
        <v/>
      </c>
      <c r="AL12">
        <v>43</v>
      </c>
      <c r="AM12" t="str">
        <f>""</f>
        <v/>
      </c>
      <c r="AN12" t="str">
        <f>""</f>
        <v/>
      </c>
      <c r="AO12" t="str">
        <f>"Lycée Boissy d'Anglas"</f>
        <v>Lycée Boissy d'Anglas</v>
      </c>
      <c r="AP12" t="str">
        <f>"ANNONAY"</f>
        <v>ANNONAY</v>
      </c>
      <c r="AQ12" t="str">
        <f>"Grenoble"</f>
        <v>Grenoble</v>
      </c>
    </row>
    <row r="13" spans="1:43" x14ac:dyDescent="0.25">
      <c r="A13" t="str">
        <f t="shared" si="3"/>
        <v>1A,1A Eco,1A Att,T00000</v>
      </c>
      <c r="B13" t="str">
        <f>"CARRERE"</f>
        <v>CARRERE</v>
      </c>
      <c r="C13" t="str">
        <f>"Raphaël"</f>
        <v>Raphaël</v>
      </c>
      <c r="D13" t="str">
        <f>"024-2617"</f>
        <v>024-2617</v>
      </c>
      <c r="E13" t="str">
        <f>"070212320GD"</f>
        <v>070212320GD</v>
      </c>
      <c r="F13" t="str">
        <f t="shared" si="0"/>
        <v>0352480F</v>
      </c>
      <c r="G13" t="str">
        <f t="shared" si="1"/>
        <v>O</v>
      </c>
      <c r="H13">
        <v>10</v>
      </c>
      <c r="I13">
        <v>2004</v>
      </c>
      <c r="J13">
        <v>1</v>
      </c>
      <c r="K13" t="str">
        <f>"NBGE"</f>
        <v>NBGE</v>
      </c>
      <c r="L13">
        <v>11</v>
      </c>
      <c r="M13">
        <v>2022</v>
      </c>
      <c r="N13" t="str">
        <f t="shared" si="4"/>
        <v>D</v>
      </c>
      <c r="O13" t="str">
        <f t="shared" si="4"/>
        <v>D</v>
      </c>
      <c r="P13">
        <v>0</v>
      </c>
      <c r="Q13">
        <v>100</v>
      </c>
      <c r="R13">
        <v>100</v>
      </c>
      <c r="S13">
        <v>35136</v>
      </c>
      <c r="T13">
        <v>100</v>
      </c>
      <c r="U13">
        <v>35136</v>
      </c>
      <c r="V13" t="str">
        <f>""</f>
        <v/>
      </c>
      <c r="W13">
        <v>43</v>
      </c>
      <c r="X13">
        <v>0</v>
      </c>
      <c r="Y13">
        <v>6000577</v>
      </c>
      <c r="Z13">
        <v>1</v>
      </c>
      <c r="AA13">
        <v>27</v>
      </c>
      <c r="AB13" t="str">
        <f>""</f>
        <v/>
      </c>
      <c r="AC13" t="str">
        <f>""</f>
        <v/>
      </c>
      <c r="AD13" t="str">
        <f>""</f>
        <v/>
      </c>
      <c r="AE13">
        <v>2022</v>
      </c>
      <c r="AF13">
        <v>2024</v>
      </c>
      <c r="AG13" t="str">
        <f>"SAINT JACQUES DE LA LANDES"</f>
        <v>SAINT JACQUES DE LA LANDES</v>
      </c>
      <c r="AH13" t="str">
        <f>"SAINT JACQUES DE LA LANDES"</f>
        <v>SAINT JACQUES DE LA LANDES</v>
      </c>
      <c r="AI13" t="str">
        <f>""</f>
        <v/>
      </c>
      <c r="AJ13" t="str">
        <f>""</f>
        <v/>
      </c>
      <c r="AK13" t="str">
        <f>""</f>
        <v/>
      </c>
      <c r="AL13">
        <v>33</v>
      </c>
      <c r="AM13" t="str">
        <f>""</f>
        <v/>
      </c>
      <c r="AN13" t="str">
        <f>""</f>
        <v/>
      </c>
      <c r="AO13" t="str">
        <f>"Lycée Jean Moulin"</f>
        <v>Lycée Jean Moulin</v>
      </c>
      <c r="AP13" t="str">
        <f>"PEZENAS"</f>
        <v>PEZENAS</v>
      </c>
      <c r="AQ13" t="str">
        <f>"Montpellier"</f>
        <v>Montpellier</v>
      </c>
    </row>
    <row r="14" spans="1:43" x14ac:dyDescent="0.25">
      <c r="A14" t="str">
        <f t="shared" si="3"/>
        <v>1A,1A Eco,1A Att,T00000</v>
      </c>
      <c r="B14" t="str">
        <f>"CHAMPOIRAL"</f>
        <v>CHAMPOIRAL</v>
      </c>
      <c r="C14" t="str">
        <f>"Eliot"</f>
        <v>Eliot</v>
      </c>
      <c r="D14" t="str">
        <f>"024-2592"</f>
        <v>024-2592</v>
      </c>
      <c r="E14" t="str">
        <f>"070692646JB"</f>
        <v>070692646JB</v>
      </c>
      <c r="F14" t="str">
        <f t="shared" si="0"/>
        <v>0352480F</v>
      </c>
      <c r="G14" t="str">
        <f t="shared" si="1"/>
        <v>O</v>
      </c>
      <c r="H14">
        <v>10</v>
      </c>
      <c r="I14">
        <v>2004</v>
      </c>
      <c r="J14">
        <v>1</v>
      </c>
      <c r="K14" t="str">
        <f>""</f>
        <v/>
      </c>
      <c r="L14">
        <v>2</v>
      </c>
      <c r="M14">
        <v>2022</v>
      </c>
      <c r="N14" t="str">
        <f t="shared" si="4"/>
        <v>D</v>
      </c>
      <c r="O14" t="str">
        <f t="shared" si="4"/>
        <v>D</v>
      </c>
      <c r="P14">
        <v>0</v>
      </c>
      <c r="Q14">
        <v>100</v>
      </c>
      <c r="R14">
        <v>100</v>
      </c>
      <c r="S14">
        <v>35170</v>
      </c>
      <c r="T14">
        <v>100</v>
      </c>
      <c r="U14">
        <v>35170</v>
      </c>
      <c r="V14" t="str">
        <f>""</f>
        <v/>
      </c>
      <c r="W14">
        <v>47</v>
      </c>
      <c r="X14">
        <v>0</v>
      </c>
      <c r="Y14">
        <v>6000577</v>
      </c>
      <c r="Z14">
        <v>1</v>
      </c>
      <c r="AA14">
        <v>27</v>
      </c>
      <c r="AB14" t="str">
        <f>""</f>
        <v/>
      </c>
      <c r="AC14" t="str">
        <f>""</f>
        <v/>
      </c>
      <c r="AD14" t="str">
        <f>""</f>
        <v/>
      </c>
      <c r="AE14">
        <v>2022</v>
      </c>
      <c r="AF14">
        <v>2024</v>
      </c>
      <c r="AG14" t="str">
        <f>"Bruz"</f>
        <v>Bruz</v>
      </c>
      <c r="AH14" t="str">
        <f>"Bruz"</f>
        <v>Bruz</v>
      </c>
      <c r="AI14" t="str">
        <f>""</f>
        <v/>
      </c>
      <c r="AJ14" t="str">
        <f>""</f>
        <v/>
      </c>
      <c r="AK14" t="str">
        <f>""</f>
        <v/>
      </c>
      <c r="AL14">
        <v>54</v>
      </c>
      <c r="AM14" t="str">
        <f>""</f>
        <v/>
      </c>
      <c r="AN14" t="str">
        <f>""</f>
        <v/>
      </c>
      <c r="AO14" t="str">
        <f>"Lycée Maurice Genevoix"</f>
        <v>Lycée Maurice Genevoix</v>
      </c>
      <c r="AP14" t="str">
        <f>"MARIGNANE"</f>
        <v>MARIGNANE</v>
      </c>
      <c r="AQ14" t="str">
        <f>"Aix-Marseille"</f>
        <v>Aix-Marseille</v>
      </c>
    </row>
    <row r="15" spans="1:43" x14ac:dyDescent="0.25">
      <c r="A15" t="str">
        <f t="shared" si="3"/>
        <v>1A,1A Eco,1A Att,T00000</v>
      </c>
      <c r="B15" t="str">
        <f>"DEMORY"</f>
        <v>DEMORY</v>
      </c>
      <c r="C15" t="str">
        <f>"Joanes"</f>
        <v>Joanes</v>
      </c>
      <c r="D15" t="str">
        <f>"024-2616"</f>
        <v>024-2616</v>
      </c>
      <c r="E15" t="str">
        <f>"070158470HJ"</f>
        <v>070158470HJ</v>
      </c>
      <c r="F15" t="str">
        <f t="shared" si="0"/>
        <v>0352480F</v>
      </c>
      <c r="G15" t="str">
        <f t="shared" si="1"/>
        <v>O</v>
      </c>
      <c r="H15">
        <v>10</v>
      </c>
      <c r="I15">
        <v>2004</v>
      </c>
      <c r="J15">
        <v>1</v>
      </c>
      <c r="K15" t="str">
        <f t="shared" ref="K15:K24" si="5">"NBGE"</f>
        <v>NBGE</v>
      </c>
      <c r="L15">
        <v>2</v>
      </c>
      <c r="M15">
        <v>2022</v>
      </c>
      <c r="N15" t="str">
        <f t="shared" si="4"/>
        <v>D</v>
      </c>
      <c r="O15" t="str">
        <f t="shared" si="4"/>
        <v>D</v>
      </c>
      <c r="P15">
        <v>0</v>
      </c>
      <c r="Q15">
        <v>100</v>
      </c>
      <c r="R15">
        <v>100</v>
      </c>
      <c r="S15">
        <v>35000</v>
      </c>
      <c r="T15">
        <v>100</v>
      </c>
      <c r="U15">
        <v>35000</v>
      </c>
      <c r="V15" t="str">
        <f>""</f>
        <v/>
      </c>
      <c r="W15">
        <v>34</v>
      </c>
      <c r="X15">
        <v>0</v>
      </c>
      <c r="Y15">
        <v>6000577</v>
      </c>
      <c r="Z15">
        <v>1</v>
      </c>
      <c r="AA15">
        <v>27</v>
      </c>
      <c r="AB15" t="str">
        <f>""</f>
        <v/>
      </c>
      <c r="AC15" t="str">
        <f>""</f>
        <v/>
      </c>
      <c r="AD15" t="str">
        <f>""</f>
        <v/>
      </c>
      <c r="AE15">
        <v>2022</v>
      </c>
      <c r="AF15">
        <v>2024</v>
      </c>
      <c r="AG15" t="str">
        <f>"RENNES"</f>
        <v>RENNES</v>
      </c>
      <c r="AH15" t="str">
        <f>"RENNES"</f>
        <v>RENNES</v>
      </c>
      <c r="AI15" t="str">
        <f>""</f>
        <v/>
      </c>
      <c r="AJ15" t="str">
        <f>""</f>
        <v/>
      </c>
      <c r="AK15" t="str">
        <f>""</f>
        <v/>
      </c>
      <c r="AL15">
        <v>34</v>
      </c>
      <c r="AM15" t="str">
        <f>""</f>
        <v/>
      </c>
      <c r="AN15" t="str">
        <f>""</f>
        <v/>
      </c>
      <c r="AO15" t="str">
        <f>"Lycée Thiers"</f>
        <v>Lycée Thiers</v>
      </c>
      <c r="AP15" t="str">
        <f>"MARSEILLE"</f>
        <v>MARSEILLE</v>
      </c>
      <c r="AQ15" t="str">
        <f>"Aix-Marseille"</f>
        <v>Aix-Marseille</v>
      </c>
    </row>
    <row r="16" spans="1:43" x14ac:dyDescent="0.25">
      <c r="A16" t="str">
        <f t="shared" si="3"/>
        <v>1A,1A Eco,1A Att,T00000</v>
      </c>
      <c r="B16" t="str">
        <f>"DONATO DA COSTA"</f>
        <v>DONATO DA COSTA</v>
      </c>
      <c r="C16" t="str">
        <f>"Bryan"</f>
        <v>Bryan</v>
      </c>
      <c r="D16" t="str">
        <f>"024-2686"</f>
        <v>024-2686</v>
      </c>
      <c r="E16" t="str">
        <f>"071505522GF"</f>
        <v>071505522GF</v>
      </c>
      <c r="F16" t="str">
        <f t="shared" si="0"/>
        <v>0352480F</v>
      </c>
      <c r="G16" t="str">
        <f t="shared" si="1"/>
        <v>O</v>
      </c>
      <c r="H16">
        <v>10</v>
      </c>
      <c r="I16">
        <v>2004</v>
      </c>
      <c r="J16">
        <v>1</v>
      </c>
      <c r="K16" t="str">
        <f t="shared" si="5"/>
        <v>NBGE</v>
      </c>
      <c r="L16">
        <v>24</v>
      </c>
      <c r="M16">
        <v>2022</v>
      </c>
      <c r="N16" t="str">
        <f t="shared" ref="N16:N32" si="6">"D"</f>
        <v>D</v>
      </c>
      <c r="O16" t="str">
        <f>"A"</f>
        <v>A</v>
      </c>
      <c r="P16">
        <v>0</v>
      </c>
      <c r="Q16">
        <v>100</v>
      </c>
      <c r="R16">
        <v>100</v>
      </c>
      <c r="S16" t="str">
        <f>""</f>
        <v/>
      </c>
      <c r="T16">
        <v>100</v>
      </c>
      <c r="U16" t="str">
        <f>""</f>
        <v/>
      </c>
      <c r="V16" t="str">
        <f>""</f>
        <v/>
      </c>
      <c r="W16">
        <v>0</v>
      </c>
      <c r="X16">
        <v>0</v>
      </c>
      <c r="Y16">
        <v>6000577</v>
      </c>
      <c r="Z16">
        <v>1</v>
      </c>
      <c r="AA16">
        <v>27</v>
      </c>
      <c r="AB16" t="str">
        <f>""</f>
        <v/>
      </c>
      <c r="AC16" t="str">
        <f>""</f>
        <v/>
      </c>
      <c r="AD16" t="str">
        <f>""</f>
        <v/>
      </c>
      <c r="AE16">
        <v>2022</v>
      </c>
      <c r="AF16">
        <v>2024</v>
      </c>
      <c r="AG16" t="str">
        <f>""</f>
        <v/>
      </c>
      <c r="AH16" t="str">
        <f>""</f>
        <v/>
      </c>
      <c r="AI16" t="str">
        <f>""</f>
        <v/>
      </c>
      <c r="AJ16" t="str">
        <f>""</f>
        <v/>
      </c>
      <c r="AK16" t="str">
        <f>""</f>
        <v/>
      </c>
      <c r="AL16">
        <v>56</v>
      </c>
      <c r="AM16" t="str">
        <f>""</f>
        <v/>
      </c>
      <c r="AN16" t="str">
        <f>""</f>
        <v/>
      </c>
      <c r="AO16" t="str">
        <f>"lycée polyvalent Marx Dormoy"</f>
        <v>lycée polyvalent Marx Dormoy</v>
      </c>
      <c r="AP16" t="str">
        <f>"CHAMPIGNY-SUR-MARNE"</f>
        <v>CHAMPIGNY-SUR-MARNE</v>
      </c>
      <c r="AQ16" t="str">
        <f>"Créteil"</f>
        <v>Créteil</v>
      </c>
    </row>
    <row r="17" spans="1:43" x14ac:dyDescent="0.25">
      <c r="A17" t="str">
        <f t="shared" si="3"/>
        <v>1A,1A Eco,1A Att,T00000</v>
      </c>
      <c r="B17" t="str">
        <f>"FOUCART"</f>
        <v>FOUCART</v>
      </c>
      <c r="C17" t="str">
        <f>"Antoine"</f>
        <v>Antoine</v>
      </c>
      <c r="D17" t="str">
        <f>"024-2683"</f>
        <v>024-2683</v>
      </c>
      <c r="E17" t="str">
        <f>"081337920HC"</f>
        <v>081337920HC</v>
      </c>
      <c r="F17" t="str">
        <f t="shared" si="0"/>
        <v>0352480F</v>
      </c>
      <c r="G17" t="str">
        <f t="shared" si="1"/>
        <v>O</v>
      </c>
      <c r="H17">
        <v>10</v>
      </c>
      <c r="I17">
        <v>2004</v>
      </c>
      <c r="J17">
        <v>1</v>
      </c>
      <c r="K17" t="str">
        <f t="shared" si="5"/>
        <v>NBGE</v>
      </c>
      <c r="L17">
        <v>9</v>
      </c>
      <c r="M17">
        <v>2022</v>
      </c>
      <c r="N17" t="str">
        <f t="shared" si="6"/>
        <v>D</v>
      </c>
      <c r="O17" t="str">
        <f>"D"</f>
        <v>D</v>
      </c>
      <c r="P17">
        <v>0</v>
      </c>
      <c r="Q17">
        <v>100</v>
      </c>
      <c r="R17">
        <v>100</v>
      </c>
      <c r="S17" t="str">
        <f>"La Ma"</f>
        <v>La Ma</v>
      </c>
      <c r="T17">
        <v>100</v>
      </c>
      <c r="U17" t="str">
        <f>"La Ma"</f>
        <v>La Ma</v>
      </c>
      <c r="V17" t="str">
        <f>""</f>
        <v/>
      </c>
      <c r="W17">
        <v>38</v>
      </c>
      <c r="X17">
        <v>0</v>
      </c>
      <c r="Y17">
        <v>6000577</v>
      </c>
      <c r="Z17">
        <v>1</v>
      </c>
      <c r="AA17">
        <v>27</v>
      </c>
      <c r="AB17" t="str">
        <f>""</f>
        <v/>
      </c>
      <c r="AC17" t="str">
        <f>""</f>
        <v/>
      </c>
      <c r="AD17" t="str">
        <f>""</f>
        <v/>
      </c>
      <c r="AE17">
        <v>2022</v>
      </c>
      <c r="AF17">
        <v>2024</v>
      </c>
      <c r="AG17" t="str">
        <f>"eleine 59110"</f>
        <v>eleine 59110</v>
      </c>
      <c r="AH17" t="str">
        <f>"eleine 59110"</f>
        <v>eleine 59110</v>
      </c>
      <c r="AI17" t="str">
        <f>""</f>
        <v/>
      </c>
      <c r="AJ17" t="str">
        <f>""</f>
        <v/>
      </c>
      <c r="AK17" t="str">
        <f>""</f>
        <v/>
      </c>
      <c r="AL17">
        <v>37</v>
      </c>
      <c r="AM17" t="str">
        <f>""</f>
        <v/>
      </c>
      <c r="AN17" t="str">
        <f>""</f>
        <v/>
      </c>
      <c r="AO17" t="str">
        <f>"Lycée Louis Pasteur"</f>
        <v>Lycée Louis Pasteur</v>
      </c>
      <c r="AP17" t="str">
        <f>"LILLE"</f>
        <v>LILLE</v>
      </c>
      <c r="AQ17" t="str">
        <f>"Lille"</f>
        <v>Lille</v>
      </c>
    </row>
    <row r="18" spans="1:43" x14ac:dyDescent="0.25">
      <c r="A18" t="str">
        <f t="shared" si="3"/>
        <v>1A,1A Eco,1A Att,T00000</v>
      </c>
      <c r="B18" t="str">
        <f>"GILLAND"</f>
        <v>GILLAND</v>
      </c>
      <c r="C18" t="str">
        <f>"Erwan"</f>
        <v>Erwan</v>
      </c>
      <c r="D18" t="str">
        <f>"024-2593"</f>
        <v>024-2593</v>
      </c>
      <c r="E18" t="str">
        <f>"153300205FA"</f>
        <v>153300205FA</v>
      </c>
      <c r="F18" t="str">
        <f t="shared" si="0"/>
        <v>0352480F</v>
      </c>
      <c r="G18" t="str">
        <f t="shared" si="1"/>
        <v>O</v>
      </c>
      <c r="H18">
        <v>10</v>
      </c>
      <c r="I18">
        <v>2004</v>
      </c>
      <c r="J18">
        <v>1</v>
      </c>
      <c r="K18" t="str">
        <f t="shared" si="5"/>
        <v>NBGE</v>
      </c>
      <c r="L18">
        <v>2</v>
      </c>
      <c r="M18">
        <v>2022</v>
      </c>
      <c r="N18" t="str">
        <f t="shared" si="6"/>
        <v>D</v>
      </c>
      <c r="O18" t="str">
        <f>"D"</f>
        <v>D</v>
      </c>
      <c r="P18">
        <v>0</v>
      </c>
      <c r="Q18">
        <v>100</v>
      </c>
      <c r="R18">
        <v>100</v>
      </c>
      <c r="S18">
        <v>35170</v>
      </c>
      <c r="T18">
        <v>100</v>
      </c>
      <c r="U18">
        <v>35170</v>
      </c>
      <c r="V18" t="str">
        <f>""</f>
        <v/>
      </c>
      <c r="W18">
        <v>43</v>
      </c>
      <c r="X18">
        <v>0</v>
      </c>
      <c r="Y18">
        <v>6000577</v>
      </c>
      <c r="Z18">
        <v>1</v>
      </c>
      <c r="AA18">
        <v>27</v>
      </c>
      <c r="AB18" t="str">
        <f>""</f>
        <v/>
      </c>
      <c r="AC18" t="str">
        <f>""</f>
        <v/>
      </c>
      <c r="AD18" t="str">
        <f>""</f>
        <v/>
      </c>
      <c r="AE18">
        <v>2022</v>
      </c>
      <c r="AF18">
        <v>2024</v>
      </c>
      <c r="AG18" t="str">
        <f>"Bruz"</f>
        <v>Bruz</v>
      </c>
      <c r="AH18" t="str">
        <f>"Bruz"</f>
        <v>Bruz</v>
      </c>
      <c r="AI18" t="str">
        <f>""</f>
        <v/>
      </c>
      <c r="AJ18" t="str">
        <f>""</f>
        <v/>
      </c>
      <c r="AK18" t="str">
        <f>""</f>
        <v/>
      </c>
      <c r="AL18">
        <v>33</v>
      </c>
      <c r="AM18" t="str">
        <f>""</f>
        <v/>
      </c>
      <c r="AN18" t="str">
        <f>""</f>
        <v/>
      </c>
      <c r="AO18" t="str">
        <f>"Antonin Artaud"</f>
        <v>Antonin Artaud</v>
      </c>
      <c r="AP18" t="str">
        <f>"MARSEILLE"</f>
        <v>MARSEILLE</v>
      </c>
      <c r="AQ18" t="str">
        <f>"Aix-Marseille"</f>
        <v>Aix-Marseille</v>
      </c>
    </row>
    <row r="19" spans="1:43" x14ac:dyDescent="0.25">
      <c r="A19" t="str">
        <f t="shared" si="3"/>
        <v>1A,1A Eco,1A Att,T00000</v>
      </c>
      <c r="B19" t="str">
        <f>"HUILLET"</f>
        <v>HUILLET</v>
      </c>
      <c r="C19" t="str">
        <f>"Rébecca-Rose"</f>
        <v>Rébecca-Rose</v>
      </c>
      <c r="D19" t="str">
        <f>"024-2691"</f>
        <v>024-2691</v>
      </c>
      <c r="E19" t="str">
        <f>"100771777GJ"</f>
        <v>100771777GJ</v>
      </c>
      <c r="F19" t="str">
        <f t="shared" si="0"/>
        <v>0352480F</v>
      </c>
      <c r="G19" t="str">
        <f t="shared" si="1"/>
        <v>O</v>
      </c>
      <c r="H19">
        <v>10</v>
      </c>
      <c r="I19">
        <v>2004</v>
      </c>
      <c r="J19">
        <v>2</v>
      </c>
      <c r="K19" t="str">
        <f t="shared" si="5"/>
        <v>NBGE</v>
      </c>
      <c r="L19">
        <v>16</v>
      </c>
      <c r="M19">
        <v>2022</v>
      </c>
      <c r="N19" t="str">
        <f t="shared" si="6"/>
        <v>D</v>
      </c>
      <c r="O19" t="str">
        <f>"D"</f>
        <v>D</v>
      </c>
      <c r="P19">
        <v>0</v>
      </c>
      <c r="Q19">
        <v>100</v>
      </c>
      <c r="R19">
        <v>100</v>
      </c>
      <c r="S19">
        <v>35000</v>
      </c>
      <c r="T19">
        <v>100</v>
      </c>
      <c r="U19">
        <v>35000</v>
      </c>
      <c r="V19" t="str">
        <f>""</f>
        <v/>
      </c>
      <c r="W19">
        <v>38</v>
      </c>
      <c r="X19">
        <v>0</v>
      </c>
      <c r="Y19">
        <v>6000577</v>
      </c>
      <c r="Z19">
        <v>1</v>
      </c>
      <c r="AA19">
        <v>27</v>
      </c>
      <c r="AB19" t="str">
        <f>""</f>
        <v/>
      </c>
      <c r="AC19" t="str">
        <f>""</f>
        <v/>
      </c>
      <c r="AD19" t="str">
        <f>""</f>
        <v/>
      </c>
      <c r="AE19">
        <v>2022</v>
      </c>
      <c r="AF19">
        <v>2024</v>
      </c>
      <c r="AG19" t="str">
        <f>"Rennes"</f>
        <v>Rennes</v>
      </c>
      <c r="AH19" t="str">
        <f>"Rennes"</f>
        <v>Rennes</v>
      </c>
      <c r="AI19" t="str">
        <f>""</f>
        <v/>
      </c>
      <c r="AJ19" t="str">
        <f>""</f>
        <v/>
      </c>
      <c r="AK19" t="str">
        <f>""</f>
        <v/>
      </c>
      <c r="AL19">
        <v>34</v>
      </c>
      <c r="AM19" t="str">
        <f>""</f>
        <v/>
      </c>
      <c r="AN19" t="str">
        <f>""</f>
        <v/>
      </c>
      <c r="AO19" t="str">
        <f>"Lycée Saint-Sernin"</f>
        <v>Lycée Saint-Sernin</v>
      </c>
      <c r="AP19" t="str">
        <f>"TOULOUSE"</f>
        <v>TOULOUSE</v>
      </c>
      <c r="AQ19" t="str">
        <f>"Toulouse"</f>
        <v>Toulouse</v>
      </c>
    </row>
    <row r="20" spans="1:43" x14ac:dyDescent="0.25">
      <c r="A20" t="str">
        <f t="shared" si="3"/>
        <v>1A,1A Eco,1A Att,T00000</v>
      </c>
      <c r="B20" t="str">
        <f>"KACER"</f>
        <v>KACER</v>
      </c>
      <c r="C20" t="str">
        <f>"Mathis"</f>
        <v>Mathis</v>
      </c>
      <c r="D20" t="str">
        <f>"024-2682"</f>
        <v>024-2682</v>
      </c>
      <c r="E20" t="str">
        <f>"100847621HJ"</f>
        <v>100847621HJ</v>
      </c>
      <c r="F20" t="str">
        <f t="shared" si="0"/>
        <v>0352480F</v>
      </c>
      <c r="G20" t="str">
        <f t="shared" si="1"/>
        <v>O</v>
      </c>
      <c r="H20">
        <v>10</v>
      </c>
      <c r="I20">
        <v>2004</v>
      </c>
      <c r="J20">
        <v>1</v>
      </c>
      <c r="K20" t="str">
        <f t="shared" si="5"/>
        <v>NBGE</v>
      </c>
      <c r="L20">
        <v>21</v>
      </c>
      <c r="M20">
        <v>2022</v>
      </c>
      <c r="N20" t="str">
        <f t="shared" si="6"/>
        <v>D</v>
      </c>
      <c r="O20" t="str">
        <f>"D"</f>
        <v>D</v>
      </c>
      <c r="P20">
        <v>0</v>
      </c>
      <c r="Q20">
        <v>100</v>
      </c>
      <c r="R20">
        <v>100</v>
      </c>
      <c r="S20">
        <v>26200</v>
      </c>
      <c r="T20">
        <v>100</v>
      </c>
      <c r="U20">
        <v>26200</v>
      </c>
      <c r="V20" t="str">
        <f>""</f>
        <v/>
      </c>
      <c r="W20">
        <v>21</v>
      </c>
      <c r="X20">
        <v>0</v>
      </c>
      <c r="Y20">
        <v>6000577</v>
      </c>
      <c r="Z20">
        <v>1</v>
      </c>
      <c r="AA20">
        <v>27</v>
      </c>
      <c r="AB20" t="str">
        <f>""</f>
        <v/>
      </c>
      <c r="AC20" t="str">
        <f>""</f>
        <v/>
      </c>
      <c r="AD20" t="str">
        <f>""</f>
        <v/>
      </c>
      <c r="AE20">
        <v>2022</v>
      </c>
      <c r="AF20">
        <v>2024</v>
      </c>
      <c r="AG20" t="str">
        <f>"Montélimar"</f>
        <v>Montélimar</v>
      </c>
      <c r="AH20" t="str">
        <f>"Montélimar"</f>
        <v>Montélimar</v>
      </c>
      <c r="AI20" t="str">
        <f>""</f>
        <v/>
      </c>
      <c r="AJ20" t="str">
        <f>""</f>
        <v/>
      </c>
      <c r="AK20" t="str">
        <f>""</f>
        <v/>
      </c>
      <c r="AL20">
        <v>47</v>
      </c>
      <c r="AM20" t="str">
        <f>""</f>
        <v/>
      </c>
      <c r="AN20" t="str">
        <f>""</f>
        <v/>
      </c>
      <c r="AO20" t="str">
        <f>"Claude Monet"</f>
        <v>Claude Monet</v>
      </c>
      <c r="AP20" t="str">
        <f>"LE HAVRE"</f>
        <v>LE HAVRE</v>
      </c>
      <c r="AQ20" t="str">
        <f>"Normandie"</f>
        <v>Normandie</v>
      </c>
    </row>
    <row r="21" spans="1:43" x14ac:dyDescent="0.25">
      <c r="A21" t="str">
        <f t="shared" si="3"/>
        <v>1A,1A Eco,1A Att,T00000</v>
      </c>
      <c r="B21" t="str">
        <f>"KHITER"</f>
        <v>KHITER</v>
      </c>
      <c r="C21" t="str">
        <f>"Célia"</f>
        <v>Célia</v>
      </c>
      <c r="D21" t="str">
        <f>"024-2670"</f>
        <v>024-2670</v>
      </c>
      <c r="E21" t="str">
        <f>"081572959GE"</f>
        <v>081572959GE</v>
      </c>
      <c r="F21" t="str">
        <f t="shared" si="0"/>
        <v>0352480F</v>
      </c>
      <c r="G21" t="str">
        <f t="shared" si="1"/>
        <v>O</v>
      </c>
      <c r="H21">
        <v>10</v>
      </c>
      <c r="I21">
        <v>2004</v>
      </c>
      <c r="J21">
        <v>2</v>
      </c>
      <c r="K21" t="str">
        <f t="shared" si="5"/>
        <v>NBGE</v>
      </c>
      <c r="L21">
        <v>9</v>
      </c>
      <c r="M21">
        <v>2021</v>
      </c>
      <c r="N21" t="str">
        <f t="shared" si="6"/>
        <v>D</v>
      </c>
      <c r="O21" t="str">
        <f>"N"</f>
        <v>N</v>
      </c>
      <c r="P21">
        <v>0</v>
      </c>
      <c r="Q21">
        <v>100</v>
      </c>
      <c r="R21">
        <v>100</v>
      </c>
      <c r="S21">
        <v>35170</v>
      </c>
      <c r="T21">
        <v>100</v>
      </c>
      <c r="U21">
        <v>35170</v>
      </c>
      <c r="V21" t="str">
        <f>""</f>
        <v/>
      </c>
      <c r="W21">
        <v>22</v>
      </c>
      <c r="X21">
        <v>0</v>
      </c>
      <c r="Y21">
        <v>6000577</v>
      </c>
      <c r="Z21">
        <v>1</v>
      </c>
      <c r="AA21">
        <v>27</v>
      </c>
      <c r="AB21" t="str">
        <f>""</f>
        <v/>
      </c>
      <c r="AC21" t="str">
        <f>""</f>
        <v/>
      </c>
      <c r="AD21" t="str">
        <f>""</f>
        <v/>
      </c>
      <c r="AE21">
        <v>2021</v>
      </c>
      <c r="AF21">
        <v>2024</v>
      </c>
      <c r="AG21" t="str">
        <f>"Bruz"</f>
        <v>Bruz</v>
      </c>
      <c r="AH21" t="str">
        <f>"Bruz"</f>
        <v>Bruz</v>
      </c>
      <c r="AI21" t="str">
        <f>""</f>
        <v/>
      </c>
      <c r="AJ21" t="str">
        <f>""</f>
        <v/>
      </c>
      <c r="AK21" t="str">
        <f>""</f>
        <v/>
      </c>
      <c r="AL21">
        <v>33</v>
      </c>
      <c r="AM21" t="str">
        <f>""</f>
        <v/>
      </c>
      <c r="AN21" t="str">
        <f>""</f>
        <v/>
      </c>
      <c r="AO21" t="str">
        <f>"Lycée Louis Blaringhem"</f>
        <v>Lycée Louis Blaringhem</v>
      </c>
      <c r="AP21" t="str">
        <f>"BÉTHUNE"</f>
        <v>BÉTHUNE</v>
      </c>
      <c r="AQ21" t="str">
        <f>"Lille"</f>
        <v>Lille</v>
      </c>
    </row>
    <row r="22" spans="1:43" x14ac:dyDescent="0.25">
      <c r="A22" t="str">
        <f t="shared" si="3"/>
        <v>1A,1A Eco,1A Att,T00000</v>
      </c>
      <c r="B22" t="str">
        <f>"LEAL-FERNANDES"</f>
        <v>LEAL-FERNANDES</v>
      </c>
      <c r="C22" t="str">
        <f>"Marylou"</f>
        <v>Marylou</v>
      </c>
      <c r="D22" t="str">
        <f>"024-2618"</f>
        <v>024-2618</v>
      </c>
      <c r="E22" t="str">
        <f>"070347837FF"</f>
        <v>070347837FF</v>
      </c>
      <c r="F22" t="str">
        <f t="shared" si="0"/>
        <v>0352480F</v>
      </c>
      <c r="G22" t="str">
        <f t="shared" si="1"/>
        <v>O</v>
      </c>
      <c r="H22">
        <v>10</v>
      </c>
      <c r="I22">
        <v>2004</v>
      </c>
      <c r="J22">
        <v>2</v>
      </c>
      <c r="K22" t="str">
        <f t="shared" si="5"/>
        <v>NBGE</v>
      </c>
      <c r="L22">
        <v>4</v>
      </c>
      <c r="M22">
        <v>2022</v>
      </c>
      <c r="N22" t="str">
        <f t="shared" si="6"/>
        <v>D</v>
      </c>
      <c r="O22" t="str">
        <f>"D"</f>
        <v>D</v>
      </c>
      <c r="P22">
        <v>0</v>
      </c>
      <c r="Q22">
        <v>100</v>
      </c>
      <c r="R22">
        <v>100</v>
      </c>
      <c r="S22" t="str">
        <f>"SERRE"</f>
        <v>SERRE</v>
      </c>
      <c r="T22">
        <v>100</v>
      </c>
      <c r="U22" t="str">
        <f>"SERRE"</f>
        <v>SERRE</v>
      </c>
      <c r="V22" t="str">
        <f>""</f>
        <v/>
      </c>
      <c r="W22">
        <v>54</v>
      </c>
      <c r="X22">
        <v>0</v>
      </c>
      <c r="Y22">
        <v>6000577</v>
      </c>
      <c r="Z22">
        <v>1</v>
      </c>
      <c r="AA22">
        <v>27</v>
      </c>
      <c r="AB22" t="str">
        <f>""</f>
        <v/>
      </c>
      <c r="AC22" t="str">
        <f>""</f>
        <v/>
      </c>
      <c r="AD22" t="str">
        <f>""</f>
        <v/>
      </c>
      <c r="AE22">
        <v>2022</v>
      </c>
      <c r="AF22">
        <v>2024</v>
      </c>
      <c r="AG22" t="str">
        <f>"CASTET"</f>
        <v>CASTET</v>
      </c>
      <c r="AH22" t="str">
        <f>"CASTET"</f>
        <v>CASTET</v>
      </c>
      <c r="AI22" t="str">
        <f>""</f>
        <v/>
      </c>
      <c r="AJ22" t="str">
        <f>""</f>
        <v/>
      </c>
      <c r="AK22" t="str">
        <f>""</f>
        <v/>
      </c>
      <c r="AL22">
        <v>63</v>
      </c>
      <c r="AM22" t="str">
        <f>""</f>
        <v/>
      </c>
      <c r="AN22" t="str">
        <f>""</f>
        <v/>
      </c>
      <c r="AO22" t="str">
        <f>"Lycée Saint John Perse"</f>
        <v>Lycée Saint John Perse</v>
      </c>
      <c r="AP22" t="str">
        <f>"PAU"</f>
        <v>PAU</v>
      </c>
      <c r="AQ22" t="str">
        <f>"Bordeaux"</f>
        <v>Bordeaux</v>
      </c>
    </row>
    <row r="23" spans="1:43" x14ac:dyDescent="0.25">
      <c r="A23" t="str">
        <f t="shared" si="3"/>
        <v>1A,1A Eco,1A Att,T00000</v>
      </c>
      <c r="B23" t="str">
        <f>"LECLERCQ"</f>
        <v>LECLERCQ</v>
      </c>
      <c r="C23" t="str">
        <f>"Axel"</f>
        <v>Axel</v>
      </c>
      <c r="D23" t="str">
        <f>"024-2771"</f>
        <v>024-2771</v>
      </c>
      <c r="E23" t="str">
        <f>"060452329BB"</f>
        <v>060452329BB</v>
      </c>
      <c r="F23" t="str">
        <f t="shared" si="0"/>
        <v>0352480F</v>
      </c>
      <c r="G23" t="str">
        <f t="shared" si="1"/>
        <v>O</v>
      </c>
      <c r="H23">
        <v>10</v>
      </c>
      <c r="I23">
        <v>2003</v>
      </c>
      <c r="J23">
        <v>1</v>
      </c>
      <c r="K23" t="str">
        <f t="shared" si="5"/>
        <v>NBGE</v>
      </c>
      <c r="L23">
        <v>25</v>
      </c>
      <c r="M23">
        <v>2021</v>
      </c>
      <c r="N23" t="str">
        <f t="shared" si="6"/>
        <v>D</v>
      </c>
      <c r="O23" t="str">
        <f>"D"</f>
        <v>D</v>
      </c>
      <c r="P23">
        <v>0</v>
      </c>
      <c r="Q23">
        <v>100</v>
      </c>
      <c r="R23">
        <v>100</v>
      </c>
      <c r="S23">
        <v>35580</v>
      </c>
      <c r="T23">
        <v>100</v>
      </c>
      <c r="U23">
        <v>35580</v>
      </c>
      <c r="V23" t="str">
        <f>""</f>
        <v/>
      </c>
      <c r="W23">
        <v>33</v>
      </c>
      <c r="X23">
        <v>0</v>
      </c>
      <c r="Y23">
        <v>6000577</v>
      </c>
      <c r="Z23">
        <v>1</v>
      </c>
      <c r="AA23">
        <v>27</v>
      </c>
      <c r="AB23" t="str">
        <f>""</f>
        <v/>
      </c>
      <c r="AC23" t="str">
        <f>""</f>
        <v/>
      </c>
      <c r="AD23" t="str">
        <f>""</f>
        <v/>
      </c>
      <c r="AE23">
        <v>2021</v>
      </c>
      <c r="AF23">
        <v>2024</v>
      </c>
      <c r="AG23" t="str">
        <f>"Guichen"</f>
        <v>Guichen</v>
      </c>
      <c r="AH23" t="str">
        <f>"Guichen"</f>
        <v>Guichen</v>
      </c>
      <c r="AI23" t="str">
        <f>""</f>
        <v/>
      </c>
      <c r="AJ23" t="str">
        <f>""</f>
        <v/>
      </c>
      <c r="AK23" t="str">
        <f>""</f>
        <v/>
      </c>
      <c r="AL23">
        <v>74</v>
      </c>
      <c r="AM23" t="str">
        <f>""</f>
        <v/>
      </c>
      <c r="AN23" t="str">
        <f>""</f>
        <v/>
      </c>
      <c r="AO23" t="str">
        <f>"Lycée Léonard de Vinci"</f>
        <v>Lycée Léonard de Vinci</v>
      </c>
      <c r="AP23" t="str">
        <f>"LEVALLOIS-PERRET"</f>
        <v>LEVALLOIS-PERRET</v>
      </c>
      <c r="AQ23" t="str">
        <f>"Versailles"</f>
        <v>Versailles</v>
      </c>
    </row>
    <row r="24" spans="1:43" x14ac:dyDescent="0.25">
      <c r="A24" t="str">
        <f t="shared" si="3"/>
        <v>1A,1A Eco,1A Att,T00000</v>
      </c>
      <c r="B24" t="str">
        <f>"LOUATI"</f>
        <v>LOUATI</v>
      </c>
      <c r="C24" t="str">
        <f>"Lina"</f>
        <v>Lina</v>
      </c>
      <c r="D24" t="str">
        <f>"024-2687"</f>
        <v>024-2687</v>
      </c>
      <c r="E24" t="str">
        <f>"070730079KA"</f>
        <v>070730079KA</v>
      </c>
      <c r="F24" t="str">
        <f t="shared" si="0"/>
        <v>0352480F</v>
      </c>
      <c r="G24" t="str">
        <f t="shared" si="1"/>
        <v>O</v>
      </c>
      <c r="H24">
        <v>10</v>
      </c>
      <c r="I24">
        <v>2004</v>
      </c>
      <c r="J24">
        <v>2</v>
      </c>
      <c r="K24" t="str">
        <f t="shared" si="5"/>
        <v>NBGE</v>
      </c>
      <c r="L24">
        <v>25</v>
      </c>
      <c r="M24">
        <v>2022</v>
      </c>
      <c r="N24" t="str">
        <f t="shared" si="6"/>
        <v>D</v>
      </c>
      <c r="O24" t="str">
        <f>"D"</f>
        <v>D</v>
      </c>
      <c r="P24">
        <v>0</v>
      </c>
      <c r="Q24">
        <v>100</v>
      </c>
      <c r="R24">
        <v>100</v>
      </c>
      <c r="S24">
        <v>35170</v>
      </c>
      <c r="T24">
        <v>100</v>
      </c>
      <c r="U24">
        <v>35170</v>
      </c>
      <c r="V24" t="str">
        <f>""</f>
        <v/>
      </c>
      <c r="W24">
        <v>52</v>
      </c>
      <c r="X24">
        <v>0</v>
      </c>
      <c r="Y24">
        <v>6000577</v>
      </c>
      <c r="Z24">
        <v>1</v>
      </c>
      <c r="AA24">
        <v>27</v>
      </c>
      <c r="AB24" t="str">
        <f>""</f>
        <v/>
      </c>
      <c r="AC24" t="str">
        <f>""</f>
        <v/>
      </c>
      <c r="AD24" t="str">
        <f>""</f>
        <v/>
      </c>
      <c r="AE24">
        <v>2022</v>
      </c>
      <c r="AF24">
        <v>2024</v>
      </c>
      <c r="AG24" t="str">
        <f>"Bruz"</f>
        <v>Bruz</v>
      </c>
      <c r="AH24" t="str">
        <f>"Bruz"</f>
        <v>Bruz</v>
      </c>
      <c r="AI24" t="str">
        <f>""</f>
        <v/>
      </c>
      <c r="AJ24" t="str">
        <f>""</f>
        <v/>
      </c>
      <c r="AK24" t="str">
        <f>""</f>
        <v/>
      </c>
      <c r="AL24">
        <v>52</v>
      </c>
      <c r="AM24" t="str">
        <f>""</f>
        <v/>
      </c>
      <c r="AN24" t="str">
        <f>""</f>
        <v/>
      </c>
      <c r="AO24" t="str">
        <f>"Alain"</f>
        <v>Alain</v>
      </c>
      <c r="AP24" t="str">
        <f>"LE VÉSINET"</f>
        <v>LE VÉSINET</v>
      </c>
      <c r="AQ24" t="str">
        <f>"Versailles"</f>
        <v>Versailles</v>
      </c>
    </row>
    <row r="25" spans="1:43" x14ac:dyDescent="0.25">
      <c r="A25" t="str">
        <f t="shared" si="3"/>
        <v>1A,1A Eco,1A Att,T00000</v>
      </c>
      <c r="B25" t="str">
        <f>"MAUREL"</f>
        <v>MAUREL</v>
      </c>
      <c r="C25" t="str">
        <f>"Mahaut"</f>
        <v>Mahaut</v>
      </c>
      <c r="D25" t="str">
        <f>"024-2692"</f>
        <v>024-2692</v>
      </c>
      <c r="E25" t="str">
        <f>"081065859EJ"</f>
        <v>081065859EJ</v>
      </c>
      <c r="F25" t="str">
        <f t="shared" si="0"/>
        <v>0352480F</v>
      </c>
      <c r="G25" t="str">
        <f t="shared" si="1"/>
        <v>O</v>
      </c>
      <c r="H25">
        <v>10</v>
      </c>
      <c r="I25">
        <v>2004</v>
      </c>
      <c r="J25">
        <v>2</v>
      </c>
      <c r="K25" t="str">
        <f>"C"</f>
        <v>C</v>
      </c>
      <c r="L25">
        <v>11</v>
      </c>
      <c r="M25">
        <v>2022</v>
      </c>
      <c r="N25" t="str">
        <f t="shared" si="6"/>
        <v>D</v>
      </c>
      <c r="O25" t="str">
        <f>"A"</f>
        <v>A</v>
      </c>
      <c r="P25">
        <v>0</v>
      </c>
      <c r="Q25">
        <v>100</v>
      </c>
      <c r="R25">
        <v>100</v>
      </c>
      <c r="S25" t="str">
        <f>"35 00"</f>
        <v>35 00</v>
      </c>
      <c r="T25">
        <v>100</v>
      </c>
      <c r="U25" t="str">
        <f>"35 00"</f>
        <v>35 00</v>
      </c>
      <c r="V25" t="str">
        <f>""</f>
        <v/>
      </c>
      <c r="W25">
        <v>31</v>
      </c>
      <c r="X25">
        <v>0</v>
      </c>
      <c r="Y25">
        <v>6000577</v>
      </c>
      <c r="Z25">
        <v>1</v>
      </c>
      <c r="AA25">
        <v>27</v>
      </c>
      <c r="AB25" t="str">
        <f>""</f>
        <v/>
      </c>
      <c r="AC25" t="str">
        <f>""</f>
        <v/>
      </c>
      <c r="AD25" t="str">
        <f>""</f>
        <v/>
      </c>
      <c r="AE25">
        <v>2022</v>
      </c>
      <c r="AF25">
        <v>2024</v>
      </c>
      <c r="AG25" t="str">
        <f>", Rennes"</f>
        <v>, Rennes</v>
      </c>
      <c r="AH25" t="str">
        <f>", Rennes"</f>
        <v>, Rennes</v>
      </c>
      <c r="AI25" t="str">
        <f>""</f>
        <v/>
      </c>
      <c r="AJ25" t="str">
        <f>""</f>
        <v/>
      </c>
      <c r="AK25" t="str">
        <f>""</f>
        <v/>
      </c>
      <c r="AL25">
        <v>34</v>
      </c>
      <c r="AM25" t="str">
        <f>""</f>
        <v/>
      </c>
      <c r="AN25" t="str">
        <f>""</f>
        <v/>
      </c>
      <c r="AO25" t="str">
        <f>"Alphonse Daudet"</f>
        <v>Alphonse Daudet</v>
      </c>
      <c r="AP25" t="str">
        <f>"NÎMES"</f>
        <v>NÎMES</v>
      </c>
      <c r="AQ25" t="str">
        <f>"Montpellier"</f>
        <v>Montpellier</v>
      </c>
    </row>
    <row r="26" spans="1:43" x14ac:dyDescent="0.25">
      <c r="A26" t="str">
        <f t="shared" si="3"/>
        <v>1A,1A Eco,1A Att,T00000</v>
      </c>
      <c r="B26" t="str">
        <f>"PECH--POULIQUEN"</f>
        <v>PECH--POULIQUEN</v>
      </c>
      <c r="C26" t="str">
        <f>"Louise"</f>
        <v>Louise</v>
      </c>
      <c r="D26" t="str">
        <f>"024-2597"</f>
        <v>024-2597</v>
      </c>
      <c r="E26" t="str">
        <f>"153121842DA"</f>
        <v>153121842DA</v>
      </c>
      <c r="F26" t="str">
        <f t="shared" si="0"/>
        <v>0352480F</v>
      </c>
      <c r="G26" t="str">
        <f t="shared" si="1"/>
        <v>O</v>
      </c>
      <c r="H26">
        <v>10</v>
      </c>
      <c r="I26">
        <v>2004</v>
      </c>
      <c r="J26">
        <v>2</v>
      </c>
      <c r="K26" t="str">
        <f t="shared" ref="K26:K35" si="7">"NBGE"</f>
        <v>NBGE</v>
      </c>
      <c r="L26">
        <v>8</v>
      </c>
      <c r="M26">
        <v>2022</v>
      </c>
      <c r="N26" t="str">
        <f t="shared" si="6"/>
        <v>D</v>
      </c>
      <c r="O26" t="str">
        <f>"A"</f>
        <v>A</v>
      </c>
      <c r="P26">
        <v>0</v>
      </c>
      <c r="Q26">
        <v>100</v>
      </c>
      <c r="R26">
        <v>100</v>
      </c>
      <c r="S26">
        <v>35000</v>
      </c>
      <c r="T26">
        <v>100</v>
      </c>
      <c r="U26">
        <v>35000</v>
      </c>
      <c r="V26" t="str">
        <f>""</f>
        <v/>
      </c>
      <c r="W26">
        <v>34</v>
      </c>
      <c r="X26">
        <v>0</v>
      </c>
      <c r="Y26">
        <v>6000577</v>
      </c>
      <c r="Z26">
        <v>1</v>
      </c>
      <c r="AA26">
        <v>27</v>
      </c>
      <c r="AB26" t="str">
        <f>""</f>
        <v/>
      </c>
      <c r="AC26" t="str">
        <f>""</f>
        <v/>
      </c>
      <c r="AD26" t="str">
        <f>""</f>
        <v/>
      </c>
      <c r="AE26">
        <v>2022</v>
      </c>
      <c r="AF26">
        <v>2024</v>
      </c>
      <c r="AG26" t="str">
        <f>"RENNES"</f>
        <v>RENNES</v>
      </c>
      <c r="AH26" t="str">
        <f>"RENNES"</f>
        <v>RENNES</v>
      </c>
      <c r="AI26" t="str">
        <f>""</f>
        <v/>
      </c>
      <c r="AJ26" t="str">
        <f>""</f>
        <v/>
      </c>
      <c r="AK26" t="str">
        <f>""</f>
        <v/>
      </c>
      <c r="AL26">
        <v>34</v>
      </c>
      <c r="AM26" t="str">
        <f>""</f>
        <v/>
      </c>
      <c r="AN26" t="str">
        <f>""</f>
        <v/>
      </c>
      <c r="AO26" t="str">
        <f>"LYCEE VAUGELAS"</f>
        <v>LYCEE VAUGELAS</v>
      </c>
      <c r="AP26" t="str">
        <f>"CHAMBERY"</f>
        <v>CHAMBERY</v>
      </c>
      <c r="AQ26" t="str">
        <f>"Grenoble"</f>
        <v>Grenoble</v>
      </c>
    </row>
    <row r="27" spans="1:43" x14ac:dyDescent="0.25">
      <c r="A27" t="str">
        <f t="shared" si="3"/>
        <v>1A,1A Eco,1A Att,T00000</v>
      </c>
      <c r="B27" t="str">
        <f>"POUGET"</f>
        <v>POUGET</v>
      </c>
      <c r="C27" t="str">
        <f>"Jade"</f>
        <v>Jade</v>
      </c>
      <c r="D27" t="str">
        <f>"024-2689"</f>
        <v>024-2689</v>
      </c>
      <c r="E27" t="str">
        <f>"071039603KD"</f>
        <v>071039603KD</v>
      </c>
      <c r="F27" t="str">
        <f t="shared" si="0"/>
        <v>0352480F</v>
      </c>
      <c r="G27" t="str">
        <f t="shared" si="1"/>
        <v>O</v>
      </c>
      <c r="H27">
        <v>10</v>
      </c>
      <c r="I27">
        <v>2004</v>
      </c>
      <c r="J27">
        <v>2</v>
      </c>
      <c r="K27" t="str">
        <f t="shared" si="7"/>
        <v>NBGE</v>
      </c>
      <c r="L27">
        <v>17</v>
      </c>
      <c r="M27">
        <v>2022</v>
      </c>
      <c r="N27" t="str">
        <f t="shared" si="6"/>
        <v>D</v>
      </c>
      <c r="O27" t="str">
        <f>"D"</f>
        <v>D</v>
      </c>
      <c r="P27">
        <v>0</v>
      </c>
      <c r="Q27">
        <v>100</v>
      </c>
      <c r="R27">
        <v>100</v>
      </c>
      <c r="S27">
        <v>35170</v>
      </c>
      <c r="T27">
        <v>100</v>
      </c>
      <c r="U27">
        <v>35170</v>
      </c>
      <c r="V27" t="str">
        <f>""</f>
        <v/>
      </c>
      <c r="W27">
        <v>85</v>
      </c>
      <c r="X27">
        <v>0</v>
      </c>
      <c r="Y27">
        <v>6000577</v>
      </c>
      <c r="Z27">
        <v>1</v>
      </c>
      <c r="AA27">
        <v>27</v>
      </c>
      <c r="AB27" t="str">
        <f>""</f>
        <v/>
      </c>
      <c r="AC27" t="str">
        <f>""</f>
        <v/>
      </c>
      <c r="AD27" t="str">
        <f>""</f>
        <v/>
      </c>
      <c r="AE27">
        <v>2022</v>
      </c>
      <c r="AF27">
        <v>2024</v>
      </c>
      <c r="AG27" t="str">
        <f>"Bruz"</f>
        <v>Bruz</v>
      </c>
      <c r="AH27" t="str">
        <f>"Bruz"</f>
        <v>Bruz</v>
      </c>
      <c r="AI27" t="str">
        <f>""</f>
        <v/>
      </c>
      <c r="AJ27" t="str">
        <f>""</f>
        <v/>
      </c>
      <c r="AK27" t="str">
        <f>""</f>
        <v/>
      </c>
      <c r="AL27">
        <v>37</v>
      </c>
      <c r="AM27" t="str">
        <f>""</f>
        <v/>
      </c>
      <c r="AN27" t="str">
        <f>""</f>
        <v/>
      </c>
      <c r="AO27" t="str">
        <f>"Lycée Guist'hau"</f>
        <v>Lycée Guist'hau</v>
      </c>
      <c r="AP27" t="str">
        <f>"NANTES"</f>
        <v>NANTES</v>
      </c>
      <c r="AQ27" t="str">
        <f>"Nantes"</f>
        <v>Nantes</v>
      </c>
    </row>
    <row r="28" spans="1:43" x14ac:dyDescent="0.25">
      <c r="A28" t="str">
        <f t="shared" si="3"/>
        <v>1A,1A Eco,1A Att,T00000</v>
      </c>
      <c r="B28" t="str">
        <f>"ROBIN"</f>
        <v>ROBIN</v>
      </c>
      <c r="C28" t="str">
        <f>"Claire"</f>
        <v>Claire</v>
      </c>
      <c r="D28" t="str">
        <f>"024-2764"</f>
        <v>024-2764</v>
      </c>
      <c r="E28" t="str">
        <f>"153161291GA"</f>
        <v>153161291GA</v>
      </c>
      <c r="F28" t="str">
        <f t="shared" si="0"/>
        <v>0352480F</v>
      </c>
      <c r="G28" t="str">
        <f t="shared" si="1"/>
        <v>O</v>
      </c>
      <c r="H28">
        <v>10</v>
      </c>
      <c r="I28">
        <v>2005</v>
      </c>
      <c r="J28">
        <v>2</v>
      </c>
      <c r="K28" t="str">
        <f t="shared" si="7"/>
        <v>NBGE</v>
      </c>
      <c r="L28">
        <v>12</v>
      </c>
      <c r="M28">
        <v>2022</v>
      </c>
      <c r="N28" t="str">
        <f t="shared" si="6"/>
        <v>D</v>
      </c>
      <c r="O28" t="str">
        <f>"A"</f>
        <v>A</v>
      </c>
      <c r="P28">
        <v>0</v>
      </c>
      <c r="Q28">
        <v>100</v>
      </c>
      <c r="R28">
        <v>100</v>
      </c>
      <c r="S28">
        <v>35410</v>
      </c>
      <c r="T28">
        <v>100</v>
      </c>
      <c r="U28">
        <v>35410</v>
      </c>
      <c r="V28" t="str">
        <f>""</f>
        <v/>
      </c>
      <c r="W28">
        <v>31</v>
      </c>
      <c r="X28">
        <v>0</v>
      </c>
      <c r="Y28">
        <v>6000577</v>
      </c>
      <c r="Z28">
        <v>1</v>
      </c>
      <c r="AA28">
        <v>27</v>
      </c>
      <c r="AB28" t="str">
        <f>""</f>
        <v/>
      </c>
      <c r="AC28" t="str">
        <f>""</f>
        <v/>
      </c>
      <c r="AD28" t="str">
        <f>""</f>
        <v/>
      </c>
      <c r="AE28">
        <v>2022</v>
      </c>
      <c r="AF28">
        <v>2024</v>
      </c>
      <c r="AG28" t="str">
        <f>"Laillé"</f>
        <v>Laillé</v>
      </c>
      <c r="AH28" t="str">
        <f>"Laillé"</f>
        <v>Laillé</v>
      </c>
      <c r="AI28" t="str">
        <f>""</f>
        <v/>
      </c>
      <c r="AJ28" t="str">
        <f>""</f>
        <v/>
      </c>
      <c r="AK28" t="str">
        <f>""</f>
        <v/>
      </c>
      <c r="AL28">
        <v>34</v>
      </c>
      <c r="AM28" t="str">
        <f>""</f>
        <v/>
      </c>
      <c r="AN28" t="str">
        <f>""</f>
        <v/>
      </c>
      <c r="AO28" t="str">
        <f>"Lycée Beau Jardin"</f>
        <v>Lycée Beau Jardin</v>
      </c>
      <c r="AP28" t="str">
        <f>"SAINT-DIÉ-DES-VOSGES"</f>
        <v>SAINT-DIÉ-DES-VOSGES</v>
      </c>
      <c r="AQ28" t="str">
        <f>"Nancy-Metz"</f>
        <v>Nancy-Metz</v>
      </c>
    </row>
    <row r="29" spans="1:43" x14ac:dyDescent="0.25">
      <c r="A29" t="str">
        <f t="shared" si="3"/>
        <v>1A,1A Eco,1A Att,T00000</v>
      </c>
      <c r="B29" t="str">
        <f>"SCICLUNA"</f>
        <v>SCICLUNA</v>
      </c>
      <c r="C29" t="str">
        <f>"Lilian"</f>
        <v>Lilian</v>
      </c>
      <c r="D29" t="str">
        <f>"024-2690"</f>
        <v>024-2690</v>
      </c>
      <c r="E29" t="str">
        <f>"071859488FC"</f>
        <v>071859488FC</v>
      </c>
      <c r="F29" t="str">
        <f t="shared" si="0"/>
        <v>0352480F</v>
      </c>
      <c r="G29" t="str">
        <f t="shared" si="1"/>
        <v>O</v>
      </c>
      <c r="H29">
        <v>10</v>
      </c>
      <c r="I29">
        <v>2004</v>
      </c>
      <c r="J29">
        <v>1</v>
      </c>
      <c r="K29" t="str">
        <f t="shared" si="7"/>
        <v>NBGE</v>
      </c>
      <c r="L29">
        <v>11</v>
      </c>
      <c r="M29">
        <v>2022</v>
      </c>
      <c r="N29" t="str">
        <f t="shared" si="6"/>
        <v>D</v>
      </c>
      <c r="O29" t="str">
        <f>""</f>
        <v/>
      </c>
      <c r="P29">
        <v>0</v>
      </c>
      <c r="Q29">
        <v>100</v>
      </c>
      <c r="R29">
        <v>100</v>
      </c>
      <c r="S29" t="str">
        <f>""</f>
        <v/>
      </c>
      <c r="T29">
        <v>100</v>
      </c>
      <c r="U29" t="str">
        <f>""</f>
        <v/>
      </c>
      <c r="V29" t="str">
        <f>""</f>
        <v/>
      </c>
      <c r="W29">
        <v>33</v>
      </c>
      <c r="X29">
        <v>0</v>
      </c>
      <c r="Y29">
        <v>6000577</v>
      </c>
      <c r="Z29">
        <v>1</v>
      </c>
      <c r="AA29">
        <v>27</v>
      </c>
      <c r="AB29" t="str">
        <f>""</f>
        <v/>
      </c>
      <c r="AC29" t="str">
        <f>""</f>
        <v/>
      </c>
      <c r="AD29" t="str">
        <f>""</f>
        <v/>
      </c>
      <c r="AE29">
        <v>2022</v>
      </c>
      <c r="AF29">
        <v>2024</v>
      </c>
      <c r="AG29" t="str">
        <f>""</f>
        <v/>
      </c>
      <c r="AH29" t="str">
        <f>""</f>
        <v/>
      </c>
      <c r="AI29" t="str">
        <f>""</f>
        <v/>
      </c>
      <c r="AJ29" t="str">
        <f>""</f>
        <v/>
      </c>
      <c r="AK29" t="str">
        <f>""</f>
        <v/>
      </c>
      <c r="AL29">
        <v>47</v>
      </c>
      <c r="AM29" t="str">
        <f>""</f>
        <v/>
      </c>
      <c r="AN29" t="str">
        <f>""</f>
        <v/>
      </c>
      <c r="AO29" t="str">
        <f>"Jean Mermoz"</f>
        <v>Jean Mermoz</v>
      </c>
      <c r="AP29" t="str">
        <f>"MONTPELLIER"</f>
        <v>MONTPELLIER</v>
      </c>
      <c r="AQ29" t="str">
        <f>"Montpellier"</f>
        <v>Montpellier</v>
      </c>
    </row>
    <row r="30" spans="1:43" x14ac:dyDescent="0.25">
      <c r="A30" t="str">
        <f t="shared" si="3"/>
        <v>1A,1A Eco,1A Att,T00000</v>
      </c>
      <c r="B30" t="str">
        <f>"STREMSDOERFER"</f>
        <v>STREMSDOERFER</v>
      </c>
      <c r="C30" t="str">
        <f>"Gabriel"</f>
        <v>Gabriel</v>
      </c>
      <c r="D30" t="str">
        <f>"024-2671"</f>
        <v>024-2671</v>
      </c>
      <c r="E30" t="str">
        <f>"090351698BK"</f>
        <v>090351698BK</v>
      </c>
      <c r="F30" t="str">
        <f t="shared" si="0"/>
        <v>0352480F</v>
      </c>
      <c r="G30" t="str">
        <f t="shared" si="1"/>
        <v>O</v>
      </c>
      <c r="H30">
        <v>10</v>
      </c>
      <c r="I30">
        <v>2003</v>
      </c>
      <c r="J30">
        <v>1</v>
      </c>
      <c r="K30" t="str">
        <f t="shared" si="7"/>
        <v>NBGE</v>
      </c>
      <c r="L30">
        <v>9</v>
      </c>
      <c r="M30">
        <v>2021</v>
      </c>
      <c r="N30" t="str">
        <f t="shared" si="6"/>
        <v>D</v>
      </c>
      <c r="O30" t="str">
        <f>"N"</f>
        <v>N</v>
      </c>
      <c r="P30">
        <v>0</v>
      </c>
      <c r="Q30">
        <v>100</v>
      </c>
      <c r="R30">
        <v>100</v>
      </c>
      <c r="S30">
        <v>59500</v>
      </c>
      <c r="T30">
        <v>100</v>
      </c>
      <c r="U30">
        <v>59500</v>
      </c>
      <c r="V30" t="str">
        <f>""</f>
        <v/>
      </c>
      <c r="W30">
        <v>38</v>
      </c>
      <c r="X30">
        <v>0</v>
      </c>
      <c r="Y30">
        <v>6000577</v>
      </c>
      <c r="Z30">
        <v>1</v>
      </c>
      <c r="AA30">
        <v>27</v>
      </c>
      <c r="AB30" t="str">
        <f>""</f>
        <v/>
      </c>
      <c r="AC30" t="str">
        <f>""</f>
        <v/>
      </c>
      <c r="AD30" t="str">
        <f>""</f>
        <v/>
      </c>
      <c r="AE30">
        <v>2021</v>
      </c>
      <c r="AF30">
        <v>2024</v>
      </c>
      <c r="AG30" t="str">
        <f>""</f>
        <v/>
      </c>
      <c r="AH30" t="str">
        <f>""</f>
        <v/>
      </c>
      <c r="AI30" t="str">
        <f>""</f>
        <v/>
      </c>
      <c r="AJ30" t="str">
        <f>""</f>
        <v/>
      </c>
      <c r="AK30" t="str">
        <f>""</f>
        <v/>
      </c>
      <c r="AL30">
        <v>31</v>
      </c>
      <c r="AM30" t="str">
        <f>""</f>
        <v/>
      </c>
      <c r="AN30" t="str">
        <f>""</f>
        <v/>
      </c>
      <c r="AO30" t="str">
        <f>"Albert Châtelet"</f>
        <v>Albert Châtelet</v>
      </c>
      <c r="AP30" t="str">
        <f>"DOUAI"</f>
        <v>DOUAI</v>
      </c>
      <c r="AQ30" t="str">
        <f>"Lille"</f>
        <v>Lille</v>
      </c>
    </row>
    <row r="31" spans="1:43" x14ac:dyDescent="0.25">
      <c r="A31" t="str">
        <f t="shared" si="3"/>
        <v>1A,1A Eco,1A Att,T00000</v>
      </c>
      <c r="B31" t="str">
        <f>"THAYANANTHARAJAH"</f>
        <v>THAYANANTHARAJAH</v>
      </c>
      <c r="C31" t="str">
        <f>"Denis"</f>
        <v>Denis</v>
      </c>
      <c r="D31" t="str">
        <f>"024-2679"</f>
        <v>024-2679</v>
      </c>
      <c r="E31" t="str">
        <f>"153026990BG"</f>
        <v>153026990BG</v>
      </c>
      <c r="F31" t="str">
        <f t="shared" si="0"/>
        <v>0352480F</v>
      </c>
      <c r="G31" t="str">
        <f t="shared" si="1"/>
        <v>O</v>
      </c>
      <c r="H31">
        <v>10</v>
      </c>
      <c r="I31">
        <v>2004</v>
      </c>
      <c r="J31">
        <v>1</v>
      </c>
      <c r="K31" t="str">
        <f t="shared" si="7"/>
        <v>NBGE</v>
      </c>
      <c r="L31">
        <v>24</v>
      </c>
      <c r="M31">
        <v>2022</v>
      </c>
      <c r="N31" t="str">
        <f t="shared" si="6"/>
        <v>D</v>
      </c>
      <c r="O31" t="str">
        <f>"D"</f>
        <v>D</v>
      </c>
      <c r="P31">
        <v>0</v>
      </c>
      <c r="Q31">
        <v>100</v>
      </c>
      <c r="R31">
        <v>100</v>
      </c>
      <c r="S31">
        <v>35170</v>
      </c>
      <c r="T31">
        <v>100</v>
      </c>
      <c r="U31">
        <v>35170</v>
      </c>
      <c r="V31" t="str">
        <f>""</f>
        <v/>
      </c>
      <c r="W31">
        <v>45</v>
      </c>
      <c r="X31">
        <v>0</v>
      </c>
      <c r="Y31">
        <v>6000577</v>
      </c>
      <c r="Z31">
        <v>1</v>
      </c>
      <c r="AA31">
        <v>27</v>
      </c>
      <c r="AB31" t="str">
        <f>""</f>
        <v/>
      </c>
      <c r="AC31" t="str">
        <f>""</f>
        <v/>
      </c>
      <c r="AD31" t="str">
        <f>""</f>
        <v/>
      </c>
      <c r="AE31">
        <v>2022</v>
      </c>
      <c r="AF31">
        <v>2024</v>
      </c>
      <c r="AG31" t="str">
        <f>"Bruz"</f>
        <v>Bruz</v>
      </c>
      <c r="AH31" t="str">
        <f>"Bruz"</f>
        <v>Bruz</v>
      </c>
      <c r="AI31" t="str">
        <f>""</f>
        <v/>
      </c>
      <c r="AJ31" t="str">
        <f>""</f>
        <v/>
      </c>
      <c r="AK31" t="str">
        <f>""</f>
        <v/>
      </c>
      <c r="AL31">
        <v>55</v>
      </c>
      <c r="AM31" t="str">
        <f>""</f>
        <v/>
      </c>
      <c r="AN31" t="str">
        <f>""</f>
        <v/>
      </c>
      <c r="AO31" t="str">
        <f>"Germaine Tillon"</f>
        <v>Germaine Tillon</v>
      </c>
      <c r="AP31" t="str">
        <f>"LE BOURGET"</f>
        <v>LE BOURGET</v>
      </c>
      <c r="AQ31" t="str">
        <f>"Créteil"</f>
        <v>Créteil</v>
      </c>
    </row>
    <row r="32" spans="1:43" x14ac:dyDescent="0.25">
      <c r="A32" t="str">
        <f t="shared" si="3"/>
        <v>1A,1A Eco,1A Att,T00000</v>
      </c>
      <c r="B32" t="str">
        <f>"VOINSON"</f>
        <v>VOINSON</v>
      </c>
      <c r="C32" t="str">
        <f>"Maxine"</f>
        <v>Maxine</v>
      </c>
      <c r="D32" t="str">
        <f>"024-2619"</f>
        <v>024-2619</v>
      </c>
      <c r="E32" t="str">
        <f>"080191901DG"</f>
        <v>080191901DG</v>
      </c>
      <c r="F32" t="str">
        <f t="shared" si="0"/>
        <v>0352480F</v>
      </c>
      <c r="G32" t="str">
        <f t="shared" si="1"/>
        <v>O</v>
      </c>
      <c r="H32">
        <v>10</v>
      </c>
      <c r="I32">
        <v>2005</v>
      </c>
      <c r="J32">
        <v>2</v>
      </c>
      <c r="K32" t="str">
        <f t="shared" si="7"/>
        <v>NBGE</v>
      </c>
      <c r="L32">
        <v>16</v>
      </c>
      <c r="M32">
        <v>2022</v>
      </c>
      <c r="N32" t="str">
        <f t="shared" si="6"/>
        <v>D</v>
      </c>
      <c r="O32" t="str">
        <f>"D"</f>
        <v>D</v>
      </c>
      <c r="P32">
        <v>0</v>
      </c>
      <c r="Q32">
        <v>100</v>
      </c>
      <c r="R32">
        <v>100</v>
      </c>
      <c r="S32">
        <v>35136</v>
      </c>
      <c r="T32">
        <v>100</v>
      </c>
      <c r="U32">
        <v>35136</v>
      </c>
      <c r="V32" t="str">
        <f>""</f>
        <v/>
      </c>
      <c r="W32">
        <v>37</v>
      </c>
      <c r="X32">
        <v>0</v>
      </c>
      <c r="Y32">
        <v>6000577</v>
      </c>
      <c r="Z32">
        <v>1</v>
      </c>
      <c r="AA32">
        <v>27</v>
      </c>
      <c r="AB32" t="str">
        <f>""</f>
        <v/>
      </c>
      <c r="AC32" t="str">
        <f>""</f>
        <v/>
      </c>
      <c r="AD32" t="str">
        <f>""</f>
        <v/>
      </c>
      <c r="AE32">
        <v>2022</v>
      </c>
      <c r="AF32">
        <v>2024</v>
      </c>
      <c r="AG32" t="str">
        <f>"Saint-Jacques-de-la-Lande"</f>
        <v>Saint-Jacques-de-la-Lande</v>
      </c>
      <c r="AH32" t="str">
        <f>"Saint-Jacques-de-la-Lande"</f>
        <v>Saint-Jacques-de-la-Lande</v>
      </c>
      <c r="AI32" t="str">
        <f>""</f>
        <v/>
      </c>
      <c r="AJ32" t="str">
        <f>""</f>
        <v/>
      </c>
      <c r="AK32" t="str">
        <f>""</f>
        <v/>
      </c>
      <c r="AL32">
        <v>37</v>
      </c>
      <c r="AM32" t="str">
        <f>""</f>
        <v/>
      </c>
      <c r="AN32" t="str">
        <f>""</f>
        <v/>
      </c>
      <c r="AO32" t="str">
        <f>"Lycée Toulouse Lautrec"</f>
        <v>Lycée Toulouse Lautrec</v>
      </c>
      <c r="AP32" t="str">
        <f>"TOULOUSE"</f>
        <v>TOULOUSE</v>
      </c>
      <c r="AQ32" t="str">
        <f>"Toulouse"</f>
        <v>Toulouse</v>
      </c>
    </row>
    <row r="33" spans="1:43" x14ac:dyDescent="0.25">
      <c r="A33" t="str">
        <f t="shared" ref="A33:A49" si="8">"1A,1A Eco,1A Ing,T00000"</f>
        <v>1A,1A Eco,1A Ing,T00000</v>
      </c>
      <c r="B33" t="str">
        <f>"ATMANI"</f>
        <v>ATMANI</v>
      </c>
      <c r="C33" t="str">
        <f>"Siham"</f>
        <v>Siham</v>
      </c>
      <c r="D33" t="str">
        <f>"024-2650"</f>
        <v>024-2650</v>
      </c>
      <c r="E33" t="str">
        <f>"060142117BH"</f>
        <v>060142117BH</v>
      </c>
      <c r="F33" t="str">
        <f t="shared" si="0"/>
        <v>0352480F</v>
      </c>
      <c r="G33" t="str">
        <f t="shared" si="1"/>
        <v>O</v>
      </c>
      <c r="H33">
        <v>10</v>
      </c>
      <c r="I33">
        <v>2003</v>
      </c>
      <c r="J33">
        <v>2</v>
      </c>
      <c r="K33" t="str">
        <f t="shared" si="7"/>
        <v>NBGE</v>
      </c>
      <c r="L33">
        <v>11</v>
      </c>
      <c r="M33">
        <v>2021</v>
      </c>
      <c r="N33" t="str">
        <f>""</f>
        <v/>
      </c>
      <c r="O33" t="str">
        <f>"N"</f>
        <v>N</v>
      </c>
      <c r="P33">
        <v>0</v>
      </c>
      <c r="Q33">
        <v>100</v>
      </c>
      <c r="R33">
        <v>100</v>
      </c>
      <c r="S33">
        <v>35000</v>
      </c>
      <c r="T33">
        <v>100</v>
      </c>
      <c r="U33">
        <v>35000</v>
      </c>
      <c r="V33" t="str">
        <f>""</f>
        <v/>
      </c>
      <c r="W33">
        <v>0</v>
      </c>
      <c r="X33">
        <v>0</v>
      </c>
      <c r="Y33">
        <v>6000577</v>
      </c>
      <c r="Z33">
        <v>1</v>
      </c>
      <c r="AA33">
        <v>27</v>
      </c>
      <c r="AB33" t="str">
        <f>""</f>
        <v/>
      </c>
      <c r="AC33" t="str">
        <f>""</f>
        <v/>
      </c>
      <c r="AD33" t="str">
        <f>""</f>
        <v/>
      </c>
      <c r="AE33">
        <v>2021</v>
      </c>
      <c r="AF33">
        <v>2024</v>
      </c>
      <c r="AG33" t="str">
        <f>"RENNES"</f>
        <v>RENNES</v>
      </c>
      <c r="AH33" t="str">
        <f>"RENNES"</f>
        <v>RENNES</v>
      </c>
      <c r="AI33" t="str">
        <f>""</f>
        <v/>
      </c>
      <c r="AJ33" t="str">
        <f>""</f>
        <v/>
      </c>
      <c r="AK33" t="str">
        <f>""</f>
        <v/>
      </c>
      <c r="AL33">
        <v>0</v>
      </c>
      <c r="AM33" t="str">
        <f>""</f>
        <v/>
      </c>
      <c r="AN33" t="str">
        <f>""</f>
        <v/>
      </c>
      <c r="AO33" t="str">
        <f>"Jean Moulin"</f>
        <v>Jean Moulin</v>
      </c>
      <c r="AP33" t="str">
        <f>"BÉZIERS"</f>
        <v>BÉZIERS</v>
      </c>
      <c r="AQ33" t="str">
        <f>"Montpellier"</f>
        <v>Montpellier</v>
      </c>
    </row>
    <row r="34" spans="1:43" x14ac:dyDescent="0.25">
      <c r="A34" t="str">
        <f t="shared" si="8"/>
        <v>1A,1A Eco,1A Ing,T00000</v>
      </c>
      <c r="B34" t="str">
        <f>"BEAUJEAN"</f>
        <v>BEAUJEAN</v>
      </c>
      <c r="C34" t="str">
        <f>"Sacha"</f>
        <v>Sacha</v>
      </c>
      <c r="D34" t="str">
        <f>"024-2669"</f>
        <v>024-2669</v>
      </c>
      <c r="E34" t="str">
        <f>"071867506JF"</f>
        <v>071867506JF</v>
      </c>
      <c r="F34" t="str">
        <f t="shared" si="0"/>
        <v>0352480F</v>
      </c>
      <c r="G34" t="str">
        <f t="shared" si="1"/>
        <v>O</v>
      </c>
      <c r="H34">
        <v>10</v>
      </c>
      <c r="I34">
        <v>2003</v>
      </c>
      <c r="J34">
        <v>2</v>
      </c>
      <c r="K34" t="str">
        <f t="shared" si="7"/>
        <v>NBGE</v>
      </c>
      <c r="L34">
        <v>7</v>
      </c>
      <c r="M34">
        <v>2021</v>
      </c>
      <c r="N34" t="str">
        <f>"D"</f>
        <v>D</v>
      </c>
      <c r="O34" t="str">
        <f>"D"</f>
        <v>D</v>
      </c>
      <c r="P34">
        <v>0</v>
      </c>
      <c r="Q34">
        <v>100</v>
      </c>
      <c r="R34">
        <v>100</v>
      </c>
      <c r="S34">
        <v>35000</v>
      </c>
      <c r="T34">
        <v>100</v>
      </c>
      <c r="U34">
        <v>35000</v>
      </c>
      <c r="V34" t="str">
        <f>""</f>
        <v/>
      </c>
      <c r="W34">
        <v>42</v>
      </c>
      <c r="X34">
        <v>0</v>
      </c>
      <c r="Y34">
        <v>6000577</v>
      </c>
      <c r="Z34">
        <v>1</v>
      </c>
      <c r="AA34">
        <v>27</v>
      </c>
      <c r="AB34" t="str">
        <f>""</f>
        <v/>
      </c>
      <c r="AC34" t="str">
        <f>""</f>
        <v/>
      </c>
      <c r="AD34" t="str">
        <f>""</f>
        <v/>
      </c>
      <c r="AE34">
        <v>2021</v>
      </c>
      <c r="AF34">
        <v>2024</v>
      </c>
      <c r="AG34" t="str">
        <f>"Rennes"</f>
        <v>Rennes</v>
      </c>
      <c r="AH34" t="str">
        <f>"Rennes"</f>
        <v>Rennes</v>
      </c>
      <c r="AI34" t="str">
        <f>""</f>
        <v/>
      </c>
      <c r="AJ34" t="str">
        <f>""</f>
        <v/>
      </c>
      <c r="AK34" t="str">
        <f>""</f>
        <v/>
      </c>
      <c r="AL34">
        <v>85</v>
      </c>
      <c r="AM34" t="str">
        <f>""</f>
        <v/>
      </c>
      <c r="AN34" t="str">
        <f>""</f>
        <v/>
      </c>
      <c r="AO34" t="str">
        <f>"Lycée Joseph Fourier"</f>
        <v>Lycée Joseph Fourier</v>
      </c>
      <c r="AP34" t="str">
        <f>"AUXERRE"</f>
        <v>AUXERRE</v>
      </c>
      <c r="AQ34" t="str">
        <f>"Dijon"</f>
        <v>Dijon</v>
      </c>
    </row>
    <row r="35" spans="1:43" x14ac:dyDescent="0.25">
      <c r="A35" t="str">
        <f t="shared" si="8"/>
        <v>1A,1A Eco,1A Ing,T00000</v>
      </c>
      <c r="B35" t="str">
        <f>"BILLAUDAZ"</f>
        <v>BILLAUDAZ</v>
      </c>
      <c r="C35" t="str">
        <f>"Quentin"</f>
        <v>Quentin</v>
      </c>
      <c r="D35" t="str">
        <f>"024-2634"</f>
        <v>024-2634</v>
      </c>
      <c r="E35" t="str">
        <f>"111046778JD"</f>
        <v>111046778JD</v>
      </c>
      <c r="F35" t="str">
        <f t="shared" si="0"/>
        <v>0352480F</v>
      </c>
      <c r="G35" t="str">
        <f t="shared" si="1"/>
        <v>O</v>
      </c>
      <c r="H35">
        <v>10</v>
      </c>
      <c r="I35">
        <v>2003</v>
      </c>
      <c r="J35">
        <v>1</v>
      </c>
      <c r="K35" t="str">
        <f t="shared" si="7"/>
        <v>NBGE</v>
      </c>
      <c r="L35">
        <v>10</v>
      </c>
      <c r="M35">
        <v>2021</v>
      </c>
      <c r="N35" t="str">
        <f>"H"</f>
        <v>H</v>
      </c>
      <c r="O35" t="str">
        <f>"N"</f>
        <v>N</v>
      </c>
      <c r="P35">
        <v>0</v>
      </c>
      <c r="Q35">
        <v>100</v>
      </c>
      <c r="R35">
        <v>100</v>
      </c>
      <c r="S35">
        <v>35510</v>
      </c>
      <c r="T35">
        <v>100</v>
      </c>
      <c r="U35">
        <v>35510</v>
      </c>
      <c r="V35" t="str">
        <f>""</f>
        <v/>
      </c>
      <c r="W35">
        <v>0</v>
      </c>
      <c r="X35">
        <v>0</v>
      </c>
      <c r="Y35">
        <v>6000577</v>
      </c>
      <c r="Z35">
        <v>1</v>
      </c>
      <c r="AA35">
        <v>27</v>
      </c>
      <c r="AB35" t="str">
        <f>""</f>
        <v/>
      </c>
      <c r="AC35" t="str">
        <f>""</f>
        <v/>
      </c>
      <c r="AD35" t="str">
        <f>""</f>
        <v/>
      </c>
      <c r="AE35" t="str">
        <f>""</f>
        <v/>
      </c>
      <c r="AF35">
        <v>2024</v>
      </c>
      <c r="AG35" t="str">
        <f>"CESSON SEVIGNE"</f>
        <v>CESSON SEVIGNE</v>
      </c>
      <c r="AH35" t="str">
        <f>"CESSON SEVIGNE"</f>
        <v>CESSON SEVIGNE</v>
      </c>
      <c r="AI35" t="str">
        <f>""</f>
        <v/>
      </c>
      <c r="AJ35" t="str">
        <f>""</f>
        <v/>
      </c>
      <c r="AK35" t="str">
        <f>""</f>
        <v/>
      </c>
      <c r="AL35">
        <v>43</v>
      </c>
      <c r="AM35" t="str">
        <f>""</f>
        <v/>
      </c>
      <c r="AN35" t="str">
        <f>""</f>
        <v/>
      </c>
      <c r="AO35" t="str">
        <f>"Notre Dame des Minimes"</f>
        <v>Notre Dame des Minimes</v>
      </c>
      <c r="AP35" t="str">
        <f>"LYON 69005"</f>
        <v>LYON 69005</v>
      </c>
      <c r="AQ35" t="str">
        <f>"Lyon"</f>
        <v>Lyon</v>
      </c>
    </row>
    <row r="36" spans="1:43" x14ac:dyDescent="0.25">
      <c r="A36" t="str">
        <f t="shared" si="8"/>
        <v>1A,1A Eco,1A Ing,T00000</v>
      </c>
      <c r="B36" t="str">
        <f>"DANSOU"</f>
        <v>DANSOU</v>
      </c>
      <c r="C36" t="str">
        <f>"Victoire"</f>
        <v>Victoire</v>
      </c>
      <c r="D36" t="str">
        <f>"024-2644"</f>
        <v>024-2644</v>
      </c>
      <c r="E36" t="str">
        <f>"223455138HG"</f>
        <v>223455138HG</v>
      </c>
      <c r="F36" t="str">
        <f t="shared" si="0"/>
        <v>0352480F</v>
      </c>
      <c r="G36" t="str">
        <f t="shared" si="1"/>
        <v>O</v>
      </c>
      <c r="H36">
        <v>10</v>
      </c>
      <c r="I36">
        <v>2000</v>
      </c>
      <c r="J36">
        <v>2</v>
      </c>
      <c r="K36" t="str">
        <f>"S"</f>
        <v>S</v>
      </c>
      <c r="L36">
        <v>0</v>
      </c>
      <c r="M36">
        <v>2019</v>
      </c>
      <c r="N36" t="str">
        <f>"H"</f>
        <v>H</v>
      </c>
      <c r="O36" t="str">
        <f>"N"</f>
        <v>N</v>
      </c>
      <c r="P36">
        <v>0</v>
      </c>
      <c r="Q36">
        <v>327</v>
      </c>
      <c r="R36">
        <v>100</v>
      </c>
      <c r="S36">
        <v>35200</v>
      </c>
      <c r="T36">
        <v>100</v>
      </c>
      <c r="U36">
        <v>35200</v>
      </c>
      <c r="V36" t="str">
        <f>""</f>
        <v/>
      </c>
      <c r="W36">
        <v>99</v>
      </c>
      <c r="X36">
        <v>0</v>
      </c>
      <c r="Y36">
        <v>6000577</v>
      </c>
      <c r="Z36">
        <v>1</v>
      </c>
      <c r="AA36">
        <v>27</v>
      </c>
      <c r="AB36" t="str">
        <f>""</f>
        <v/>
      </c>
      <c r="AC36" t="str">
        <f>""</f>
        <v/>
      </c>
      <c r="AD36" t="str">
        <f>""</f>
        <v/>
      </c>
      <c r="AE36">
        <v>2023</v>
      </c>
      <c r="AF36">
        <v>2024</v>
      </c>
      <c r="AG36" t="str">
        <f>"Rennes"</f>
        <v>Rennes</v>
      </c>
      <c r="AH36" t="str">
        <f>"Rennes"</f>
        <v>Rennes</v>
      </c>
      <c r="AI36" t="str">
        <f>""</f>
        <v/>
      </c>
      <c r="AJ36" t="str">
        <f>""</f>
        <v/>
      </c>
      <c r="AK36" t="str">
        <f>""</f>
        <v/>
      </c>
      <c r="AL36">
        <v>99</v>
      </c>
      <c r="AM36" t="str">
        <f>""</f>
        <v/>
      </c>
      <c r="AN36" t="str">
        <f>""</f>
        <v/>
      </c>
      <c r="AO36" t="str">
        <f>"Collège d'enseignement général &amp;quot:Les pylônes&amp;a"</f>
        <v>Collège d'enseignement général &amp;quot:Les pylônes&amp;a</v>
      </c>
      <c r="AP36" t="str">
        <f>"COTONOU-BÉNIN"</f>
        <v>COTONOU-BÉNIN</v>
      </c>
      <c r="AQ36" t="str">
        <f>"Etranger"</f>
        <v>Etranger</v>
      </c>
    </row>
    <row r="37" spans="1:43" x14ac:dyDescent="0.25">
      <c r="A37" t="str">
        <f t="shared" si="8"/>
        <v>1A,1A Eco,1A Ing,T00000</v>
      </c>
      <c r="B37" t="str">
        <f>"EDDARDOURI"</f>
        <v>EDDARDOURI</v>
      </c>
      <c r="C37" t="str">
        <f>"Houda"</f>
        <v>Houda</v>
      </c>
      <c r="D37" t="str">
        <f>"024-2631"</f>
        <v>024-2631</v>
      </c>
      <c r="E37" t="str">
        <f>"203299140FG"</f>
        <v>203299140FG</v>
      </c>
      <c r="F37" t="str">
        <f t="shared" si="0"/>
        <v>0352480F</v>
      </c>
      <c r="G37" t="str">
        <f t="shared" si="1"/>
        <v>O</v>
      </c>
      <c r="H37">
        <v>10</v>
      </c>
      <c r="I37">
        <v>2003</v>
      </c>
      <c r="J37">
        <v>2</v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>
        <v>0</v>
      </c>
      <c r="Q37">
        <v>350</v>
      </c>
      <c r="R37">
        <v>100</v>
      </c>
      <c r="S37" t="str">
        <f>""</f>
        <v/>
      </c>
      <c r="T37">
        <v>100</v>
      </c>
      <c r="U37" t="str">
        <f>""</f>
        <v/>
      </c>
      <c r="V37" t="str">
        <f>"Demande d'exonération des frais de scolarité, décision prise à la commission des bourses du 28/09/2024"</f>
        <v>Demande d'exonération des frais de scolarité, décision prise à la commission des bourses du 28/09/2024</v>
      </c>
      <c r="W37">
        <v>0</v>
      </c>
      <c r="X37">
        <v>0</v>
      </c>
      <c r="Y37">
        <v>6000577</v>
      </c>
      <c r="Z37">
        <v>1</v>
      </c>
      <c r="AA37">
        <v>27</v>
      </c>
      <c r="AB37" t="str">
        <f>""</f>
        <v/>
      </c>
      <c r="AC37" t="str">
        <f>""</f>
        <v/>
      </c>
      <c r="AD37" t="str">
        <f>""</f>
        <v/>
      </c>
      <c r="AE37">
        <v>2024</v>
      </c>
      <c r="AF37">
        <v>2024</v>
      </c>
      <c r="AG37" t="str">
        <f>""</f>
        <v/>
      </c>
      <c r="AH37" t="str">
        <f>""</f>
        <v/>
      </c>
      <c r="AI37" t="str">
        <f>""</f>
        <v/>
      </c>
      <c r="AJ37" t="str">
        <f>""</f>
        <v/>
      </c>
      <c r="AK37" t="str">
        <f>""</f>
        <v/>
      </c>
      <c r="AL37">
        <v>0</v>
      </c>
      <c r="AM37" t="str">
        <f>""</f>
        <v/>
      </c>
      <c r="AN37" t="str">
        <f>""</f>
        <v/>
      </c>
      <c r="AO37" t="str">
        <f>""</f>
        <v/>
      </c>
      <c r="AP37" t="str">
        <f>""</f>
        <v/>
      </c>
      <c r="AQ37" t="str">
        <f>""</f>
        <v/>
      </c>
    </row>
    <row r="38" spans="1:43" x14ac:dyDescent="0.25">
      <c r="A38" t="str">
        <f t="shared" si="8"/>
        <v>1A,1A Eco,1A Ing,T00000</v>
      </c>
      <c r="B38" t="str">
        <f>"GLUMINEAU"</f>
        <v>GLUMINEAU</v>
      </c>
      <c r="C38" t="str">
        <f>"Martin"</f>
        <v>Martin</v>
      </c>
      <c r="D38" t="str">
        <f>"024-2664"</f>
        <v>024-2664</v>
      </c>
      <c r="E38" t="str">
        <f>"070132898EC"</f>
        <v>070132898EC</v>
      </c>
      <c r="F38" t="str">
        <f t="shared" si="0"/>
        <v>0352480F</v>
      </c>
      <c r="G38" t="str">
        <f t="shared" si="1"/>
        <v>O</v>
      </c>
      <c r="H38">
        <v>10</v>
      </c>
      <c r="I38">
        <v>2004</v>
      </c>
      <c r="J38">
        <v>1</v>
      </c>
      <c r="K38" t="str">
        <f>"NBGE"</f>
        <v>NBGE</v>
      </c>
      <c r="L38">
        <v>18</v>
      </c>
      <c r="M38">
        <v>2022</v>
      </c>
      <c r="N38" t="str">
        <f>"D"</f>
        <v>D</v>
      </c>
      <c r="O38" t="str">
        <f>"D"</f>
        <v>D</v>
      </c>
      <c r="P38">
        <v>0</v>
      </c>
      <c r="Q38">
        <v>100</v>
      </c>
      <c r="R38">
        <v>100</v>
      </c>
      <c r="S38">
        <v>35000</v>
      </c>
      <c r="T38">
        <v>100</v>
      </c>
      <c r="U38">
        <v>35000</v>
      </c>
      <c r="V38" t="str">
        <f>""</f>
        <v/>
      </c>
      <c r="W38">
        <v>31</v>
      </c>
      <c r="X38">
        <v>0</v>
      </c>
      <c r="Y38">
        <v>6000577</v>
      </c>
      <c r="Z38">
        <v>1</v>
      </c>
      <c r="AA38">
        <v>27</v>
      </c>
      <c r="AB38" t="str">
        <f>""</f>
        <v/>
      </c>
      <c r="AC38" t="str">
        <f>""</f>
        <v/>
      </c>
      <c r="AD38" t="str">
        <f>""</f>
        <v/>
      </c>
      <c r="AE38">
        <v>2022</v>
      </c>
      <c r="AF38">
        <v>2024</v>
      </c>
      <c r="AG38" t="str">
        <f>"RENNES"</f>
        <v>RENNES</v>
      </c>
      <c r="AH38" t="str">
        <f>"RENNES"</f>
        <v>RENNES</v>
      </c>
      <c r="AI38" t="str">
        <f>""</f>
        <v/>
      </c>
      <c r="AJ38" t="str">
        <f>""</f>
        <v/>
      </c>
      <c r="AK38" t="str">
        <f>""</f>
        <v/>
      </c>
      <c r="AL38">
        <v>34</v>
      </c>
      <c r="AM38" t="str">
        <f>""</f>
        <v/>
      </c>
      <c r="AN38" t="str">
        <f>""</f>
        <v/>
      </c>
      <c r="AO38" t="str">
        <f>"Descartes"</f>
        <v>Descartes</v>
      </c>
      <c r="AP38" t="str">
        <f>"TOURS"</f>
        <v>TOURS</v>
      </c>
      <c r="AQ38" t="str">
        <f>"Orléans-Tours"</f>
        <v>Orléans-Tours</v>
      </c>
    </row>
    <row r="39" spans="1:43" x14ac:dyDescent="0.25">
      <c r="A39" t="str">
        <f t="shared" si="8"/>
        <v>1A,1A Eco,1A Ing,T00000</v>
      </c>
      <c r="B39" t="str">
        <f>"OZEEL"</f>
        <v>OZEEL</v>
      </c>
      <c r="C39" t="str">
        <f>"Charles"</f>
        <v>Charles</v>
      </c>
      <c r="D39" t="str">
        <f>"024-2640"</f>
        <v>024-2640</v>
      </c>
      <c r="E39" t="str">
        <f>"080930008AC"</f>
        <v>080930008AC</v>
      </c>
      <c r="F39" t="str">
        <f t="shared" si="0"/>
        <v>0352480F</v>
      </c>
      <c r="G39" t="str">
        <f t="shared" si="1"/>
        <v>O</v>
      </c>
      <c r="H39">
        <v>10</v>
      </c>
      <c r="I39">
        <v>2002</v>
      </c>
      <c r="J39">
        <v>1</v>
      </c>
      <c r="K39" t="str">
        <f>"S"</f>
        <v>S</v>
      </c>
      <c r="L39">
        <v>9</v>
      </c>
      <c r="M39">
        <v>2020</v>
      </c>
      <c r="N39" t="str">
        <f>"H"</f>
        <v>H</v>
      </c>
      <c r="O39" t="str">
        <f>"N"</f>
        <v>N</v>
      </c>
      <c r="P39">
        <v>0</v>
      </c>
      <c r="Q39">
        <v>100</v>
      </c>
      <c r="R39">
        <v>100</v>
      </c>
      <c r="S39">
        <v>35170</v>
      </c>
      <c r="T39">
        <v>100</v>
      </c>
      <c r="U39">
        <v>35170</v>
      </c>
      <c r="V39" t="str">
        <f>""</f>
        <v/>
      </c>
      <c r="W39">
        <v>38</v>
      </c>
      <c r="X39">
        <v>0</v>
      </c>
      <c r="Y39">
        <v>6000577</v>
      </c>
      <c r="Z39">
        <v>1</v>
      </c>
      <c r="AA39">
        <v>27</v>
      </c>
      <c r="AB39" t="str">
        <f>""</f>
        <v/>
      </c>
      <c r="AC39" t="str">
        <f>""</f>
        <v/>
      </c>
      <c r="AD39" t="str">
        <f>""</f>
        <v/>
      </c>
      <c r="AE39">
        <v>2020</v>
      </c>
      <c r="AF39">
        <v>2024</v>
      </c>
      <c r="AG39" t="str">
        <f>""</f>
        <v/>
      </c>
      <c r="AH39" t="str">
        <f>""</f>
        <v/>
      </c>
      <c r="AI39" t="str">
        <f>""</f>
        <v/>
      </c>
      <c r="AJ39" t="str">
        <f>""</f>
        <v/>
      </c>
      <c r="AK39" t="str">
        <f>""</f>
        <v/>
      </c>
      <c r="AL39">
        <v>56</v>
      </c>
      <c r="AM39" t="str">
        <f>""</f>
        <v/>
      </c>
      <c r="AN39" t="str">
        <f>""</f>
        <v/>
      </c>
      <c r="AO39" t="str">
        <f>"Mariette"</f>
        <v>Mariette</v>
      </c>
      <c r="AP39" t="str">
        <f>"BOULOGNE SUR MER"</f>
        <v>BOULOGNE SUR MER</v>
      </c>
      <c r="AQ39" t="str">
        <f>"Lille"</f>
        <v>Lille</v>
      </c>
    </row>
    <row r="40" spans="1:43" x14ac:dyDescent="0.25">
      <c r="A40" t="str">
        <f t="shared" si="8"/>
        <v>1A,1A Eco,1A Ing,T00000</v>
      </c>
      <c r="B40" t="str">
        <f>"PUVANENDRAN"</f>
        <v>PUVANENDRAN</v>
      </c>
      <c r="C40" t="str">
        <f>"Swethan"</f>
        <v>Swethan</v>
      </c>
      <c r="D40" t="str">
        <f>"024-2702"</f>
        <v>024-2702</v>
      </c>
      <c r="E40" t="str">
        <f>"233407967CK"</f>
        <v>233407967CK</v>
      </c>
      <c r="F40" t="str">
        <f t="shared" si="0"/>
        <v>0352480F</v>
      </c>
      <c r="G40" t="str">
        <f t="shared" si="1"/>
        <v>O</v>
      </c>
      <c r="H40">
        <v>10</v>
      </c>
      <c r="I40">
        <v>2004</v>
      </c>
      <c r="J40">
        <v>1</v>
      </c>
      <c r="K40" t="str">
        <f>""</f>
        <v/>
      </c>
      <c r="L40" t="str">
        <f>""</f>
        <v/>
      </c>
      <c r="M40" t="str">
        <f>""</f>
        <v/>
      </c>
      <c r="N40" t="str">
        <f>"R"</f>
        <v>R</v>
      </c>
      <c r="O40" t="str">
        <f>"Y"</f>
        <v>Y</v>
      </c>
      <c r="P40">
        <v>0</v>
      </c>
      <c r="Q40">
        <v>100</v>
      </c>
      <c r="R40">
        <v>100</v>
      </c>
      <c r="S40">
        <v>35200</v>
      </c>
      <c r="T40">
        <v>100</v>
      </c>
      <c r="U40">
        <v>35200</v>
      </c>
      <c r="V40" t="str">
        <f>""</f>
        <v/>
      </c>
      <c r="W40">
        <v>55</v>
      </c>
      <c r="X40">
        <v>0</v>
      </c>
      <c r="Y40">
        <v>6000577</v>
      </c>
      <c r="Z40">
        <v>1</v>
      </c>
      <c r="AA40">
        <v>27</v>
      </c>
      <c r="AB40" t="str">
        <f>""</f>
        <v/>
      </c>
      <c r="AC40" t="str">
        <f>""</f>
        <v/>
      </c>
      <c r="AD40" t="str">
        <f>""</f>
        <v/>
      </c>
      <c r="AE40">
        <v>2024</v>
      </c>
      <c r="AF40">
        <v>2024</v>
      </c>
      <c r="AG40" t="str">
        <f>"Rennes"</f>
        <v>Rennes</v>
      </c>
      <c r="AH40" t="str">
        <f>"Rennes"</f>
        <v>Rennes</v>
      </c>
      <c r="AI40" t="str">
        <f>""</f>
        <v/>
      </c>
      <c r="AJ40" t="str">
        <f>""</f>
        <v/>
      </c>
      <c r="AK40" t="str">
        <f>""</f>
        <v/>
      </c>
      <c r="AL40">
        <v>85</v>
      </c>
      <c r="AM40" t="str">
        <f>""</f>
        <v/>
      </c>
      <c r="AN40" t="str">
        <f>""</f>
        <v/>
      </c>
      <c r="AO40" t="str">
        <f>""</f>
        <v/>
      </c>
      <c r="AP40" t="str">
        <f>""</f>
        <v/>
      </c>
      <c r="AQ40" t="str">
        <f>""</f>
        <v/>
      </c>
    </row>
    <row r="41" spans="1:43" x14ac:dyDescent="0.25">
      <c r="A41" t="str">
        <f t="shared" si="8"/>
        <v>1A,1A Eco,1A Ing,T00000</v>
      </c>
      <c r="B41" t="str">
        <f>"QUIROS BENITO"</f>
        <v>QUIROS BENITO</v>
      </c>
      <c r="C41" t="str">
        <f>"Sergio"</f>
        <v>Sergio</v>
      </c>
      <c r="D41" t="str">
        <f>"024-2705"</f>
        <v>024-2705</v>
      </c>
      <c r="E41" t="str">
        <f>"233407979BH"</f>
        <v>233407979BH</v>
      </c>
      <c r="F41" t="str">
        <f t="shared" si="0"/>
        <v>0352480F</v>
      </c>
      <c r="G41" t="str">
        <f t="shared" si="1"/>
        <v>O</v>
      </c>
      <c r="H41">
        <v>10</v>
      </c>
      <c r="I41">
        <v>2003</v>
      </c>
      <c r="J41">
        <v>1</v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>
        <v>0</v>
      </c>
      <c r="Q41">
        <v>134</v>
      </c>
      <c r="R41">
        <v>100</v>
      </c>
      <c r="S41" t="str">
        <f>""</f>
        <v/>
      </c>
      <c r="T41">
        <v>100</v>
      </c>
      <c r="U41" t="str">
        <f>""</f>
        <v/>
      </c>
      <c r="V41" t="str">
        <f>""</f>
        <v/>
      </c>
      <c r="W41">
        <v>0</v>
      </c>
      <c r="X41">
        <v>0</v>
      </c>
      <c r="Y41">
        <v>6000577</v>
      </c>
      <c r="Z41">
        <v>1</v>
      </c>
      <c r="AA41">
        <v>27</v>
      </c>
      <c r="AB41" t="str">
        <f>""</f>
        <v/>
      </c>
      <c r="AC41" t="str">
        <f>""</f>
        <v/>
      </c>
      <c r="AD41" t="str">
        <f>""</f>
        <v/>
      </c>
      <c r="AE41">
        <v>2024</v>
      </c>
      <c r="AF41">
        <v>2024</v>
      </c>
      <c r="AG41" t="str">
        <f>""</f>
        <v/>
      </c>
      <c r="AH41" t="str">
        <f>""</f>
        <v/>
      </c>
      <c r="AI41" t="str">
        <f>""</f>
        <v/>
      </c>
      <c r="AJ41" t="str">
        <f>""</f>
        <v/>
      </c>
      <c r="AK41" t="str">
        <f>""</f>
        <v/>
      </c>
      <c r="AL41">
        <v>0</v>
      </c>
      <c r="AM41" t="str">
        <f>""</f>
        <v/>
      </c>
      <c r="AN41" t="str">
        <f>""</f>
        <v/>
      </c>
      <c r="AO41" t="str">
        <f>""</f>
        <v/>
      </c>
      <c r="AP41" t="str">
        <f>""</f>
        <v/>
      </c>
      <c r="AQ41" t="str">
        <f>""</f>
        <v/>
      </c>
    </row>
    <row r="42" spans="1:43" x14ac:dyDescent="0.25">
      <c r="A42" t="str">
        <f t="shared" si="8"/>
        <v>1A,1A Eco,1A Ing,T00000</v>
      </c>
      <c r="B42" t="str">
        <f>"ROBERT"</f>
        <v>ROBERT</v>
      </c>
      <c r="C42" t="str">
        <f>"Justin"</f>
        <v>Justin</v>
      </c>
      <c r="D42" t="str">
        <f>"024-2699"</f>
        <v>024-2699</v>
      </c>
      <c r="E42" t="str">
        <f>"070817963JJ"</f>
        <v>070817963JJ</v>
      </c>
      <c r="F42" t="str">
        <f t="shared" si="0"/>
        <v>0352480F</v>
      </c>
      <c r="G42" t="str">
        <f t="shared" si="1"/>
        <v>O</v>
      </c>
      <c r="H42">
        <v>10</v>
      </c>
      <c r="I42">
        <v>2004</v>
      </c>
      <c r="J42">
        <v>1</v>
      </c>
      <c r="K42" t="str">
        <f>"NBGE"</f>
        <v>NBGE</v>
      </c>
      <c r="L42">
        <v>11</v>
      </c>
      <c r="M42">
        <v>2022</v>
      </c>
      <c r="N42" t="str">
        <f>"D"</f>
        <v>D</v>
      </c>
      <c r="O42" t="str">
        <f>"A"</f>
        <v>A</v>
      </c>
      <c r="P42">
        <v>0</v>
      </c>
      <c r="Q42">
        <v>100</v>
      </c>
      <c r="R42">
        <v>100</v>
      </c>
      <c r="S42" t="str">
        <f>""</f>
        <v/>
      </c>
      <c r="T42">
        <v>100</v>
      </c>
      <c r="U42" t="str">
        <f>""</f>
        <v/>
      </c>
      <c r="V42" t="str">
        <f>""</f>
        <v/>
      </c>
      <c r="W42">
        <v>34</v>
      </c>
      <c r="X42">
        <v>0</v>
      </c>
      <c r="Y42">
        <v>6000577</v>
      </c>
      <c r="Z42">
        <v>1</v>
      </c>
      <c r="AA42">
        <v>27</v>
      </c>
      <c r="AB42" t="str">
        <f>""</f>
        <v/>
      </c>
      <c r="AC42" t="str">
        <f>""</f>
        <v/>
      </c>
      <c r="AD42" t="str">
        <f>""</f>
        <v/>
      </c>
      <c r="AE42">
        <v>2022</v>
      </c>
      <c r="AF42">
        <v>2024</v>
      </c>
      <c r="AG42" t="str">
        <f>""</f>
        <v/>
      </c>
      <c r="AH42" t="str">
        <f>""</f>
        <v/>
      </c>
      <c r="AI42" t="str">
        <f>""</f>
        <v/>
      </c>
      <c r="AJ42" t="str">
        <f>""</f>
        <v/>
      </c>
      <c r="AK42" t="str">
        <f>""</f>
        <v/>
      </c>
      <c r="AL42">
        <v>99</v>
      </c>
      <c r="AM42" t="str">
        <f>""</f>
        <v/>
      </c>
      <c r="AN42" t="str">
        <f>""</f>
        <v/>
      </c>
      <c r="AO42" t="str">
        <f>"Paul Valéry"</f>
        <v>Paul Valéry</v>
      </c>
      <c r="AP42" t="str">
        <f>"SÈTE"</f>
        <v>SÈTE</v>
      </c>
      <c r="AQ42" t="str">
        <f>"Montpellier"</f>
        <v>Montpellier</v>
      </c>
    </row>
    <row r="43" spans="1:43" x14ac:dyDescent="0.25">
      <c r="A43" t="str">
        <f t="shared" si="8"/>
        <v>1A,1A Eco,1A Ing,T00000</v>
      </c>
      <c r="B43" t="str">
        <f>"RODRIGUEZ BLANCO"</f>
        <v>RODRIGUEZ BLANCO</v>
      </c>
      <c r="C43" t="str">
        <f>"Sergio Antonio"</f>
        <v>Sergio Antonio</v>
      </c>
      <c r="D43" t="str">
        <f>"024-2703"</f>
        <v>024-2703</v>
      </c>
      <c r="E43" t="str">
        <f>"233407975CB"</f>
        <v>233407975CB</v>
      </c>
      <c r="F43" t="str">
        <f t="shared" si="0"/>
        <v>0352480F</v>
      </c>
      <c r="G43" t="str">
        <f t="shared" si="1"/>
        <v>O</v>
      </c>
      <c r="H43">
        <v>10</v>
      </c>
      <c r="I43">
        <v>2003</v>
      </c>
      <c r="J43">
        <v>1</v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>
        <v>0</v>
      </c>
      <c r="Q43">
        <v>134</v>
      </c>
      <c r="R43">
        <v>100</v>
      </c>
      <c r="S43" t="str">
        <f>""</f>
        <v/>
      </c>
      <c r="T43">
        <v>100</v>
      </c>
      <c r="U43" t="str">
        <f>""</f>
        <v/>
      </c>
      <c r="V43" t="str">
        <f>""</f>
        <v/>
      </c>
      <c r="W43">
        <v>0</v>
      </c>
      <c r="X43">
        <v>0</v>
      </c>
      <c r="Y43">
        <v>6000577</v>
      </c>
      <c r="Z43">
        <v>1</v>
      </c>
      <c r="AA43">
        <v>27</v>
      </c>
      <c r="AB43" t="str">
        <f>""</f>
        <v/>
      </c>
      <c r="AC43" t="str">
        <f>""</f>
        <v/>
      </c>
      <c r="AD43" t="str">
        <f>""</f>
        <v/>
      </c>
      <c r="AE43">
        <v>2024</v>
      </c>
      <c r="AF43">
        <v>2024</v>
      </c>
      <c r="AG43" t="str">
        <f>""</f>
        <v/>
      </c>
      <c r="AH43" t="str">
        <f>""</f>
        <v/>
      </c>
      <c r="AI43" t="str">
        <f>""</f>
        <v/>
      </c>
      <c r="AJ43" t="str">
        <f>""</f>
        <v/>
      </c>
      <c r="AK43" t="str">
        <f>""</f>
        <v/>
      </c>
      <c r="AL43">
        <v>0</v>
      </c>
      <c r="AM43" t="str">
        <f>""</f>
        <v/>
      </c>
      <c r="AN43" t="str">
        <f>""</f>
        <v/>
      </c>
      <c r="AO43" t="str">
        <f>""</f>
        <v/>
      </c>
      <c r="AP43" t="str">
        <f>""</f>
        <v/>
      </c>
      <c r="AQ43" t="str">
        <f>""</f>
        <v/>
      </c>
    </row>
    <row r="44" spans="1:43" x14ac:dyDescent="0.25">
      <c r="A44" t="str">
        <f t="shared" si="8"/>
        <v>1A,1A Eco,1A Ing,T00000</v>
      </c>
      <c r="B44" t="str">
        <f>"ROUILLE"</f>
        <v>ROUILLE</v>
      </c>
      <c r="C44" t="str">
        <f>"Albane"</f>
        <v>Albane</v>
      </c>
      <c r="D44" t="str">
        <f>"024-2642"</f>
        <v>024-2642</v>
      </c>
      <c r="E44" t="str">
        <f>"061258660EB"</f>
        <v>061258660EB</v>
      </c>
      <c r="F44" t="str">
        <f t="shared" si="0"/>
        <v>0352480F</v>
      </c>
      <c r="G44" t="str">
        <f t="shared" si="1"/>
        <v>O</v>
      </c>
      <c r="H44">
        <v>10</v>
      </c>
      <c r="I44">
        <v>2003</v>
      </c>
      <c r="J44">
        <v>2</v>
      </c>
      <c r="K44" t="str">
        <f>"NBGE"</f>
        <v>NBGE</v>
      </c>
      <c r="L44">
        <v>14</v>
      </c>
      <c r="M44">
        <v>2021</v>
      </c>
      <c r="N44" t="str">
        <f>"H"</f>
        <v>H</v>
      </c>
      <c r="O44" t="str">
        <f>"N"</f>
        <v>N</v>
      </c>
      <c r="P44">
        <v>0</v>
      </c>
      <c r="Q44">
        <v>100</v>
      </c>
      <c r="R44">
        <v>100</v>
      </c>
      <c r="S44">
        <v>35170</v>
      </c>
      <c r="T44">
        <v>100</v>
      </c>
      <c r="U44">
        <v>35170</v>
      </c>
      <c r="V44" t="str">
        <f>""</f>
        <v/>
      </c>
      <c r="W44">
        <v>34</v>
      </c>
      <c r="X44">
        <v>0</v>
      </c>
      <c r="Y44">
        <v>6000577</v>
      </c>
      <c r="Z44">
        <v>1</v>
      </c>
      <c r="AA44">
        <v>27</v>
      </c>
      <c r="AB44" t="str">
        <f>""</f>
        <v/>
      </c>
      <c r="AC44" t="str">
        <f>""</f>
        <v/>
      </c>
      <c r="AD44" t="str">
        <f>""</f>
        <v/>
      </c>
      <c r="AE44">
        <v>2021</v>
      </c>
      <c r="AF44">
        <v>2024</v>
      </c>
      <c r="AG44" t="str">
        <f>"BRUZ"</f>
        <v>BRUZ</v>
      </c>
      <c r="AH44" t="str">
        <f>"BRUZ"</f>
        <v>BRUZ</v>
      </c>
      <c r="AI44" t="str">
        <f>""</f>
        <v/>
      </c>
      <c r="AJ44" t="str">
        <f>""</f>
        <v/>
      </c>
      <c r="AK44" t="str">
        <f>""</f>
        <v/>
      </c>
      <c r="AL44">
        <v>22</v>
      </c>
      <c r="AM44" t="str">
        <f>""</f>
        <v/>
      </c>
      <c r="AN44" t="str">
        <f>""</f>
        <v/>
      </c>
      <c r="AO44" t="str">
        <f>"Henri Avril"</f>
        <v>Henri Avril</v>
      </c>
      <c r="AP44" t="str">
        <f>"LAMBALLE"</f>
        <v>LAMBALLE</v>
      </c>
      <c r="AQ44" t="str">
        <f>"Rennes"</f>
        <v>Rennes</v>
      </c>
    </row>
    <row r="45" spans="1:43" x14ac:dyDescent="0.25">
      <c r="A45" t="str">
        <f t="shared" si="8"/>
        <v>1A,1A Eco,1A Ing,T00000</v>
      </c>
      <c r="B45" t="str">
        <f>"SIMONNOT"</f>
        <v>SIMONNOT</v>
      </c>
      <c r="C45" t="str">
        <f>"Camille"</f>
        <v>Camille</v>
      </c>
      <c r="D45" t="str">
        <f>"024-2688"</f>
        <v>024-2688</v>
      </c>
      <c r="E45" t="str">
        <f>"070231780AD"</f>
        <v>070231780AD</v>
      </c>
      <c r="F45" t="str">
        <f t="shared" si="0"/>
        <v>0352480F</v>
      </c>
      <c r="G45" t="str">
        <f t="shared" si="1"/>
        <v>O</v>
      </c>
      <c r="H45">
        <v>10</v>
      </c>
      <c r="I45">
        <v>2004</v>
      </c>
      <c r="J45">
        <v>1</v>
      </c>
      <c r="K45" t="str">
        <f>"NBGE"</f>
        <v>NBGE</v>
      </c>
      <c r="L45">
        <v>10</v>
      </c>
      <c r="M45">
        <v>2022</v>
      </c>
      <c r="N45" t="str">
        <f>"D"</f>
        <v>D</v>
      </c>
      <c r="O45" t="str">
        <f>"D"</f>
        <v>D</v>
      </c>
      <c r="P45">
        <v>0</v>
      </c>
      <c r="Q45">
        <v>100</v>
      </c>
      <c r="R45">
        <v>100</v>
      </c>
      <c r="S45" t="str">
        <f>""</f>
        <v/>
      </c>
      <c r="T45">
        <v>100</v>
      </c>
      <c r="U45" t="str">
        <f>""</f>
        <v/>
      </c>
      <c r="V45" t="str">
        <f>""</f>
        <v/>
      </c>
      <c r="W45">
        <v>21</v>
      </c>
      <c r="X45">
        <v>0</v>
      </c>
      <c r="Y45">
        <v>6000577</v>
      </c>
      <c r="Z45">
        <v>1</v>
      </c>
      <c r="AA45">
        <v>27</v>
      </c>
      <c r="AB45" t="str">
        <f>""</f>
        <v/>
      </c>
      <c r="AC45" t="str">
        <f>""</f>
        <v/>
      </c>
      <c r="AD45" t="str">
        <f>""</f>
        <v/>
      </c>
      <c r="AE45">
        <v>2022</v>
      </c>
      <c r="AF45">
        <v>2024</v>
      </c>
      <c r="AG45" t="str">
        <f>""</f>
        <v/>
      </c>
      <c r="AH45" t="str">
        <f>""</f>
        <v/>
      </c>
      <c r="AI45" t="str">
        <f>""</f>
        <v/>
      </c>
      <c r="AJ45" t="str">
        <f>""</f>
        <v/>
      </c>
      <c r="AK45" t="str">
        <f>""</f>
        <v/>
      </c>
      <c r="AL45">
        <v>45</v>
      </c>
      <c r="AM45" t="str">
        <f>""</f>
        <v/>
      </c>
      <c r="AN45" t="str">
        <f>""</f>
        <v/>
      </c>
      <c r="AO45" t="str">
        <f>"Germaine Tillion"</f>
        <v>Germaine Tillion</v>
      </c>
      <c r="AP45" t="str">
        <f>"SAIN BEL"</f>
        <v>SAIN BEL</v>
      </c>
      <c r="AQ45" t="str">
        <f>"Lyon"</f>
        <v>Lyon</v>
      </c>
    </row>
    <row r="46" spans="1:43" x14ac:dyDescent="0.25">
      <c r="A46" t="str">
        <f t="shared" si="8"/>
        <v>1A,1A Eco,1A Ing,T00000</v>
      </c>
      <c r="B46" t="str">
        <f>"TALBOT"</f>
        <v>TALBOT</v>
      </c>
      <c r="C46" t="str">
        <f>"Tristan"</f>
        <v>Tristan</v>
      </c>
      <c r="D46" t="str">
        <f>"024-2639"</f>
        <v>024-2639</v>
      </c>
      <c r="E46" t="str">
        <f>"133114521DE"</f>
        <v>133114521DE</v>
      </c>
      <c r="F46" t="str">
        <f t="shared" si="0"/>
        <v>0352480F</v>
      </c>
      <c r="G46" t="str">
        <f t="shared" si="1"/>
        <v>O</v>
      </c>
      <c r="H46">
        <v>10</v>
      </c>
      <c r="I46">
        <v>2002</v>
      </c>
      <c r="J46">
        <v>1</v>
      </c>
      <c r="K46" t="str">
        <f>"S"</f>
        <v>S</v>
      </c>
      <c r="L46">
        <v>2</v>
      </c>
      <c r="M46">
        <v>2020</v>
      </c>
      <c r="N46" t="str">
        <f>"H"</f>
        <v>H</v>
      </c>
      <c r="O46" t="str">
        <f>"N"</f>
        <v>N</v>
      </c>
      <c r="P46">
        <v>0</v>
      </c>
      <c r="Q46">
        <v>100</v>
      </c>
      <c r="R46">
        <v>100</v>
      </c>
      <c r="S46">
        <v>35170</v>
      </c>
      <c r="T46">
        <v>100</v>
      </c>
      <c r="U46">
        <v>35170</v>
      </c>
      <c r="V46" t="str">
        <f>""</f>
        <v/>
      </c>
      <c r="W46">
        <v>22</v>
      </c>
      <c r="X46">
        <v>0</v>
      </c>
      <c r="Y46">
        <v>6000577</v>
      </c>
      <c r="Z46">
        <v>1</v>
      </c>
      <c r="AA46">
        <v>27</v>
      </c>
      <c r="AB46" t="str">
        <f>""</f>
        <v/>
      </c>
      <c r="AC46" t="str">
        <f>""</f>
        <v/>
      </c>
      <c r="AD46" t="str">
        <f>""</f>
        <v/>
      </c>
      <c r="AE46">
        <v>2020</v>
      </c>
      <c r="AF46">
        <v>2024</v>
      </c>
      <c r="AG46" t="str">
        <f>"BRUZ"</f>
        <v>BRUZ</v>
      </c>
      <c r="AH46" t="str">
        <f>"BRUZ"</f>
        <v>BRUZ</v>
      </c>
      <c r="AI46" t="str">
        <f>""</f>
        <v/>
      </c>
      <c r="AJ46" t="str">
        <f>""</f>
        <v/>
      </c>
      <c r="AK46" t="str">
        <f>""</f>
        <v/>
      </c>
      <c r="AL46">
        <v>52</v>
      </c>
      <c r="AM46" t="str">
        <f>""</f>
        <v/>
      </c>
      <c r="AN46" t="str">
        <f>""</f>
        <v/>
      </c>
      <c r="AO46" t="str">
        <f>"Lycée Aristide Briand"</f>
        <v>Lycée Aristide Briand</v>
      </c>
      <c r="AP46" t="str">
        <f>"GAP"</f>
        <v>GAP</v>
      </c>
      <c r="AQ46" t="str">
        <f>"Aix-Marseille"</f>
        <v>Aix-Marseille</v>
      </c>
    </row>
    <row r="47" spans="1:43" x14ac:dyDescent="0.25">
      <c r="A47" t="str">
        <f t="shared" si="8"/>
        <v>1A,1A Eco,1A Ing,T00000</v>
      </c>
      <c r="B47" t="str">
        <f>"TOE"</f>
        <v>TOE</v>
      </c>
      <c r="C47" t="str">
        <f>"Dieudonné"</f>
        <v>Dieudonné</v>
      </c>
      <c r="D47" t="str">
        <f>"023-2417"</f>
        <v>023-2417</v>
      </c>
      <c r="E47" t="str">
        <f>"223391758BJ"</f>
        <v>223391758BJ</v>
      </c>
      <c r="F47" t="str">
        <f t="shared" si="0"/>
        <v>0352480F</v>
      </c>
      <c r="G47" t="str">
        <f t="shared" si="1"/>
        <v>O</v>
      </c>
      <c r="H47">
        <v>10</v>
      </c>
      <c r="I47">
        <v>1998</v>
      </c>
      <c r="J47">
        <v>1</v>
      </c>
      <c r="K47" t="str">
        <f>"D"</f>
        <v>D</v>
      </c>
      <c r="L47">
        <v>0</v>
      </c>
      <c r="M47">
        <v>2017</v>
      </c>
      <c r="N47" t="str">
        <f>"R"</f>
        <v>R</v>
      </c>
      <c r="O47">
        <v>2</v>
      </c>
      <c r="P47">
        <v>0</v>
      </c>
      <c r="Q47">
        <v>331</v>
      </c>
      <c r="R47">
        <v>100</v>
      </c>
      <c r="S47">
        <v>35708</v>
      </c>
      <c r="T47">
        <v>100</v>
      </c>
      <c r="U47">
        <v>35708</v>
      </c>
      <c r="V47" t="str">
        <f>"Attestation de bourse d'état valable pour l'année 2023/2024"</f>
        <v>Attestation de bourse d'état valable pour l'année 2023/2024</v>
      </c>
      <c r="W47">
        <v>77</v>
      </c>
      <c r="X47">
        <v>0</v>
      </c>
      <c r="Y47">
        <v>6000577</v>
      </c>
      <c r="Z47">
        <v>1</v>
      </c>
      <c r="AA47">
        <v>27</v>
      </c>
      <c r="AB47" t="str">
        <f>""</f>
        <v/>
      </c>
      <c r="AC47" t="str">
        <f>""</f>
        <v/>
      </c>
      <c r="AD47" t="str">
        <f>""</f>
        <v/>
      </c>
      <c r="AE47">
        <v>2024</v>
      </c>
      <c r="AF47">
        <v>2023</v>
      </c>
      <c r="AG47" t="str">
        <f>"Rennes"</f>
        <v>Rennes</v>
      </c>
      <c r="AH47" t="str">
        <f>"Rennes"</f>
        <v>Rennes</v>
      </c>
      <c r="AI47" t="str">
        <f>""</f>
        <v/>
      </c>
      <c r="AJ47" t="str">
        <f>""</f>
        <v/>
      </c>
      <c r="AK47" t="str">
        <f>""</f>
        <v/>
      </c>
      <c r="AL47">
        <v>77</v>
      </c>
      <c r="AM47" t="str">
        <f>""</f>
        <v/>
      </c>
      <c r="AN47" t="str">
        <f>""</f>
        <v/>
      </c>
      <c r="AO47" t="str">
        <f>"Collège Notre Dame de l'Espérance"</f>
        <v>Collège Notre Dame de l'Espérance</v>
      </c>
      <c r="AP47" t="str">
        <f>"OUAGADOUGOU"</f>
        <v>OUAGADOUGOU</v>
      </c>
      <c r="AQ47" t="str">
        <f>"Etranger"</f>
        <v>Etranger</v>
      </c>
    </row>
    <row r="48" spans="1:43" x14ac:dyDescent="0.25">
      <c r="A48" t="str">
        <f t="shared" si="8"/>
        <v>1A,1A Eco,1A Ing,T00000</v>
      </c>
      <c r="B48" t="str">
        <f>"TOE"</f>
        <v>TOE</v>
      </c>
      <c r="C48" t="str">
        <f>"Djamal Youssouf"</f>
        <v>Djamal Youssouf</v>
      </c>
      <c r="D48" t="str">
        <f>"024-2632"</f>
        <v>024-2632</v>
      </c>
      <c r="E48" t="str">
        <f>"233395056DK"</f>
        <v>233395056DK</v>
      </c>
      <c r="F48" t="str">
        <f t="shared" si="0"/>
        <v>0352480F</v>
      </c>
      <c r="G48" t="str">
        <f t="shared" si="1"/>
        <v>O</v>
      </c>
      <c r="H48">
        <v>10</v>
      </c>
      <c r="I48">
        <v>2003</v>
      </c>
      <c r="J48">
        <v>1</v>
      </c>
      <c r="K48" t="str">
        <f>""</f>
        <v/>
      </c>
      <c r="L48" t="str">
        <f>""</f>
        <v/>
      </c>
      <c r="M48" t="str">
        <f>""</f>
        <v/>
      </c>
      <c r="N48" t="str">
        <f>""</f>
        <v/>
      </c>
      <c r="O48" t="str">
        <f>""</f>
        <v/>
      </c>
      <c r="P48">
        <v>0</v>
      </c>
      <c r="Q48">
        <v>331</v>
      </c>
      <c r="R48">
        <v>100</v>
      </c>
      <c r="S48" t="str">
        <f>"3500"</f>
        <v>3500</v>
      </c>
      <c r="T48">
        <v>100</v>
      </c>
      <c r="U48" t="str">
        <f>"3500"</f>
        <v>3500</v>
      </c>
      <c r="V48" t="str">
        <f>"Montant bourse non renseigné pour l'année 2024/2025"</f>
        <v>Montant bourse non renseigné pour l'année 2024/2025</v>
      </c>
      <c r="W48">
        <v>0</v>
      </c>
      <c r="X48">
        <v>0</v>
      </c>
      <c r="Y48">
        <v>6000577</v>
      </c>
      <c r="Z48">
        <v>1</v>
      </c>
      <c r="AA48">
        <v>27</v>
      </c>
      <c r="AB48" t="str">
        <f>""</f>
        <v/>
      </c>
      <c r="AC48" t="str">
        <f>""</f>
        <v/>
      </c>
      <c r="AD48" t="str">
        <f>""</f>
        <v/>
      </c>
      <c r="AE48">
        <v>2024</v>
      </c>
      <c r="AF48">
        <v>2024</v>
      </c>
      <c r="AG48" t="str">
        <f>"ennes"</f>
        <v>ennes</v>
      </c>
      <c r="AH48" t="str">
        <f>"ennes"</f>
        <v>ennes</v>
      </c>
      <c r="AI48" t="str">
        <f>""</f>
        <v/>
      </c>
      <c r="AJ48" t="str">
        <f>""</f>
        <v/>
      </c>
      <c r="AK48" t="str">
        <f>""</f>
        <v/>
      </c>
      <c r="AL48">
        <v>0</v>
      </c>
      <c r="AM48" t="str">
        <f>""</f>
        <v/>
      </c>
      <c r="AN48" t="str">
        <f>""</f>
        <v/>
      </c>
      <c r="AO48" t="str">
        <f>""</f>
        <v/>
      </c>
      <c r="AP48" t="str">
        <f>""</f>
        <v/>
      </c>
      <c r="AQ48" t="str">
        <f>""</f>
        <v/>
      </c>
    </row>
    <row r="49" spans="1:43" x14ac:dyDescent="0.25">
      <c r="A49" t="str">
        <f t="shared" si="8"/>
        <v>1A,1A Eco,1A Ing,T00000</v>
      </c>
      <c r="B49" t="str">
        <f>"WEBER"</f>
        <v>WEBER</v>
      </c>
      <c r="C49" t="str">
        <f>"Grégoire"</f>
        <v>Grégoire</v>
      </c>
      <c r="D49" t="str">
        <f>"024-2827"</f>
        <v>024-2827</v>
      </c>
      <c r="E49" t="str">
        <f>"153433104EB"</f>
        <v>153433104EB</v>
      </c>
      <c r="F49" t="str">
        <f t="shared" si="0"/>
        <v>0352480F</v>
      </c>
      <c r="G49" t="str">
        <f t="shared" si="1"/>
        <v>O</v>
      </c>
      <c r="H49">
        <v>10</v>
      </c>
      <c r="I49">
        <v>2005</v>
      </c>
      <c r="J49">
        <v>1</v>
      </c>
      <c r="K49" t="str">
        <f t="shared" ref="K49:K55" si="9">"NBGE"</f>
        <v>NBGE</v>
      </c>
      <c r="L49">
        <v>3</v>
      </c>
      <c r="M49">
        <v>2022</v>
      </c>
      <c r="N49" t="str">
        <f t="shared" ref="N49:O51" si="10">"D"</f>
        <v>D</v>
      </c>
      <c r="O49" t="str">
        <f t="shared" si="10"/>
        <v>D</v>
      </c>
      <c r="P49">
        <v>0</v>
      </c>
      <c r="Q49">
        <v>100</v>
      </c>
      <c r="R49">
        <v>100</v>
      </c>
      <c r="S49" t="str">
        <f>"Renne"</f>
        <v>Renne</v>
      </c>
      <c r="T49">
        <v>100</v>
      </c>
      <c r="U49" t="str">
        <f>"Renne"</f>
        <v>Renne</v>
      </c>
      <c r="V49" t="str">
        <f>""</f>
        <v/>
      </c>
      <c r="W49">
        <v>52</v>
      </c>
      <c r="X49">
        <v>0</v>
      </c>
      <c r="Y49">
        <v>6000577</v>
      </c>
      <c r="Z49">
        <v>1</v>
      </c>
      <c r="AA49">
        <v>27</v>
      </c>
      <c r="AB49" t="str">
        <f>""</f>
        <v/>
      </c>
      <c r="AC49" t="str">
        <f>""</f>
        <v/>
      </c>
      <c r="AD49" t="str">
        <f>""</f>
        <v/>
      </c>
      <c r="AE49">
        <v>2022</v>
      </c>
      <c r="AF49">
        <v>2024</v>
      </c>
      <c r="AG49">
        <v>35200</v>
      </c>
      <c r="AH49">
        <v>35200</v>
      </c>
      <c r="AI49" t="str">
        <f>""</f>
        <v/>
      </c>
      <c r="AJ49" t="str">
        <f>""</f>
        <v/>
      </c>
      <c r="AK49" t="str">
        <f>""</f>
        <v/>
      </c>
      <c r="AL49">
        <v>45</v>
      </c>
      <c r="AM49" t="str">
        <f>""</f>
        <v/>
      </c>
      <c r="AN49" t="str">
        <f>""</f>
        <v/>
      </c>
      <c r="AO49" t="str">
        <f>"haberges"</f>
        <v>haberges</v>
      </c>
      <c r="AP49" t="str">
        <f>"VESOUL"</f>
        <v>VESOUL</v>
      </c>
      <c r="AQ49" t="str">
        <f>"Besançon"</f>
        <v>Besançon</v>
      </c>
    </row>
    <row r="50" spans="1:43" x14ac:dyDescent="0.25">
      <c r="A50" t="str">
        <f t="shared" ref="A50:A68" si="11">"1A,1A Eco,1A Ing,T02650"</f>
        <v>1A,1A Eco,1A Ing,T02650</v>
      </c>
      <c r="B50" t="str">
        <f>"AGGOUNE"</f>
        <v>AGGOUNE</v>
      </c>
      <c r="C50" t="str">
        <f>"Lutèce"</f>
        <v>Lutèce</v>
      </c>
      <c r="D50" t="str">
        <f>"024-2665"</f>
        <v>024-2665</v>
      </c>
      <c r="E50" t="str">
        <f>"070819869CF"</f>
        <v>070819869CF</v>
      </c>
      <c r="F50" t="str">
        <f t="shared" si="0"/>
        <v>0352480F</v>
      </c>
      <c r="G50" t="str">
        <f t="shared" si="1"/>
        <v>O</v>
      </c>
      <c r="H50">
        <v>10</v>
      </c>
      <c r="I50">
        <v>2004</v>
      </c>
      <c r="J50">
        <v>2</v>
      </c>
      <c r="K50" t="str">
        <f t="shared" si="9"/>
        <v>NBGE</v>
      </c>
      <c r="L50">
        <v>1</v>
      </c>
      <c r="M50">
        <v>2022</v>
      </c>
      <c r="N50" t="str">
        <f t="shared" si="10"/>
        <v>D</v>
      </c>
      <c r="O50" t="str">
        <f t="shared" si="10"/>
        <v>D</v>
      </c>
      <c r="P50">
        <v>0</v>
      </c>
      <c r="Q50">
        <v>100</v>
      </c>
      <c r="R50">
        <v>100</v>
      </c>
      <c r="S50">
        <v>35170</v>
      </c>
      <c r="T50">
        <v>100</v>
      </c>
      <c r="U50">
        <v>35170</v>
      </c>
      <c r="V50" t="str">
        <f>""</f>
        <v/>
      </c>
      <c r="W50">
        <v>46</v>
      </c>
      <c r="X50">
        <v>0</v>
      </c>
      <c r="Y50">
        <v>6000577</v>
      </c>
      <c r="Z50">
        <v>1</v>
      </c>
      <c r="AA50">
        <v>27</v>
      </c>
      <c r="AB50" t="str">
        <f>""</f>
        <v/>
      </c>
      <c r="AC50" t="str">
        <f>""</f>
        <v/>
      </c>
      <c r="AD50" t="str">
        <f>""</f>
        <v/>
      </c>
      <c r="AE50">
        <v>2022</v>
      </c>
      <c r="AF50">
        <v>2024</v>
      </c>
      <c r="AG50" t="str">
        <f>"Bruz"</f>
        <v>Bruz</v>
      </c>
      <c r="AH50" t="str">
        <f>"Bruz"</f>
        <v>Bruz</v>
      </c>
      <c r="AI50" t="str">
        <f>""</f>
        <v/>
      </c>
      <c r="AJ50" t="str">
        <f>""</f>
        <v/>
      </c>
      <c r="AK50" t="str">
        <f>""</f>
        <v/>
      </c>
      <c r="AL50">
        <v>46</v>
      </c>
      <c r="AM50" t="str">
        <f>""</f>
        <v/>
      </c>
      <c r="AN50" t="str">
        <f>""</f>
        <v/>
      </c>
      <c r="AO50" t="str">
        <f>"Lycée Claude Monet"</f>
        <v>Lycée Claude Monet</v>
      </c>
      <c r="AP50" t="str">
        <f>"PARIS"</f>
        <v>PARIS</v>
      </c>
      <c r="AQ50" t="str">
        <f>"Paris"</f>
        <v>Paris</v>
      </c>
    </row>
    <row r="51" spans="1:43" x14ac:dyDescent="0.25">
      <c r="A51" t="str">
        <f t="shared" si="11"/>
        <v>1A,1A Eco,1A Ing,T02650</v>
      </c>
      <c r="B51" t="str">
        <f>"BONNIN"</f>
        <v>BONNIN</v>
      </c>
      <c r="C51" t="str">
        <f>"Noémie"</f>
        <v>Noémie</v>
      </c>
      <c r="D51" t="str">
        <f>"024-2792"</f>
        <v>024-2792</v>
      </c>
      <c r="E51" t="str">
        <f>"081942769BJ"</f>
        <v>081942769BJ</v>
      </c>
      <c r="F51" t="str">
        <f t="shared" si="0"/>
        <v>0352480F</v>
      </c>
      <c r="G51" t="str">
        <f t="shared" si="1"/>
        <v>O</v>
      </c>
      <c r="H51">
        <v>10</v>
      </c>
      <c r="I51">
        <v>2004</v>
      </c>
      <c r="J51">
        <v>2</v>
      </c>
      <c r="K51" t="str">
        <f t="shared" si="9"/>
        <v>NBGE</v>
      </c>
      <c r="L51">
        <v>20</v>
      </c>
      <c r="M51">
        <v>2022</v>
      </c>
      <c r="N51" t="str">
        <f t="shared" si="10"/>
        <v>D</v>
      </c>
      <c r="O51" t="str">
        <f t="shared" si="10"/>
        <v>D</v>
      </c>
      <c r="P51">
        <v>0</v>
      </c>
      <c r="Q51">
        <v>100</v>
      </c>
      <c r="R51">
        <v>100</v>
      </c>
      <c r="S51">
        <v>36170</v>
      </c>
      <c r="T51">
        <v>100</v>
      </c>
      <c r="U51">
        <v>36170</v>
      </c>
      <c r="V51" t="str">
        <f>""</f>
        <v/>
      </c>
      <c r="W51">
        <v>33</v>
      </c>
      <c r="X51">
        <v>0</v>
      </c>
      <c r="Y51">
        <v>6000577</v>
      </c>
      <c r="Z51">
        <v>1</v>
      </c>
      <c r="AA51">
        <v>27</v>
      </c>
      <c r="AB51" t="str">
        <f>""</f>
        <v/>
      </c>
      <c r="AC51" t="str">
        <f>""</f>
        <v/>
      </c>
      <c r="AD51" t="str">
        <f>""</f>
        <v/>
      </c>
      <c r="AE51">
        <v>2022</v>
      </c>
      <c r="AF51">
        <v>2024</v>
      </c>
      <c r="AG51" t="str">
        <f>"BRUZ"</f>
        <v>BRUZ</v>
      </c>
      <c r="AH51" t="str">
        <f>"BRUZ"</f>
        <v>BRUZ</v>
      </c>
      <c r="AI51" t="str">
        <f>""</f>
        <v/>
      </c>
      <c r="AJ51" t="str">
        <f>""</f>
        <v/>
      </c>
      <c r="AK51" t="str">
        <f>""</f>
        <v/>
      </c>
      <c r="AL51">
        <v>43</v>
      </c>
      <c r="AM51" t="str">
        <f>""</f>
        <v/>
      </c>
      <c r="AN51" t="str">
        <f>""</f>
        <v/>
      </c>
      <c r="AO51" t="str">
        <f>"Lycée européen"</f>
        <v>Lycée européen</v>
      </c>
      <c r="AP51" t="str">
        <f>"VILLERS-COTTERÊTS"</f>
        <v>VILLERS-COTTERÊTS</v>
      </c>
      <c r="AQ51" t="str">
        <f>"Amiens"</f>
        <v>Amiens</v>
      </c>
    </row>
    <row r="52" spans="1:43" x14ac:dyDescent="0.25">
      <c r="A52" t="str">
        <f t="shared" si="11"/>
        <v>1A,1A Eco,1A Ing,T02650</v>
      </c>
      <c r="B52" t="str">
        <f>"DELETANG"</f>
        <v>DELETANG</v>
      </c>
      <c r="C52" t="str">
        <f>"Arthur"</f>
        <v>Arthur</v>
      </c>
      <c r="D52" t="str">
        <f>"024-2635"</f>
        <v>024-2635</v>
      </c>
      <c r="E52" t="str">
        <f>"071010771BK"</f>
        <v>071010771BK</v>
      </c>
      <c r="F52" t="str">
        <f t="shared" si="0"/>
        <v>0352480F</v>
      </c>
      <c r="G52" t="str">
        <f t="shared" si="1"/>
        <v>O</v>
      </c>
      <c r="H52">
        <v>10</v>
      </c>
      <c r="I52">
        <v>2003</v>
      </c>
      <c r="J52">
        <v>1</v>
      </c>
      <c r="K52" t="str">
        <f t="shared" si="9"/>
        <v>NBGE</v>
      </c>
      <c r="L52">
        <v>18</v>
      </c>
      <c r="M52">
        <v>2021</v>
      </c>
      <c r="N52" t="str">
        <f>"H"</f>
        <v>H</v>
      </c>
      <c r="O52" t="str">
        <f>"N"</f>
        <v>N</v>
      </c>
      <c r="P52">
        <v>0</v>
      </c>
      <c r="Q52">
        <v>100</v>
      </c>
      <c r="R52">
        <v>100</v>
      </c>
      <c r="S52">
        <v>35200</v>
      </c>
      <c r="T52">
        <v>100</v>
      </c>
      <c r="U52">
        <v>35200</v>
      </c>
      <c r="V52" t="str">
        <f>""</f>
        <v/>
      </c>
      <c r="W52">
        <v>48</v>
      </c>
      <c r="X52">
        <v>0</v>
      </c>
      <c r="Y52">
        <v>6000577</v>
      </c>
      <c r="Z52">
        <v>1</v>
      </c>
      <c r="AA52">
        <v>27</v>
      </c>
      <c r="AB52" t="str">
        <f>""</f>
        <v/>
      </c>
      <c r="AC52" t="str">
        <f>""</f>
        <v/>
      </c>
      <c r="AD52" t="str">
        <f>""</f>
        <v/>
      </c>
      <c r="AE52">
        <v>2021</v>
      </c>
      <c r="AF52">
        <v>2024</v>
      </c>
      <c r="AG52" t="str">
        <f>"Rennes"</f>
        <v>Rennes</v>
      </c>
      <c r="AH52" t="str">
        <f>"Rennes"</f>
        <v>Rennes</v>
      </c>
      <c r="AI52" t="str">
        <f>""</f>
        <v/>
      </c>
      <c r="AJ52" t="str">
        <f>""</f>
        <v/>
      </c>
      <c r="AK52" t="str">
        <f>""</f>
        <v/>
      </c>
      <c r="AL52">
        <v>48</v>
      </c>
      <c r="AM52" t="str">
        <f>""</f>
        <v/>
      </c>
      <c r="AN52" t="str">
        <f>""</f>
        <v/>
      </c>
      <c r="AO52" t="str">
        <f>"Lycée Pasteur"</f>
        <v>Lycée Pasteur</v>
      </c>
      <c r="AP52" t="str">
        <f>"LE BLANC"</f>
        <v>LE BLANC</v>
      </c>
      <c r="AQ52" t="str">
        <f>"Orléans-Tours"</f>
        <v>Orléans-Tours</v>
      </c>
    </row>
    <row r="53" spans="1:43" x14ac:dyDescent="0.25">
      <c r="A53" t="str">
        <f t="shared" si="11"/>
        <v>1A,1A Eco,1A Ing,T02650</v>
      </c>
      <c r="B53" t="str">
        <f>"DODERO"</f>
        <v>DODERO</v>
      </c>
      <c r="C53" t="str">
        <f>"Anne-Lise"</f>
        <v>Anne-Lise</v>
      </c>
      <c r="D53" t="str">
        <f>"024-2673"</f>
        <v>024-2673</v>
      </c>
      <c r="E53" t="str">
        <f>"153210464GG"</f>
        <v>153210464GG</v>
      </c>
      <c r="F53" t="str">
        <f t="shared" si="0"/>
        <v>0352480F</v>
      </c>
      <c r="G53" t="str">
        <f t="shared" si="1"/>
        <v>O</v>
      </c>
      <c r="H53">
        <v>10</v>
      </c>
      <c r="I53">
        <v>2005</v>
      </c>
      <c r="J53">
        <v>2</v>
      </c>
      <c r="K53" t="str">
        <f t="shared" si="9"/>
        <v>NBGE</v>
      </c>
      <c r="L53">
        <v>10</v>
      </c>
      <c r="M53">
        <v>2022</v>
      </c>
      <c r="N53" t="str">
        <f>"D"</f>
        <v>D</v>
      </c>
      <c r="O53" t="str">
        <f>"D"</f>
        <v>D</v>
      </c>
      <c r="P53">
        <v>0</v>
      </c>
      <c r="Q53">
        <v>100</v>
      </c>
      <c r="R53">
        <v>100</v>
      </c>
      <c r="S53" t="str">
        <f>"Calui"</f>
        <v>Calui</v>
      </c>
      <c r="T53">
        <v>100</v>
      </c>
      <c r="U53" t="str">
        <f>"Calui"</f>
        <v>Calui</v>
      </c>
      <c r="V53" t="str">
        <f>""</f>
        <v/>
      </c>
      <c r="W53">
        <v>74</v>
      </c>
      <c r="X53">
        <v>0</v>
      </c>
      <c r="Y53">
        <v>6000577</v>
      </c>
      <c r="Z53">
        <v>1</v>
      </c>
      <c r="AA53">
        <v>27</v>
      </c>
      <c r="AB53" t="str">
        <f>""</f>
        <v/>
      </c>
      <c r="AC53" t="str">
        <f>""</f>
        <v/>
      </c>
      <c r="AD53" t="str">
        <f>""</f>
        <v/>
      </c>
      <c r="AE53">
        <v>2022</v>
      </c>
      <c r="AF53">
        <v>2024</v>
      </c>
      <c r="AG53" t="str">
        <f>"e et Cuire - 69300"</f>
        <v>e et Cuire - 69300</v>
      </c>
      <c r="AH53" t="str">
        <f>"e et Cuire - 69300"</f>
        <v>e et Cuire - 69300</v>
      </c>
      <c r="AI53" t="str">
        <f>""</f>
        <v/>
      </c>
      <c r="AJ53" t="str">
        <f>""</f>
        <v/>
      </c>
      <c r="AK53" t="str">
        <f>""</f>
        <v/>
      </c>
      <c r="AL53">
        <v>42</v>
      </c>
      <c r="AM53" t="str">
        <f>""</f>
        <v/>
      </c>
      <c r="AN53" t="str">
        <f>""</f>
        <v/>
      </c>
      <c r="AO53" t="str">
        <f>"Lycée Ampère"</f>
        <v>Lycée Ampère</v>
      </c>
      <c r="AP53" t="str">
        <f>"LYON"</f>
        <v>LYON</v>
      </c>
      <c r="AQ53" t="str">
        <f>"Lyon"</f>
        <v>Lyon</v>
      </c>
    </row>
    <row r="54" spans="1:43" x14ac:dyDescent="0.25">
      <c r="A54" t="str">
        <f t="shared" si="11"/>
        <v>1A,1A Eco,1A Ing,T02650</v>
      </c>
      <c r="B54" t="str">
        <f>"DURANCEAU"</f>
        <v>DURANCEAU</v>
      </c>
      <c r="C54" t="str">
        <f>"Anais"</f>
        <v>Anais</v>
      </c>
      <c r="D54" t="str">
        <f>"024-2648"</f>
        <v>024-2648</v>
      </c>
      <c r="E54" t="str">
        <f>"061351759GC"</f>
        <v>061351759GC</v>
      </c>
      <c r="F54" t="str">
        <f t="shared" si="0"/>
        <v>0352480F</v>
      </c>
      <c r="G54" t="str">
        <f t="shared" si="1"/>
        <v>O</v>
      </c>
      <c r="H54">
        <v>10</v>
      </c>
      <c r="I54">
        <v>2003</v>
      </c>
      <c r="J54">
        <v>2</v>
      </c>
      <c r="K54" t="str">
        <f t="shared" si="9"/>
        <v>NBGE</v>
      </c>
      <c r="L54">
        <v>5</v>
      </c>
      <c r="M54">
        <v>2021</v>
      </c>
      <c r="N54" t="str">
        <f>"H"</f>
        <v>H</v>
      </c>
      <c r="O54" t="str">
        <f>"N"</f>
        <v>N</v>
      </c>
      <c r="P54">
        <v>0</v>
      </c>
      <c r="Q54">
        <v>100</v>
      </c>
      <c r="R54">
        <v>100</v>
      </c>
      <c r="S54">
        <v>35170</v>
      </c>
      <c r="T54">
        <v>100</v>
      </c>
      <c r="U54">
        <v>35170</v>
      </c>
      <c r="V54" t="str">
        <f>""</f>
        <v/>
      </c>
      <c r="W54">
        <v>33</v>
      </c>
      <c r="X54">
        <v>0</v>
      </c>
      <c r="Y54">
        <v>6000577</v>
      </c>
      <c r="Z54">
        <v>1</v>
      </c>
      <c r="AA54">
        <v>27</v>
      </c>
      <c r="AB54" t="str">
        <f>""</f>
        <v/>
      </c>
      <c r="AC54" t="str">
        <f>""</f>
        <v/>
      </c>
      <c r="AD54" t="str">
        <f>""</f>
        <v/>
      </c>
      <c r="AE54">
        <v>2021</v>
      </c>
      <c r="AF54">
        <v>2024</v>
      </c>
      <c r="AG54" t="str">
        <f>"Bruz"</f>
        <v>Bruz</v>
      </c>
      <c r="AH54" t="str">
        <f>"Bruz"</f>
        <v>Bruz</v>
      </c>
      <c r="AI54" t="str">
        <f>""</f>
        <v/>
      </c>
      <c r="AJ54" t="str">
        <f>""</f>
        <v/>
      </c>
      <c r="AK54" t="str">
        <f>""</f>
        <v/>
      </c>
      <c r="AL54">
        <v>34</v>
      </c>
      <c r="AM54" t="str">
        <f>""</f>
        <v/>
      </c>
      <c r="AN54" t="str">
        <f>""</f>
        <v/>
      </c>
      <c r="AO54" t="str">
        <f>"Allende"</f>
        <v>Allende</v>
      </c>
      <c r="AP54" t="str">
        <f>"HEROUVILLE SAINT CLAIR"</f>
        <v>HEROUVILLE SAINT CLAIR</v>
      </c>
      <c r="AQ54" t="str">
        <f>"Caen"</f>
        <v>Caen</v>
      </c>
    </row>
    <row r="55" spans="1:43" x14ac:dyDescent="0.25">
      <c r="A55" t="str">
        <f t="shared" si="11"/>
        <v>1A,1A Eco,1A Ing,T02650</v>
      </c>
      <c r="B55" t="str">
        <f>"FERRAND-BASTET"</f>
        <v>FERRAND-BASTET</v>
      </c>
      <c r="C55" t="str">
        <f>"Adrien"</f>
        <v>Adrien</v>
      </c>
      <c r="D55" t="str">
        <f>"024-2594"</f>
        <v>024-2594</v>
      </c>
      <c r="E55" t="str">
        <f>"070926523HB"</f>
        <v>070926523HB</v>
      </c>
      <c r="F55" t="str">
        <f t="shared" si="0"/>
        <v>0352480F</v>
      </c>
      <c r="G55" t="str">
        <f t="shared" si="1"/>
        <v>O</v>
      </c>
      <c r="H55">
        <v>10</v>
      </c>
      <c r="I55">
        <v>2004</v>
      </c>
      <c r="J55">
        <v>1</v>
      </c>
      <c r="K55" t="str">
        <f t="shared" si="9"/>
        <v>NBGE</v>
      </c>
      <c r="L55">
        <v>11</v>
      </c>
      <c r="M55">
        <v>2022</v>
      </c>
      <c r="N55" t="str">
        <f>"D"</f>
        <v>D</v>
      </c>
      <c r="O55" t="str">
        <f>"D"</f>
        <v>D</v>
      </c>
      <c r="P55">
        <v>0</v>
      </c>
      <c r="Q55">
        <v>100</v>
      </c>
      <c r="R55">
        <v>100</v>
      </c>
      <c r="S55">
        <v>35000</v>
      </c>
      <c r="T55">
        <v>100</v>
      </c>
      <c r="U55">
        <v>35000</v>
      </c>
      <c r="V55" t="str">
        <f>""</f>
        <v/>
      </c>
      <c r="W55">
        <v>31</v>
      </c>
      <c r="X55">
        <v>0</v>
      </c>
      <c r="Y55">
        <v>6000577</v>
      </c>
      <c r="Z55">
        <v>1</v>
      </c>
      <c r="AA55">
        <v>27</v>
      </c>
      <c r="AB55" t="str">
        <f>""</f>
        <v/>
      </c>
      <c r="AC55" t="str">
        <f>""</f>
        <v/>
      </c>
      <c r="AD55" t="str">
        <f>""</f>
        <v/>
      </c>
      <c r="AE55">
        <v>2022</v>
      </c>
      <c r="AF55">
        <v>2024</v>
      </c>
      <c r="AG55" t="str">
        <f>"Rennes"</f>
        <v>Rennes</v>
      </c>
      <c r="AH55" t="str">
        <f>"Rennes"</f>
        <v>Rennes</v>
      </c>
      <c r="AI55" t="str">
        <f>""</f>
        <v/>
      </c>
      <c r="AJ55" t="str">
        <f>""</f>
        <v/>
      </c>
      <c r="AK55" t="str">
        <f>""</f>
        <v/>
      </c>
      <c r="AL55">
        <v>31</v>
      </c>
      <c r="AM55" t="str">
        <f>""</f>
        <v/>
      </c>
      <c r="AN55" t="str">
        <f>""</f>
        <v/>
      </c>
      <c r="AO55" t="str">
        <f>"Lycée Victor Hugo"</f>
        <v>Lycée Victor Hugo</v>
      </c>
      <c r="AP55" t="str">
        <f>"LUNEL"</f>
        <v>LUNEL</v>
      </c>
      <c r="AQ55" t="str">
        <f>"Montpellier"</f>
        <v>Montpellier</v>
      </c>
    </row>
    <row r="56" spans="1:43" x14ac:dyDescent="0.25">
      <c r="A56" t="str">
        <f t="shared" si="11"/>
        <v>1A,1A Eco,1A Ing,T02650</v>
      </c>
      <c r="B56" t="str">
        <f>"FILLIERE"</f>
        <v>FILLIERE</v>
      </c>
      <c r="C56" t="str">
        <f>"Nicolas"</f>
        <v>Nicolas</v>
      </c>
      <c r="D56" t="str">
        <f>"024-2641"</f>
        <v>024-2641</v>
      </c>
      <c r="E56" t="str">
        <f>"110455961HD"</f>
        <v>110455961HD</v>
      </c>
      <c r="F56" t="str">
        <f t="shared" si="0"/>
        <v>0352480F</v>
      </c>
      <c r="G56" t="str">
        <f t="shared" si="1"/>
        <v>O</v>
      </c>
      <c r="H56">
        <v>10</v>
      </c>
      <c r="I56">
        <v>2003</v>
      </c>
      <c r="J56">
        <v>1</v>
      </c>
      <c r="K56" t="str">
        <f>"S"</f>
        <v>S</v>
      </c>
      <c r="L56">
        <v>9</v>
      </c>
      <c r="M56">
        <v>2020</v>
      </c>
      <c r="N56" t="str">
        <f>"H"</f>
        <v>H</v>
      </c>
      <c r="O56" t="str">
        <f>"N"</f>
        <v>N</v>
      </c>
      <c r="P56">
        <v>0</v>
      </c>
      <c r="Q56">
        <v>100</v>
      </c>
      <c r="R56">
        <v>100</v>
      </c>
      <c r="S56">
        <v>35170</v>
      </c>
      <c r="T56">
        <v>100</v>
      </c>
      <c r="U56">
        <v>35170</v>
      </c>
      <c r="V56" t="str">
        <f>""</f>
        <v/>
      </c>
      <c r="W56">
        <v>34</v>
      </c>
      <c r="X56">
        <v>0</v>
      </c>
      <c r="Y56">
        <v>6000577</v>
      </c>
      <c r="Z56">
        <v>1</v>
      </c>
      <c r="AA56">
        <v>27</v>
      </c>
      <c r="AB56" t="str">
        <f>""</f>
        <v/>
      </c>
      <c r="AC56" t="str">
        <f>""</f>
        <v/>
      </c>
      <c r="AD56" t="str">
        <f>""</f>
        <v/>
      </c>
      <c r="AE56">
        <v>2020</v>
      </c>
      <c r="AF56">
        <v>2024</v>
      </c>
      <c r="AG56" t="str">
        <f>"Bruz"</f>
        <v>Bruz</v>
      </c>
      <c r="AH56" t="str">
        <f>"Bruz"</f>
        <v>Bruz</v>
      </c>
      <c r="AI56" t="str">
        <f>""</f>
        <v/>
      </c>
      <c r="AJ56" t="str">
        <f>""</f>
        <v/>
      </c>
      <c r="AK56" t="str">
        <f>""</f>
        <v/>
      </c>
      <c r="AL56">
        <v>34</v>
      </c>
      <c r="AM56" t="str">
        <f>""</f>
        <v/>
      </c>
      <c r="AN56" t="str">
        <f>""</f>
        <v/>
      </c>
      <c r="AO56" t="str">
        <f>"La Malassise"</f>
        <v>La Malassise</v>
      </c>
      <c r="AP56" t="str">
        <f>"LONGUENESSE"</f>
        <v>LONGUENESSE</v>
      </c>
      <c r="AQ56" t="str">
        <f>"Lille"</f>
        <v>Lille</v>
      </c>
    </row>
    <row r="57" spans="1:43" x14ac:dyDescent="0.25">
      <c r="A57" t="str">
        <f t="shared" si="11"/>
        <v>1A,1A Eco,1A Ing,T02650</v>
      </c>
      <c r="B57" t="str">
        <f>"GLORIEUX"</f>
        <v>GLORIEUX</v>
      </c>
      <c r="C57" t="str">
        <f>"Emma"</f>
        <v>Emma</v>
      </c>
      <c r="D57" t="str">
        <f>"024-2667"</f>
        <v>024-2667</v>
      </c>
      <c r="E57" t="str">
        <f>"100780238EG"</f>
        <v>100780238EG</v>
      </c>
      <c r="F57" t="str">
        <f t="shared" si="0"/>
        <v>0352480F</v>
      </c>
      <c r="G57" t="str">
        <f t="shared" si="1"/>
        <v>O</v>
      </c>
      <c r="H57">
        <v>10</v>
      </c>
      <c r="I57">
        <v>2004</v>
      </c>
      <c r="J57">
        <v>2</v>
      </c>
      <c r="K57" t="str">
        <f>"NBGE"</f>
        <v>NBGE</v>
      </c>
      <c r="L57">
        <v>10</v>
      </c>
      <c r="M57">
        <v>2022</v>
      </c>
      <c r="N57" t="str">
        <f>"D"</f>
        <v>D</v>
      </c>
      <c r="O57" t="str">
        <f>"D"</f>
        <v>D</v>
      </c>
      <c r="P57">
        <v>0</v>
      </c>
      <c r="Q57">
        <v>100</v>
      </c>
      <c r="R57">
        <v>100</v>
      </c>
      <c r="S57">
        <v>35170</v>
      </c>
      <c r="T57">
        <v>100</v>
      </c>
      <c r="U57">
        <v>35170</v>
      </c>
      <c r="V57" t="str">
        <f>""</f>
        <v/>
      </c>
      <c r="W57">
        <v>37</v>
      </c>
      <c r="X57">
        <v>0</v>
      </c>
      <c r="Y57">
        <v>6000577</v>
      </c>
      <c r="Z57">
        <v>1</v>
      </c>
      <c r="AA57">
        <v>27</v>
      </c>
      <c r="AB57" t="str">
        <f>""</f>
        <v/>
      </c>
      <c r="AC57" t="str">
        <f>""</f>
        <v/>
      </c>
      <c r="AD57" t="str">
        <f>""</f>
        <v/>
      </c>
      <c r="AE57">
        <v>2022</v>
      </c>
      <c r="AF57">
        <v>2024</v>
      </c>
      <c r="AG57" t="str">
        <f>"Bruz"</f>
        <v>Bruz</v>
      </c>
      <c r="AH57" t="str">
        <f>"Bruz"</f>
        <v>Bruz</v>
      </c>
      <c r="AI57" t="str">
        <f>""</f>
        <v/>
      </c>
      <c r="AJ57" t="str">
        <f>""</f>
        <v/>
      </c>
      <c r="AK57" t="str">
        <f>""</f>
        <v/>
      </c>
      <c r="AL57">
        <v>21</v>
      </c>
      <c r="AM57" t="str">
        <f>""</f>
        <v/>
      </c>
      <c r="AN57" t="str">
        <f>""</f>
        <v/>
      </c>
      <c r="AO57" t="str">
        <f>"Lycée Saint Marc"</f>
        <v>Lycée Saint Marc</v>
      </c>
      <c r="AP57" t="str">
        <f>"LYON"</f>
        <v>LYON</v>
      </c>
      <c r="AQ57" t="str">
        <f>"Lyon"</f>
        <v>Lyon</v>
      </c>
    </row>
    <row r="58" spans="1:43" x14ac:dyDescent="0.25">
      <c r="A58" t="str">
        <f t="shared" si="11"/>
        <v>1A,1A Eco,1A Ing,T02650</v>
      </c>
      <c r="B58" t="str">
        <f>"GOUALOU"</f>
        <v>GOUALOU</v>
      </c>
      <c r="C58" t="str">
        <f>"Maxence"</f>
        <v>Maxence</v>
      </c>
      <c r="D58" t="str">
        <f>"024-2636"</f>
        <v>024-2636</v>
      </c>
      <c r="E58" t="str">
        <f>"070611276GJ"</f>
        <v>070611276GJ</v>
      </c>
      <c r="F58" t="str">
        <f t="shared" si="0"/>
        <v>0352480F</v>
      </c>
      <c r="G58" t="str">
        <f t="shared" si="1"/>
        <v>O</v>
      </c>
      <c r="H58">
        <v>10</v>
      </c>
      <c r="I58">
        <v>2003</v>
      </c>
      <c r="J58">
        <v>1</v>
      </c>
      <c r="K58" t="str">
        <f>"NBGE"</f>
        <v>NBGE</v>
      </c>
      <c r="L58">
        <v>14</v>
      </c>
      <c r="M58">
        <v>2021</v>
      </c>
      <c r="N58" t="str">
        <f>"H"</f>
        <v>H</v>
      </c>
      <c r="O58" t="str">
        <f>"N"</f>
        <v>N</v>
      </c>
      <c r="P58">
        <v>0</v>
      </c>
      <c r="Q58">
        <v>100</v>
      </c>
      <c r="R58">
        <v>100</v>
      </c>
      <c r="S58">
        <v>35170</v>
      </c>
      <c r="T58">
        <v>100</v>
      </c>
      <c r="U58">
        <v>35170</v>
      </c>
      <c r="V58" t="str">
        <f>""</f>
        <v/>
      </c>
      <c r="W58">
        <v>47</v>
      </c>
      <c r="X58">
        <v>0</v>
      </c>
      <c r="Y58">
        <v>6000577</v>
      </c>
      <c r="Z58">
        <v>1</v>
      </c>
      <c r="AA58">
        <v>27</v>
      </c>
      <c r="AB58" t="str">
        <f>""</f>
        <v/>
      </c>
      <c r="AC58" t="str">
        <f>""</f>
        <v/>
      </c>
      <c r="AD58" t="str">
        <f>""</f>
        <v/>
      </c>
      <c r="AE58">
        <v>2021</v>
      </c>
      <c r="AF58">
        <v>2024</v>
      </c>
      <c r="AG58" t="str">
        <f>"BRUZ"</f>
        <v>BRUZ</v>
      </c>
      <c r="AH58" t="str">
        <f>"BRUZ"</f>
        <v>BRUZ</v>
      </c>
      <c r="AI58" t="str">
        <f>""</f>
        <v/>
      </c>
      <c r="AJ58" t="str">
        <f>""</f>
        <v/>
      </c>
      <c r="AK58" t="str">
        <f>""</f>
        <v/>
      </c>
      <c r="AL58">
        <v>47</v>
      </c>
      <c r="AM58" t="str">
        <f>""</f>
        <v/>
      </c>
      <c r="AN58" t="str">
        <f>""</f>
        <v/>
      </c>
      <c r="AO58" t="str">
        <f>"LYCEE PIERRE GUEGUIN"</f>
        <v>LYCEE PIERRE GUEGUIN</v>
      </c>
      <c r="AP58" t="str">
        <f>"29900 CONCARNEAU"</f>
        <v>29900 CONCARNEAU</v>
      </c>
      <c r="AQ58" t="str">
        <f>"Rennes"</f>
        <v>Rennes</v>
      </c>
    </row>
    <row r="59" spans="1:43" x14ac:dyDescent="0.25">
      <c r="A59" t="str">
        <f t="shared" si="11"/>
        <v>1A,1A Eco,1A Ing,T02650</v>
      </c>
      <c r="B59" t="str">
        <f>"JAGGI"</f>
        <v>JAGGI</v>
      </c>
      <c r="C59" t="str">
        <f>"Caroline"</f>
        <v>Caroline</v>
      </c>
      <c r="D59" t="str">
        <f>"024-2666"</f>
        <v>024-2666</v>
      </c>
      <c r="E59" t="str">
        <f>"061193364FG"</f>
        <v>061193364FG</v>
      </c>
      <c r="F59" t="str">
        <f t="shared" si="0"/>
        <v>0352480F</v>
      </c>
      <c r="G59" t="str">
        <f t="shared" si="1"/>
        <v>O</v>
      </c>
      <c r="H59">
        <v>10</v>
      </c>
      <c r="I59">
        <v>2004</v>
      </c>
      <c r="J59">
        <v>2</v>
      </c>
      <c r="K59" t="str">
        <f>"NBGE"</f>
        <v>NBGE</v>
      </c>
      <c r="L59">
        <v>12</v>
      </c>
      <c r="M59">
        <v>2022</v>
      </c>
      <c r="N59" t="str">
        <f>"D"</f>
        <v>D</v>
      </c>
      <c r="O59" t="str">
        <f>"D"</f>
        <v>D</v>
      </c>
      <c r="P59">
        <v>0</v>
      </c>
      <c r="Q59">
        <v>100</v>
      </c>
      <c r="R59">
        <v>100</v>
      </c>
      <c r="S59" t="str">
        <f>"Bruz"</f>
        <v>Bruz</v>
      </c>
      <c r="T59">
        <v>100</v>
      </c>
      <c r="U59" t="str">
        <f>"Bruz"</f>
        <v>Bruz</v>
      </c>
      <c r="V59" t="str">
        <f>""</f>
        <v/>
      </c>
      <c r="W59">
        <v>46</v>
      </c>
      <c r="X59">
        <v>0</v>
      </c>
      <c r="Y59">
        <v>6000577</v>
      </c>
      <c r="Z59">
        <v>1</v>
      </c>
      <c r="AA59">
        <v>27</v>
      </c>
      <c r="AB59" t="str">
        <f>""</f>
        <v/>
      </c>
      <c r="AC59" t="str">
        <f>""</f>
        <v/>
      </c>
      <c r="AD59" t="str">
        <f>""</f>
        <v/>
      </c>
      <c r="AE59">
        <v>2022</v>
      </c>
      <c r="AF59">
        <v>2024</v>
      </c>
      <c r="AG59">
        <v>5170</v>
      </c>
      <c r="AH59">
        <v>5170</v>
      </c>
      <c r="AI59" t="str">
        <f>""</f>
        <v/>
      </c>
      <c r="AJ59" t="str">
        <f>""</f>
        <v/>
      </c>
      <c r="AK59" t="str">
        <f>""</f>
        <v/>
      </c>
      <c r="AL59">
        <v>43</v>
      </c>
      <c r="AM59" t="str">
        <f>""</f>
        <v/>
      </c>
      <c r="AN59" t="str">
        <f>""</f>
        <v/>
      </c>
      <c r="AO59" t="str">
        <f>"La Malgrange"</f>
        <v>La Malgrange</v>
      </c>
      <c r="AP59" t="str">
        <f>"JARVILLE-LA-MALGRANGE"</f>
        <v>JARVILLE-LA-MALGRANGE</v>
      </c>
      <c r="AQ59" t="str">
        <f>"Nancy-Metz"</f>
        <v>Nancy-Metz</v>
      </c>
    </row>
    <row r="60" spans="1:43" x14ac:dyDescent="0.25">
      <c r="A60" t="str">
        <f t="shared" si="11"/>
        <v>1A,1A Eco,1A Ing,T02650</v>
      </c>
      <c r="B60" t="str">
        <f>"LATAPIE"</f>
        <v>LATAPIE</v>
      </c>
      <c r="C60" t="str">
        <f>"Laurine"</f>
        <v>Laurine</v>
      </c>
      <c r="D60" t="str">
        <f>"024-2638"</f>
        <v>024-2638</v>
      </c>
      <c r="E60" t="str">
        <f>"081925572EG"</f>
        <v>081925572EG</v>
      </c>
      <c r="F60" t="str">
        <f t="shared" si="0"/>
        <v>0352480F</v>
      </c>
      <c r="G60" t="str">
        <f t="shared" si="1"/>
        <v>O</v>
      </c>
      <c r="H60">
        <v>10</v>
      </c>
      <c r="I60">
        <v>2003</v>
      </c>
      <c r="J60">
        <v>2</v>
      </c>
      <c r="K60" t="str">
        <f>"NBGE"</f>
        <v>NBGE</v>
      </c>
      <c r="L60">
        <v>4</v>
      </c>
      <c r="M60">
        <v>2021</v>
      </c>
      <c r="N60" t="str">
        <f>"S"</f>
        <v>S</v>
      </c>
      <c r="O60" t="str">
        <f>"N"</f>
        <v>N</v>
      </c>
      <c r="P60">
        <v>0</v>
      </c>
      <c r="Q60">
        <v>100</v>
      </c>
      <c r="R60">
        <v>100</v>
      </c>
      <c r="S60">
        <v>35170</v>
      </c>
      <c r="T60">
        <v>100</v>
      </c>
      <c r="U60">
        <v>35170</v>
      </c>
      <c r="V60" t="str">
        <f>""</f>
        <v/>
      </c>
      <c r="W60">
        <v>33</v>
      </c>
      <c r="X60">
        <v>0</v>
      </c>
      <c r="Y60">
        <v>6000577</v>
      </c>
      <c r="Z60">
        <v>1</v>
      </c>
      <c r="AA60">
        <v>27</v>
      </c>
      <c r="AB60" t="str">
        <f>""</f>
        <v/>
      </c>
      <c r="AC60" t="str">
        <f>""</f>
        <v/>
      </c>
      <c r="AD60" t="str">
        <f>""</f>
        <v/>
      </c>
      <c r="AE60">
        <v>2021</v>
      </c>
      <c r="AF60">
        <v>2024</v>
      </c>
      <c r="AG60" t="str">
        <f>"Bruz"</f>
        <v>Bruz</v>
      </c>
      <c r="AH60" t="str">
        <f>"Bruz"</f>
        <v>Bruz</v>
      </c>
      <c r="AI60" t="str">
        <f>""</f>
        <v/>
      </c>
      <c r="AJ60" t="str">
        <f>""</f>
        <v/>
      </c>
      <c r="AK60" t="str">
        <f>""</f>
        <v/>
      </c>
      <c r="AL60">
        <v>33</v>
      </c>
      <c r="AM60" t="str">
        <f>""</f>
        <v/>
      </c>
      <c r="AN60" t="str">
        <f>""</f>
        <v/>
      </c>
      <c r="AO60" t="str">
        <f>"Lycée polyvalent Antoine de Saint-Exupéry"</f>
        <v>Lycée polyvalent Antoine de Saint-Exupéry</v>
      </c>
      <c r="AP60" t="str">
        <f>"PARENTIS-EN-BORN"</f>
        <v>PARENTIS-EN-BORN</v>
      </c>
      <c r="AQ60" t="str">
        <f>"Bordeaux"</f>
        <v>Bordeaux</v>
      </c>
    </row>
    <row r="61" spans="1:43" x14ac:dyDescent="0.25">
      <c r="A61" t="str">
        <f t="shared" si="11"/>
        <v>1A,1A Eco,1A Ing,T02650</v>
      </c>
      <c r="B61" t="str">
        <f>"LEGENDRE"</f>
        <v>LEGENDRE</v>
      </c>
      <c r="C61" t="str">
        <f>"Juliette"</f>
        <v>Juliette</v>
      </c>
      <c r="D61" t="str">
        <f>"024-2587"</f>
        <v>024-2587</v>
      </c>
      <c r="E61" t="str">
        <f>"060964792KG"</f>
        <v>060964792KG</v>
      </c>
      <c r="F61" t="str">
        <f t="shared" si="0"/>
        <v>0352480F</v>
      </c>
      <c r="G61" t="str">
        <f t="shared" si="1"/>
        <v>O</v>
      </c>
      <c r="H61">
        <v>10</v>
      </c>
      <c r="I61">
        <v>2002</v>
      </c>
      <c r="J61">
        <v>2</v>
      </c>
      <c r="K61" t="str">
        <f>"S"</f>
        <v>S</v>
      </c>
      <c r="L61">
        <v>14</v>
      </c>
      <c r="M61">
        <v>2020</v>
      </c>
      <c r="N61" t="str">
        <f>"A"</f>
        <v>A</v>
      </c>
      <c r="O61" t="str">
        <f>"N"</f>
        <v>N</v>
      </c>
      <c r="P61">
        <v>0</v>
      </c>
      <c r="Q61">
        <v>100</v>
      </c>
      <c r="R61">
        <v>100</v>
      </c>
      <c r="S61">
        <v>35220</v>
      </c>
      <c r="T61">
        <v>100</v>
      </c>
      <c r="U61">
        <v>35220</v>
      </c>
      <c r="V61" t="str">
        <f>""</f>
        <v/>
      </c>
      <c r="W61">
        <v>46</v>
      </c>
      <c r="X61">
        <v>0</v>
      </c>
      <c r="Y61">
        <v>6000577</v>
      </c>
      <c r="Z61">
        <v>1</v>
      </c>
      <c r="AA61">
        <v>27</v>
      </c>
      <c r="AB61" t="str">
        <f>""</f>
        <v/>
      </c>
      <c r="AC61" t="str">
        <f>""</f>
        <v/>
      </c>
      <c r="AD61" t="str">
        <f>""</f>
        <v/>
      </c>
      <c r="AE61">
        <v>2020</v>
      </c>
      <c r="AF61">
        <v>2024</v>
      </c>
      <c r="AG61" t="str">
        <f>"Châteaubourg"</f>
        <v>Châteaubourg</v>
      </c>
      <c r="AH61" t="str">
        <f>"Châteaubourg"</f>
        <v>Châteaubourg</v>
      </c>
      <c r="AI61" t="str">
        <f>""</f>
        <v/>
      </c>
      <c r="AJ61" t="str">
        <f>""</f>
        <v/>
      </c>
      <c r="AK61" t="str">
        <f>""</f>
        <v/>
      </c>
      <c r="AL61">
        <v>71</v>
      </c>
      <c r="AM61" t="str">
        <f>""</f>
        <v/>
      </c>
      <c r="AN61" t="str">
        <f>""</f>
        <v/>
      </c>
      <c r="AO61" t="str">
        <f>"Emile Zola"</f>
        <v>Emile Zola</v>
      </c>
      <c r="AP61" t="str">
        <f>"RENNES"</f>
        <v>RENNES</v>
      </c>
      <c r="AQ61" t="str">
        <f>"Rennes"</f>
        <v>Rennes</v>
      </c>
    </row>
    <row r="62" spans="1:43" x14ac:dyDescent="0.25">
      <c r="A62" t="str">
        <f t="shared" si="11"/>
        <v>1A,1A Eco,1A Ing,T02650</v>
      </c>
      <c r="B62" t="str">
        <f>"MALET"</f>
        <v>MALET</v>
      </c>
      <c r="C62" t="str">
        <f>"Julie"</f>
        <v>Julie</v>
      </c>
      <c r="D62" t="str">
        <f>"024-2591"</f>
        <v>024-2591</v>
      </c>
      <c r="E62" t="str">
        <f>"143291467DH"</f>
        <v>143291467DH</v>
      </c>
      <c r="F62" t="str">
        <f t="shared" si="0"/>
        <v>0352480F</v>
      </c>
      <c r="G62" t="str">
        <f t="shared" si="1"/>
        <v>O</v>
      </c>
      <c r="H62">
        <v>10</v>
      </c>
      <c r="I62">
        <v>2005</v>
      </c>
      <c r="J62">
        <v>2</v>
      </c>
      <c r="K62" t="str">
        <f t="shared" ref="K62:K67" si="12">"NBGE"</f>
        <v>NBGE</v>
      </c>
      <c r="L62">
        <v>28</v>
      </c>
      <c r="M62">
        <v>2022</v>
      </c>
      <c r="N62" t="str">
        <f>"D"</f>
        <v>D</v>
      </c>
      <c r="O62" t="str">
        <f>"D"</f>
        <v>D</v>
      </c>
      <c r="P62">
        <v>0</v>
      </c>
      <c r="Q62">
        <v>100</v>
      </c>
      <c r="R62">
        <v>100</v>
      </c>
      <c r="S62">
        <v>35170</v>
      </c>
      <c r="T62">
        <v>100</v>
      </c>
      <c r="U62">
        <v>35170</v>
      </c>
      <c r="V62" t="str">
        <f>""</f>
        <v/>
      </c>
      <c r="W62">
        <v>31</v>
      </c>
      <c r="X62">
        <v>0</v>
      </c>
      <c r="Y62">
        <v>6000577</v>
      </c>
      <c r="Z62">
        <v>1</v>
      </c>
      <c r="AA62">
        <v>27</v>
      </c>
      <c r="AB62" t="str">
        <f>""</f>
        <v/>
      </c>
      <c r="AC62" t="str">
        <f>""</f>
        <v/>
      </c>
      <c r="AD62" t="str">
        <f>""</f>
        <v/>
      </c>
      <c r="AE62">
        <v>2022</v>
      </c>
      <c r="AF62">
        <v>2024</v>
      </c>
      <c r="AG62" t="str">
        <f>"Bruz"</f>
        <v>Bruz</v>
      </c>
      <c r="AH62" t="str">
        <f>"Bruz"</f>
        <v>Bruz</v>
      </c>
      <c r="AI62" t="str">
        <f>""</f>
        <v/>
      </c>
      <c r="AJ62" t="str">
        <f>""</f>
        <v/>
      </c>
      <c r="AK62" t="str">
        <f>""</f>
        <v/>
      </c>
      <c r="AL62">
        <v>37</v>
      </c>
      <c r="AM62" t="str">
        <f>""</f>
        <v/>
      </c>
      <c r="AN62" t="str">
        <f>""</f>
        <v/>
      </c>
      <c r="AO62" t="str">
        <f>"Lycée Moulin Joli"</f>
        <v>Lycée Moulin Joli</v>
      </c>
      <c r="AP62" t="str">
        <f>"LA POSSESSION"</f>
        <v>LA POSSESSION</v>
      </c>
      <c r="AQ62" t="str">
        <f>"La Réunion"</f>
        <v>La Réunion</v>
      </c>
    </row>
    <row r="63" spans="1:43" x14ac:dyDescent="0.25">
      <c r="A63" t="str">
        <f t="shared" si="11"/>
        <v>1A,1A Eco,1A Ing,T02650</v>
      </c>
      <c r="B63" t="str">
        <f>"MERZOUKI"</f>
        <v>MERZOUKI</v>
      </c>
      <c r="C63" t="str">
        <f>"Jad"</f>
        <v>Jad</v>
      </c>
      <c r="D63" t="str">
        <f>"024-2681"</f>
        <v>024-2681</v>
      </c>
      <c r="E63" t="str">
        <f>"080972687AD"</f>
        <v>080972687AD</v>
      </c>
      <c r="F63" t="str">
        <f t="shared" si="0"/>
        <v>0352480F</v>
      </c>
      <c r="G63" t="str">
        <f t="shared" si="1"/>
        <v>O</v>
      </c>
      <c r="H63">
        <v>10</v>
      </c>
      <c r="I63">
        <v>2003</v>
      </c>
      <c r="J63">
        <v>1</v>
      </c>
      <c r="K63" t="str">
        <f t="shared" si="12"/>
        <v>NBGE</v>
      </c>
      <c r="L63">
        <v>25</v>
      </c>
      <c r="M63">
        <v>2021</v>
      </c>
      <c r="N63" t="str">
        <f>"D"</f>
        <v>D</v>
      </c>
      <c r="O63" t="str">
        <f>"D"</f>
        <v>D</v>
      </c>
      <c r="P63">
        <v>0</v>
      </c>
      <c r="Q63">
        <v>100</v>
      </c>
      <c r="R63">
        <v>100</v>
      </c>
      <c r="S63">
        <v>78430</v>
      </c>
      <c r="T63">
        <v>100</v>
      </c>
      <c r="U63">
        <v>78430</v>
      </c>
      <c r="V63" t="str">
        <f>""</f>
        <v/>
      </c>
      <c r="W63">
        <v>38</v>
      </c>
      <c r="X63">
        <v>0</v>
      </c>
      <c r="Y63">
        <v>6000577</v>
      </c>
      <c r="Z63">
        <v>1</v>
      </c>
      <c r="AA63">
        <v>27</v>
      </c>
      <c r="AB63" t="str">
        <f>""</f>
        <v/>
      </c>
      <c r="AC63" t="str">
        <f>""</f>
        <v/>
      </c>
      <c r="AD63" t="str">
        <f>""</f>
        <v/>
      </c>
      <c r="AE63">
        <v>2021</v>
      </c>
      <c r="AF63">
        <v>2024</v>
      </c>
      <c r="AG63" t="str">
        <f>""</f>
        <v/>
      </c>
      <c r="AH63" t="str">
        <f>""</f>
        <v/>
      </c>
      <c r="AI63" t="str">
        <f>""</f>
        <v/>
      </c>
      <c r="AJ63" t="str">
        <f>""</f>
        <v/>
      </c>
      <c r="AK63" t="str">
        <f>""</f>
        <v/>
      </c>
      <c r="AL63">
        <v>31</v>
      </c>
      <c r="AM63" t="str">
        <f>""</f>
        <v/>
      </c>
      <c r="AN63" t="str">
        <f>""</f>
        <v/>
      </c>
      <c r="AO63" t="str">
        <f>"Lycée Pierre Corneille"</f>
        <v>Lycée Pierre Corneille</v>
      </c>
      <c r="AP63" t="str">
        <f>"LA CELLE-SAINT-CLOUD"</f>
        <v>LA CELLE-SAINT-CLOUD</v>
      </c>
      <c r="AQ63" t="str">
        <f>"Versailles"</f>
        <v>Versailles</v>
      </c>
    </row>
    <row r="64" spans="1:43" x14ac:dyDescent="0.25">
      <c r="A64" t="str">
        <f t="shared" si="11"/>
        <v>1A,1A Eco,1A Ing,T02650</v>
      </c>
      <c r="B64" t="str">
        <f>"OUARAS"</f>
        <v>OUARAS</v>
      </c>
      <c r="C64" t="str">
        <f>"Sérine"</f>
        <v>Sérine</v>
      </c>
      <c r="D64" t="str">
        <f>"024-2652"</f>
        <v>024-2652</v>
      </c>
      <c r="E64" t="str">
        <f>"060439303DK"</f>
        <v>060439303DK</v>
      </c>
      <c r="F64" t="str">
        <f t="shared" si="0"/>
        <v>0352480F</v>
      </c>
      <c r="G64" t="str">
        <f t="shared" si="1"/>
        <v>O</v>
      </c>
      <c r="H64">
        <v>10</v>
      </c>
      <c r="I64">
        <v>2003</v>
      </c>
      <c r="J64">
        <v>2</v>
      </c>
      <c r="K64" t="str">
        <f t="shared" si="12"/>
        <v>NBGE</v>
      </c>
      <c r="L64">
        <v>14</v>
      </c>
      <c r="M64">
        <v>2021</v>
      </c>
      <c r="N64" t="str">
        <f>"H"</f>
        <v>H</v>
      </c>
      <c r="O64" t="str">
        <f>"N"</f>
        <v>N</v>
      </c>
      <c r="P64">
        <v>0</v>
      </c>
      <c r="Q64">
        <v>100</v>
      </c>
      <c r="R64">
        <v>100</v>
      </c>
      <c r="S64">
        <v>35510</v>
      </c>
      <c r="T64">
        <v>100</v>
      </c>
      <c r="U64">
        <v>35510</v>
      </c>
      <c r="V64" t="str">
        <f>""</f>
        <v/>
      </c>
      <c r="W64">
        <v>55</v>
      </c>
      <c r="X64">
        <v>0</v>
      </c>
      <c r="Y64">
        <v>6000577</v>
      </c>
      <c r="Z64">
        <v>1</v>
      </c>
      <c r="AA64">
        <v>27</v>
      </c>
      <c r="AB64" t="str">
        <f>""</f>
        <v/>
      </c>
      <c r="AC64" t="str">
        <f>""</f>
        <v/>
      </c>
      <c r="AD64" t="str">
        <f>""</f>
        <v/>
      </c>
      <c r="AE64">
        <v>2021</v>
      </c>
      <c r="AF64">
        <v>2024</v>
      </c>
      <c r="AG64" t="str">
        <f>"CESSON-SEVIGNE"</f>
        <v>CESSON-SEVIGNE</v>
      </c>
      <c r="AH64" t="str">
        <f>"CESSON-SEVIGNE"</f>
        <v>CESSON-SEVIGNE</v>
      </c>
      <c r="AI64" t="str">
        <f>""</f>
        <v/>
      </c>
      <c r="AJ64" t="str">
        <f>""</f>
        <v/>
      </c>
      <c r="AK64" t="str">
        <f>""</f>
        <v/>
      </c>
      <c r="AL64">
        <v>38</v>
      </c>
      <c r="AM64" t="str">
        <f>""</f>
        <v/>
      </c>
      <c r="AN64" t="str">
        <f>""</f>
        <v/>
      </c>
      <c r="AO64" t="str">
        <f>"Lycée Sévigné"</f>
        <v>Lycée Sévigné</v>
      </c>
      <c r="AP64" t="str">
        <f>"CESSON-SEVIGNE"</f>
        <v>CESSON-SEVIGNE</v>
      </c>
      <c r="AQ64" t="str">
        <f>"Rennes"</f>
        <v>Rennes</v>
      </c>
    </row>
    <row r="65" spans="1:43" x14ac:dyDescent="0.25">
      <c r="A65" t="str">
        <f t="shared" si="11"/>
        <v>1A,1A Eco,1A Ing,T02650</v>
      </c>
      <c r="B65" t="str">
        <f>"ROGER"</f>
        <v>ROGER</v>
      </c>
      <c r="C65" t="str">
        <f>"Lena"</f>
        <v>Lena</v>
      </c>
      <c r="D65" t="str">
        <f>"024-2645"</f>
        <v>024-2645</v>
      </c>
      <c r="E65" t="str">
        <f>"060295373CB"</f>
        <v>060295373CB</v>
      </c>
      <c r="F65" t="str">
        <f t="shared" si="0"/>
        <v>0352480F</v>
      </c>
      <c r="G65" t="str">
        <f t="shared" si="1"/>
        <v>O</v>
      </c>
      <c r="H65">
        <v>10</v>
      </c>
      <c r="I65">
        <v>2003</v>
      </c>
      <c r="J65">
        <v>2</v>
      </c>
      <c r="K65" t="str">
        <f t="shared" si="12"/>
        <v>NBGE</v>
      </c>
      <c r="L65">
        <v>14</v>
      </c>
      <c r="M65">
        <v>2021</v>
      </c>
      <c r="N65" t="str">
        <f>"H"</f>
        <v>H</v>
      </c>
      <c r="O65" t="str">
        <f>"N"</f>
        <v>N</v>
      </c>
      <c r="P65">
        <v>0</v>
      </c>
      <c r="Q65">
        <v>100</v>
      </c>
      <c r="R65">
        <v>100</v>
      </c>
      <c r="S65">
        <v>35000</v>
      </c>
      <c r="T65">
        <v>100</v>
      </c>
      <c r="U65">
        <v>35000</v>
      </c>
      <c r="V65" t="str">
        <f>""</f>
        <v/>
      </c>
      <c r="W65">
        <v>37</v>
      </c>
      <c r="X65">
        <v>0</v>
      </c>
      <c r="Y65">
        <v>6000577</v>
      </c>
      <c r="Z65">
        <v>1</v>
      </c>
      <c r="AA65">
        <v>27</v>
      </c>
      <c r="AB65" t="str">
        <f>""</f>
        <v/>
      </c>
      <c r="AC65" t="str">
        <f>""</f>
        <v/>
      </c>
      <c r="AD65" t="str">
        <f>""</f>
        <v/>
      </c>
      <c r="AE65">
        <v>2021</v>
      </c>
      <c r="AF65">
        <v>2024</v>
      </c>
      <c r="AG65" t="str">
        <f>"RENNES"</f>
        <v>RENNES</v>
      </c>
      <c r="AH65" t="str">
        <f>"RENNES"</f>
        <v>RENNES</v>
      </c>
      <c r="AI65" t="str">
        <f>""</f>
        <v/>
      </c>
      <c r="AJ65" t="str">
        <f>""</f>
        <v/>
      </c>
      <c r="AK65" t="str">
        <f>""</f>
        <v/>
      </c>
      <c r="AL65">
        <v>38</v>
      </c>
      <c r="AM65" t="str">
        <f>""</f>
        <v/>
      </c>
      <c r="AN65" t="str">
        <f>""</f>
        <v/>
      </c>
      <c r="AO65" t="str">
        <f>"Anita Conti"</f>
        <v>Anita Conti</v>
      </c>
      <c r="AP65" t="str">
        <f>"BRUZ"</f>
        <v>BRUZ</v>
      </c>
      <c r="AQ65" t="str">
        <f>"Rennes"</f>
        <v>Rennes</v>
      </c>
    </row>
    <row r="66" spans="1:43" x14ac:dyDescent="0.25">
      <c r="A66" t="str">
        <f t="shared" si="11"/>
        <v>1A,1A Eco,1A Ing,T02650</v>
      </c>
      <c r="B66" t="str">
        <f>"ROQUES"</f>
        <v>ROQUES</v>
      </c>
      <c r="C66" t="str">
        <f>"Jules"</f>
        <v>Jules</v>
      </c>
      <c r="D66" t="str">
        <f>"024-2680"</f>
        <v>024-2680</v>
      </c>
      <c r="E66" t="str">
        <f>"070069447FF"</f>
        <v>070069447FF</v>
      </c>
      <c r="F66" t="str">
        <f t="shared" ref="F66:F129" si="13">"0352480F"</f>
        <v>0352480F</v>
      </c>
      <c r="G66" t="str">
        <f t="shared" ref="G66:G129" si="14">"O"</f>
        <v>O</v>
      </c>
      <c r="H66">
        <v>10</v>
      </c>
      <c r="I66">
        <v>2004</v>
      </c>
      <c r="J66">
        <v>1</v>
      </c>
      <c r="K66" t="str">
        <f t="shared" si="12"/>
        <v>NBGE</v>
      </c>
      <c r="L66">
        <v>11</v>
      </c>
      <c r="M66">
        <v>2022</v>
      </c>
      <c r="N66" t="str">
        <f>"D"</f>
        <v>D</v>
      </c>
      <c r="O66" t="str">
        <f>"N"</f>
        <v>N</v>
      </c>
      <c r="P66">
        <v>0</v>
      </c>
      <c r="Q66">
        <v>100</v>
      </c>
      <c r="R66">
        <v>100</v>
      </c>
      <c r="S66" t="str">
        <f>""</f>
        <v/>
      </c>
      <c r="T66">
        <v>100</v>
      </c>
      <c r="U66" t="str">
        <f>""</f>
        <v/>
      </c>
      <c r="V66" t="str">
        <f>""</f>
        <v/>
      </c>
      <c r="W66">
        <v>23</v>
      </c>
      <c r="X66">
        <v>0</v>
      </c>
      <c r="Y66">
        <v>6000577</v>
      </c>
      <c r="Z66">
        <v>1</v>
      </c>
      <c r="AA66">
        <v>27</v>
      </c>
      <c r="AB66" t="str">
        <f>""</f>
        <v/>
      </c>
      <c r="AC66" t="str">
        <f>""</f>
        <v/>
      </c>
      <c r="AD66" t="str">
        <f>""</f>
        <v/>
      </c>
      <c r="AE66">
        <v>2022</v>
      </c>
      <c r="AF66">
        <v>2024</v>
      </c>
      <c r="AG66" t="str">
        <f>""</f>
        <v/>
      </c>
      <c r="AH66" t="str">
        <f>""</f>
        <v/>
      </c>
      <c r="AI66" t="str">
        <f>""</f>
        <v/>
      </c>
      <c r="AJ66" t="str">
        <f>""</f>
        <v/>
      </c>
      <c r="AK66" t="str">
        <f>""</f>
        <v/>
      </c>
      <c r="AL66">
        <v>31</v>
      </c>
      <c r="AM66" t="str">
        <f>""</f>
        <v/>
      </c>
      <c r="AN66" t="str">
        <f>""</f>
        <v/>
      </c>
      <c r="AO66" t="str">
        <f>"Jean Jaures"</f>
        <v>Jean Jaures</v>
      </c>
      <c r="AP66" t="str">
        <f>"ST CLÉMENT DE RIVIÈRE"</f>
        <v>ST CLÉMENT DE RIVIÈRE</v>
      </c>
      <c r="AQ66" t="str">
        <f>"Montpellier"</f>
        <v>Montpellier</v>
      </c>
    </row>
    <row r="67" spans="1:43" x14ac:dyDescent="0.25">
      <c r="A67" t="str">
        <f t="shared" si="11"/>
        <v>1A,1A Eco,1A Ing,T02650</v>
      </c>
      <c r="B67" t="str">
        <f>"SALBERT"</f>
        <v>SALBERT</v>
      </c>
      <c r="C67" t="str">
        <f>"Marie"</f>
        <v>Marie</v>
      </c>
      <c r="D67" t="str">
        <f>"024-2828"</f>
        <v>024-2828</v>
      </c>
      <c r="E67" t="str">
        <f>"070830574JH"</f>
        <v>070830574JH</v>
      </c>
      <c r="F67" t="str">
        <f t="shared" si="13"/>
        <v>0352480F</v>
      </c>
      <c r="G67" t="str">
        <f t="shared" si="14"/>
        <v>O</v>
      </c>
      <c r="H67">
        <v>10</v>
      </c>
      <c r="I67">
        <v>2004</v>
      </c>
      <c r="J67">
        <v>2</v>
      </c>
      <c r="K67" t="str">
        <f t="shared" si="12"/>
        <v>NBGE</v>
      </c>
      <c r="L67">
        <v>1</v>
      </c>
      <c r="M67">
        <v>2022</v>
      </c>
      <c r="N67" t="str">
        <f>"D"</f>
        <v>D</v>
      </c>
      <c r="O67" t="str">
        <f>"D"</f>
        <v>D</v>
      </c>
      <c r="P67">
        <v>0</v>
      </c>
      <c r="Q67">
        <v>100</v>
      </c>
      <c r="R67">
        <v>100</v>
      </c>
      <c r="S67" t="str">
        <f>""</f>
        <v/>
      </c>
      <c r="T67">
        <v>100</v>
      </c>
      <c r="U67" t="str">
        <f>""</f>
        <v/>
      </c>
      <c r="V67" t="str">
        <f>""</f>
        <v/>
      </c>
      <c r="W67">
        <v>37</v>
      </c>
      <c r="X67">
        <v>0</v>
      </c>
      <c r="Y67">
        <v>6000577</v>
      </c>
      <c r="Z67">
        <v>1</v>
      </c>
      <c r="AA67">
        <v>27</v>
      </c>
      <c r="AB67" t="str">
        <f>""</f>
        <v/>
      </c>
      <c r="AC67" t="str">
        <f>""</f>
        <v/>
      </c>
      <c r="AD67" t="str">
        <f>""</f>
        <v/>
      </c>
      <c r="AE67" t="str">
        <f>""</f>
        <v/>
      </c>
      <c r="AF67">
        <v>2024</v>
      </c>
      <c r="AG67" t="str">
        <f>""</f>
        <v/>
      </c>
      <c r="AH67" t="str">
        <f>""</f>
        <v/>
      </c>
      <c r="AI67" t="str">
        <f>""</f>
        <v/>
      </c>
      <c r="AJ67" t="str">
        <f>""</f>
        <v/>
      </c>
      <c r="AK67" t="str">
        <f>""</f>
        <v/>
      </c>
      <c r="AL67">
        <v>37</v>
      </c>
      <c r="AM67" t="str">
        <f>""</f>
        <v/>
      </c>
      <c r="AN67" t="str">
        <f>""</f>
        <v/>
      </c>
      <c r="AO67" t="str">
        <f>"Lycée Charles Peguy"</f>
        <v>Lycée Charles Peguy</v>
      </c>
      <c r="AP67" t="str">
        <f>"PARIS"</f>
        <v>PARIS</v>
      </c>
      <c r="AQ67" t="str">
        <f>"Paris"</f>
        <v>Paris</v>
      </c>
    </row>
    <row r="68" spans="1:43" x14ac:dyDescent="0.25">
      <c r="A68" t="str">
        <f t="shared" si="11"/>
        <v>1A,1A Eco,1A Ing,T02650</v>
      </c>
      <c r="B68" t="str">
        <f>"SAUVAGE"</f>
        <v>SAUVAGE</v>
      </c>
      <c r="C68" t="str">
        <f>"Anne-Caroline"</f>
        <v>Anne-Caroline</v>
      </c>
      <c r="D68" t="str">
        <f>"024-2646"</f>
        <v>024-2646</v>
      </c>
      <c r="E68" t="str">
        <f>"120832040JE"</f>
        <v>120832040JE</v>
      </c>
      <c r="F68" t="str">
        <f t="shared" si="13"/>
        <v>0352480F</v>
      </c>
      <c r="G68" t="str">
        <f t="shared" si="14"/>
        <v>O</v>
      </c>
      <c r="H68">
        <v>10</v>
      </c>
      <c r="I68">
        <v>2002</v>
      </c>
      <c r="J68">
        <v>2</v>
      </c>
      <c r="K68" t="str">
        <f>"S"</f>
        <v>S</v>
      </c>
      <c r="L68">
        <v>14</v>
      </c>
      <c r="M68">
        <v>2020</v>
      </c>
      <c r="N68" t="str">
        <f>"H"</f>
        <v>H</v>
      </c>
      <c r="O68" t="str">
        <f>"N"</f>
        <v>N</v>
      </c>
      <c r="P68">
        <v>0</v>
      </c>
      <c r="Q68">
        <v>100</v>
      </c>
      <c r="R68">
        <v>100</v>
      </c>
      <c r="S68">
        <v>35170</v>
      </c>
      <c r="T68">
        <v>100</v>
      </c>
      <c r="U68">
        <v>35170</v>
      </c>
      <c r="V68" t="str">
        <f>""</f>
        <v/>
      </c>
      <c r="W68">
        <v>0</v>
      </c>
      <c r="X68">
        <v>0</v>
      </c>
      <c r="Y68">
        <v>6000577</v>
      </c>
      <c r="Z68">
        <v>1</v>
      </c>
      <c r="AA68">
        <v>27</v>
      </c>
      <c r="AB68" t="str">
        <f>""</f>
        <v/>
      </c>
      <c r="AC68" t="str">
        <f>""</f>
        <v/>
      </c>
      <c r="AD68" t="str">
        <f>""</f>
        <v/>
      </c>
      <c r="AE68">
        <v>2020</v>
      </c>
      <c r="AF68">
        <v>2024</v>
      </c>
      <c r="AG68" t="str">
        <f>"BRUZ"</f>
        <v>BRUZ</v>
      </c>
      <c r="AH68" t="str">
        <f>"BRUZ"</f>
        <v>BRUZ</v>
      </c>
      <c r="AI68" t="str">
        <f>""</f>
        <v/>
      </c>
      <c r="AJ68" t="str">
        <f>""</f>
        <v/>
      </c>
      <c r="AK68" t="str">
        <f>""</f>
        <v/>
      </c>
      <c r="AL68">
        <v>31</v>
      </c>
      <c r="AM68" t="str">
        <f>""</f>
        <v/>
      </c>
      <c r="AN68" t="str">
        <f>""</f>
        <v/>
      </c>
      <c r="AO68" t="str">
        <f>"Lycée Dupuy de Lôme"</f>
        <v>Lycée Dupuy de Lôme</v>
      </c>
      <c r="AP68" t="str">
        <f>"LORIENT"</f>
        <v>LORIENT</v>
      </c>
      <c r="AQ68" t="str">
        <f>"Rennes"</f>
        <v>Rennes</v>
      </c>
    </row>
    <row r="69" spans="1:43" x14ac:dyDescent="0.25">
      <c r="A69" t="str">
        <f>"1A,1A Ing,1A SD,T00000"</f>
        <v>1A,1A Ing,1A SD,T00000</v>
      </c>
      <c r="B69" t="str">
        <f>"COTTEROT"</f>
        <v>COTTEROT</v>
      </c>
      <c r="C69" t="str">
        <f>"Hippolyte"</f>
        <v>Hippolyte</v>
      </c>
      <c r="D69" t="str">
        <f>"023-2382"</f>
        <v>023-2382</v>
      </c>
      <c r="E69" t="str">
        <f>"060373381AB"</f>
        <v>060373381AB</v>
      </c>
      <c r="F69" t="str">
        <f t="shared" si="13"/>
        <v>0352480F</v>
      </c>
      <c r="G69" t="str">
        <f t="shared" si="14"/>
        <v>O</v>
      </c>
      <c r="H69">
        <v>10</v>
      </c>
      <c r="I69">
        <v>2003</v>
      </c>
      <c r="J69">
        <v>1</v>
      </c>
      <c r="K69" t="str">
        <f>"S"</f>
        <v>S</v>
      </c>
      <c r="L69">
        <v>25</v>
      </c>
      <c r="M69">
        <v>2021</v>
      </c>
      <c r="N69" t="str">
        <f>"E"</f>
        <v>E</v>
      </c>
      <c r="O69" t="str">
        <f>"C"</f>
        <v>C</v>
      </c>
      <c r="P69">
        <v>0</v>
      </c>
      <c r="Q69">
        <v>100</v>
      </c>
      <c r="R69">
        <v>100</v>
      </c>
      <c r="S69">
        <v>35170</v>
      </c>
      <c r="T69">
        <v>100</v>
      </c>
      <c r="U69">
        <v>35170</v>
      </c>
      <c r="V69" t="str">
        <f>""</f>
        <v/>
      </c>
      <c r="W69">
        <v>34</v>
      </c>
      <c r="X69">
        <v>0</v>
      </c>
      <c r="Y69">
        <v>6000577</v>
      </c>
      <c r="Z69">
        <v>1</v>
      </c>
      <c r="AA69">
        <v>27</v>
      </c>
      <c r="AB69" t="str">
        <f>""</f>
        <v/>
      </c>
      <c r="AC69" t="str">
        <f>""</f>
        <v/>
      </c>
      <c r="AD69" t="str">
        <f>""</f>
        <v/>
      </c>
      <c r="AE69">
        <v>2021</v>
      </c>
      <c r="AF69">
        <v>2023</v>
      </c>
      <c r="AG69" t="str">
        <f>"Bruz"</f>
        <v>Bruz</v>
      </c>
      <c r="AH69" t="str">
        <f>"Bruz"</f>
        <v>Bruz</v>
      </c>
      <c r="AI69" t="str">
        <f>""</f>
        <v/>
      </c>
      <c r="AJ69" t="str">
        <f>""</f>
        <v/>
      </c>
      <c r="AK69" t="str">
        <f>""</f>
        <v/>
      </c>
      <c r="AL69">
        <v>22</v>
      </c>
      <c r="AM69" t="str">
        <f>""</f>
        <v/>
      </c>
      <c r="AN69" t="str">
        <f>""</f>
        <v/>
      </c>
      <c r="AO69" t="str">
        <f>"Lycée Léonard de Vinci"</f>
        <v>Lycée Léonard de Vinci</v>
      </c>
      <c r="AP69" t="str">
        <f>"LEVALLOIS-PERRET"</f>
        <v>LEVALLOIS-PERRET</v>
      </c>
      <c r="AQ69" t="str">
        <f>"Versailles"</f>
        <v>Versailles</v>
      </c>
    </row>
    <row r="70" spans="1:43" x14ac:dyDescent="0.25">
      <c r="A70" t="str">
        <f>"1A,1A Ing,1A SD,T00000"</f>
        <v>1A,1A Ing,1A SD,T00000</v>
      </c>
      <c r="B70" t="str">
        <f>"GAUTIER"</f>
        <v>GAUTIER</v>
      </c>
      <c r="C70" t="str">
        <f>"Victor"</f>
        <v>Victor</v>
      </c>
      <c r="D70" t="str">
        <f>"024-2661"</f>
        <v>024-2661</v>
      </c>
      <c r="E70" t="str">
        <f>"153229056AB"</f>
        <v>153229056AB</v>
      </c>
      <c r="F70" t="str">
        <f t="shared" si="13"/>
        <v>0352480F</v>
      </c>
      <c r="G70" t="str">
        <f t="shared" si="14"/>
        <v>O</v>
      </c>
      <c r="H70">
        <v>10</v>
      </c>
      <c r="I70">
        <v>2005</v>
      </c>
      <c r="J70">
        <v>1</v>
      </c>
      <c r="K70" t="str">
        <f>"NBGE"</f>
        <v>NBGE</v>
      </c>
      <c r="L70">
        <v>14</v>
      </c>
      <c r="M70">
        <v>2022</v>
      </c>
      <c r="N70" t="str">
        <f t="shared" ref="N70:N81" si="15">"C"</f>
        <v>C</v>
      </c>
      <c r="O70" t="str">
        <f>"A"</f>
        <v>A</v>
      </c>
      <c r="P70">
        <v>0</v>
      </c>
      <c r="Q70">
        <v>100</v>
      </c>
      <c r="R70">
        <v>100</v>
      </c>
      <c r="S70">
        <v>35170</v>
      </c>
      <c r="T70">
        <v>100</v>
      </c>
      <c r="U70">
        <v>35170</v>
      </c>
      <c r="V70" t="str">
        <f>""</f>
        <v/>
      </c>
      <c r="W70">
        <v>42</v>
      </c>
      <c r="X70">
        <v>0</v>
      </c>
      <c r="Y70">
        <v>6000577</v>
      </c>
      <c r="Z70">
        <v>1</v>
      </c>
      <c r="AA70">
        <v>27</v>
      </c>
      <c r="AB70" t="str">
        <f>""</f>
        <v/>
      </c>
      <c r="AC70" t="str">
        <f>""</f>
        <v/>
      </c>
      <c r="AD70" t="str">
        <f>""</f>
        <v/>
      </c>
      <c r="AE70">
        <v>2022</v>
      </c>
      <c r="AF70">
        <v>2024</v>
      </c>
      <c r="AG70" t="str">
        <f>"BRUZ"</f>
        <v>BRUZ</v>
      </c>
      <c r="AH70" t="str">
        <f>"BRUZ"</f>
        <v>BRUZ</v>
      </c>
      <c r="AI70" t="str">
        <f>""</f>
        <v/>
      </c>
      <c r="AJ70" t="str">
        <f>""</f>
        <v/>
      </c>
      <c r="AK70" t="str">
        <f>""</f>
        <v/>
      </c>
      <c r="AL70">
        <v>52</v>
      </c>
      <c r="AM70" t="str">
        <f>""</f>
        <v/>
      </c>
      <c r="AN70" t="str">
        <f>""</f>
        <v/>
      </c>
      <c r="AO70" t="str">
        <f>"Saint-Sauveur"</f>
        <v>Saint-Sauveur</v>
      </c>
      <c r="AP70" t="str">
        <f>"REDON"</f>
        <v>REDON</v>
      </c>
      <c r="AQ70" t="str">
        <f>"Rennes"</f>
        <v>Rennes</v>
      </c>
    </row>
    <row r="71" spans="1:43" x14ac:dyDescent="0.25">
      <c r="A71" t="str">
        <f>"1A,1A Ing,1A SD,T00000"</f>
        <v>1A,1A Ing,1A SD,T00000</v>
      </c>
      <c r="B71" t="str">
        <f>"HERVÉ"</f>
        <v>HERVÉ</v>
      </c>
      <c r="C71" t="str">
        <f>"Simon"</f>
        <v>Simon</v>
      </c>
      <c r="D71" t="str">
        <f>"024-2662"</f>
        <v>024-2662</v>
      </c>
      <c r="E71" t="str">
        <f>"071647433GF"</f>
        <v>071647433GF</v>
      </c>
      <c r="F71" t="str">
        <f t="shared" si="13"/>
        <v>0352480F</v>
      </c>
      <c r="G71" t="str">
        <f t="shared" si="14"/>
        <v>O</v>
      </c>
      <c r="H71">
        <v>10</v>
      </c>
      <c r="I71">
        <v>2001</v>
      </c>
      <c r="J71">
        <v>1</v>
      </c>
      <c r="K71" t="str">
        <f>"S"</f>
        <v>S</v>
      </c>
      <c r="L71">
        <v>14</v>
      </c>
      <c r="M71">
        <v>2018</v>
      </c>
      <c r="N71" t="str">
        <f t="shared" si="15"/>
        <v>C</v>
      </c>
      <c r="O71" t="str">
        <f>"C"</f>
        <v>C</v>
      </c>
      <c r="P71">
        <v>0</v>
      </c>
      <c r="Q71">
        <v>100</v>
      </c>
      <c r="R71">
        <v>100</v>
      </c>
      <c r="S71">
        <v>35170</v>
      </c>
      <c r="T71">
        <v>100</v>
      </c>
      <c r="U71">
        <v>35170</v>
      </c>
      <c r="V71" t="str">
        <f>""</f>
        <v/>
      </c>
      <c r="W71">
        <v>0</v>
      </c>
      <c r="X71">
        <v>0</v>
      </c>
      <c r="Y71">
        <v>6000577</v>
      </c>
      <c r="Z71">
        <v>1</v>
      </c>
      <c r="AA71">
        <v>27</v>
      </c>
      <c r="AB71" t="str">
        <f>""</f>
        <v/>
      </c>
      <c r="AC71" t="str">
        <f>""</f>
        <v/>
      </c>
      <c r="AD71" t="str">
        <f>""</f>
        <v/>
      </c>
      <c r="AE71">
        <v>2018</v>
      </c>
      <c r="AF71">
        <v>2024</v>
      </c>
      <c r="AG71" t="str">
        <f>"Bruz"</f>
        <v>Bruz</v>
      </c>
      <c r="AH71" t="str">
        <f>"Bruz"</f>
        <v>Bruz</v>
      </c>
      <c r="AI71" t="str">
        <f>""</f>
        <v/>
      </c>
      <c r="AJ71" t="str">
        <f>""</f>
        <v/>
      </c>
      <c r="AK71" t="str">
        <f>""</f>
        <v/>
      </c>
      <c r="AL71">
        <v>85</v>
      </c>
      <c r="AM71" t="str">
        <f>""</f>
        <v/>
      </c>
      <c r="AN71" t="str">
        <f>""</f>
        <v/>
      </c>
      <c r="AO71" t="str">
        <f>"Lycée Général et Technologique Privé Saint-Pierre"</f>
        <v>Lycée Général et Technologique Privé Saint-Pierre</v>
      </c>
      <c r="AP71" t="str">
        <f>"SAINT-BRIEUC"</f>
        <v>SAINT-BRIEUC</v>
      </c>
      <c r="AQ71" t="str">
        <f>"Rennes"</f>
        <v>Rennes</v>
      </c>
    </row>
    <row r="72" spans="1:43" x14ac:dyDescent="0.25">
      <c r="A72" t="str">
        <f t="shared" ref="A72:A81" si="16">"1A,1A Ing,1A SD,T02650"</f>
        <v>1A,1A Ing,1A SD,T02650</v>
      </c>
      <c r="B72" t="str">
        <f>"DORCHIES"</f>
        <v>DORCHIES</v>
      </c>
      <c r="C72" t="str">
        <f>"Wandrille"</f>
        <v>Wandrille</v>
      </c>
      <c r="D72" t="str">
        <f>"024-2660"</f>
        <v>024-2660</v>
      </c>
      <c r="E72" t="str">
        <f>"110531630GE"</f>
        <v>110531630GE</v>
      </c>
      <c r="F72" t="str">
        <f t="shared" si="13"/>
        <v>0352480F</v>
      </c>
      <c r="G72" t="str">
        <f t="shared" si="14"/>
        <v>O</v>
      </c>
      <c r="H72">
        <v>10</v>
      </c>
      <c r="I72">
        <v>2002</v>
      </c>
      <c r="J72">
        <v>1</v>
      </c>
      <c r="K72" t="str">
        <f>"ES"</f>
        <v>ES</v>
      </c>
      <c r="L72">
        <v>1</v>
      </c>
      <c r="M72">
        <v>2020</v>
      </c>
      <c r="N72" t="str">
        <f t="shared" si="15"/>
        <v>C</v>
      </c>
      <c r="O72" t="str">
        <f>"C"</f>
        <v>C</v>
      </c>
      <c r="P72">
        <v>0</v>
      </c>
      <c r="Q72">
        <v>100</v>
      </c>
      <c r="R72">
        <v>100</v>
      </c>
      <c r="S72">
        <v>35000</v>
      </c>
      <c r="T72">
        <v>100</v>
      </c>
      <c r="U72">
        <v>35000</v>
      </c>
      <c r="V72" t="str">
        <f>""</f>
        <v/>
      </c>
      <c r="W72">
        <v>38</v>
      </c>
      <c r="X72">
        <v>0</v>
      </c>
      <c r="Y72">
        <v>6000577</v>
      </c>
      <c r="Z72">
        <v>1</v>
      </c>
      <c r="AA72">
        <v>27</v>
      </c>
      <c r="AB72" t="str">
        <f>""</f>
        <v/>
      </c>
      <c r="AC72" t="str">
        <f>""</f>
        <v/>
      </c>
      <c r="AD72" t="str">
        <f>""</f>
        <v/>
      </c>
      <c r="AE72">
        <v>2020</v>
      </c>
      <c r="AF72">
        <v>2024</v>
      </c>
      <c r="AG72" t="str">
        <f>"Rennes"</f>
        <v>Rennes</v>
      </c>
      <c r="AH72" t="str">
        <f>"Rennes"</f>
        <v>Rennes</v>
      </c>
      <c r="AI72" t="str">
        <f>""</f>
        <v/>
      </c>
      <c r="AJ72" t="str">
        <f>""</f>
        <v/>
      </c>
      <c r="AK72" t="str">
        <f>""</f>
        <v/>
      </c>
      <c r="AL72">
        <v>34</v>
      </c>
      <c r="AM72" t="str">
        <f>""</f>
        <v/>
      </c>
      <c r="AN72" t="str">
        <f>""</f>
        <v/>
      </c>
      <c r="AO72" t="str">
        <f>"Saint Louis de Gonzague"</f>
        <v>Saint Louis de Gonzague</v>
      </c>
      <c r="AP72" t="str">
        <f>"PARIS"</f>
        <v>PARIS</v>
      </c>
      <c r="AQ72" t="str">
        <f>"Paris"</f>
        <v>Paris</v>
      </c>
    </row>
    <row r="73" spans="1:43" x14ac:dyDescent="0.25">
      <c r="A73" t="str">
        <f t="shared" si="16"/>
        <v>1A,1A Ing,1A SD,T02650</v>
      </c>
      <c r="B73" t="str">
        <f>"DUCHâTEAU"</f>
        <v>DUCHâTEAU</v>
      </c>
      <c r="C73" t="str">
        <f>"Théo"</f>
        <v>Théo</v>
      </c>
      <c r="D73" t="str">
        <f>"024-2658"</f>
        <v>024-2658</v>
      </c>
      <c r="E73" t="str">
        <f>"070676462GG"</f>
        <v>070676462GG</v>
      </c>
      <c r="F73" t="str">
        <f t="shared" si="13"/>
        <v>0352480F</v>
      </c>
      <c r="G73" t="str">
        <f t="shared" si="14"/>
        <v>O</v>
      </c>
      <c r="H73">
        <v>10</v>
      </c>
      <c r="I73">
        <v>2004</v>
      </c>
      <c r="J73">
        <v>1</v>
      </c>
      <c r="K73" t="str">
        <f>"NBGE"</f>
        <v>NBGE</v>
      </c>
      <c r="L73">
        <v>20</v>
      </c>
      <c r="M73">
        <v>2022</v>
      </c>
      <c r="N73" t="str">
        <f t="shared" si="15"/>
        <v>C</v>
      </c>
      <c r="O73" t="str">
        <f>"C"</f>
        <v>C</v>
      </c>
      <c r="P73">
        <v>0</v>
      </c>
      <c r="Q73">
        <v>100</v>
      </c>
      <c r="R73">
        <v>100</v>
      </c>
      <c r="S73">
        <v>35170</v>
      </c>
      <c r="T73">
        <v>100</v>
      </c>
      <c r="U73">
        <v>35170</v>
      </c>
      <c r="V73" t="str">
        <f>""</f>
        <v/>
      </c>
      <c r="W73">
        <v>38</v>
      </c>
      <c r="X73">
        <v>0</v>
      </c>
      <c r="Y73">
        <v>6000577</v>
      </c>
      <c r="Z73">
        <v>1</v>
      </c>
      <c r="AA73">
        <v>27</v>
      </c>
      <c r="AB73" t="str">
        <f>""</f>
        <v/>
      </c>
      <c r="AC73" t="str">
        <f>""</f>
        <v/>
      </c>
      <c r="AD73" t="str">
        <f>""</f>
        <v/>
      </c>
      <c r="AE73">
        <v>2022</v>
      </c>
      <c r="AF73">
        <v>2024</v>
      </c>
      <c r="AG73" t="str">
        <f>""</f>
        <v/>
      </c>
      <c r="AH73" t="str">
        <f>""</f>
        <v/>
      </c>
      <c r="AI73" t="str">
        <f>""</f>
        <v/>
      </c>
      <c r="AJ73" t="str">
        <f>""</f>
        <v/>
      </c>
      <c r="AK73" t="str">
        <f>""</f>
        <v/>
      </c>
      <c r="AL73">
        <v>74</v>
      </c>
      <c r="AM73" t="str">
        <f>""</f>
        <v/>
      </c>
      <c r="AN73" t="str">
        <f>""</f>
        <v/>
      </c>
      <c r="AO73" t="str">
        <f>"Lycée Marie Curie"</f>
        <v>Lycée Marie Curie</v>
      </c>
      <c r="AP73" t="str">
        <f>"NOGENT SUR OISE"</f>
        <v>NOGENT SUR OISE</v>
      </c>
      <c r="AQ73" t="str">
        <f>"Amiens"</f>
        <v>Amiens</v>
      </c>
    </row>
    <row r="74" spans="1:43" x14ac:dyDescent="0.25">
      <c r="A74" t="str">
        <f t="shared" si="16"/>
        <v>1A,1A Ing,1A SD,T02650</v>
      </c>
      <c r="B74" t="str">
        <f>"DURANTON"</f>
        <v>DURANTON</v>
      </c>
      <c r="C74" t="str">
        <f>"Fanny"</f>
        <v>Fanny</v>
      </c>
      <c r="D74" t="str">
        <f>"024-2589"</f>
        <v>024-2589</v>
      </c>
      <c r="E74" t="str">
        <f>"153155638JH"</f>
        <v>153155638JH</v>
      </c>
      <c r="F74" t="str">
        <f t="shared" si="13"/>
        <v>0352480F</v>
      </c>
      <c r="G74" t="str">
        <f t="shared" si="14"/>
        <v>O</v>
      </c>
      <c r="H74">
        <v>10</v>
      </c>
      <c r="I74">
        <v>2004</v>
      </c>
      <c r="J74">
        <v>2</v>
      </c>
      <c r="K74" t="str">
        <f>"C"</f>
        <v>C</v>
      </c>
      <c r="L74">
        <v>8</v>
      </c>
      <c r="M74">
        <v>2022</v>
      </c>
      <c r="N74" t="str">
        <f t="shared" si="15"/>
        <v>C</v>
      </c>
      <c r="O74" t="str">
        <f>"C"</f>
        <v>C</v>
      </c>
      <c r="P74">
        <v>0</v>
      </c>
      <c r="Q74">
        <v>100</v>
      </c>
      <c r="R74">
        <v>100</v>
      </c>
      <c r="S74">
        <v>35170</v>
      </c>
      <c r="T74">
        <v>100</v>
      </c>
      <c r="U74">
        <v>35170</v>
      </c>
      <c r="V74" t="str">
        <f>""</f>
        <v/>
      </c>
      <c r="W74">
        <v>38</v>
      </c>
      <c r="X74">
        <v>0</v>
      </c>
      <c r="Y74">
        <v>6000577</v>
      </c>
      <c r="Z74">
        <v>1</v>
      </c>
      <c r="AA74">
        <v>27</v>
      </c>
      <c r="AB74" t="str">
        <f>""</f>
        <v/>
      </c>
      <c r="AC74" t="str">
        <f>""</f>
        <v/>
      </c>
      <c r="AD74" t="str">
        <f>""</f>
        <v/>
      </c>
      <c r="AE74">
        <v>2022</v>
      </c>
      <c r="AF74">
        <v>2024</v>
      </c>
      <c r="AG74" t="str">
        <f>"Bruz"</f>
        <v>Bruz</v>
      </c>
      <c r="AH74" t="str">
        <f>"Bruz"</f>
        <v>Bruz</v>
      </c>
      <c r="AI74" t="str">
        <f>""</f>
        <v/>
      </c>
      <c r="AJ74" t="str">
        <f>""</f>
        <v/>
      </c>
      <c r="AK74" t="str">
        <f>""</f>
        <v/>
      </c>
      <c r="AL74">
        <v>43</v>
      </c>
      <c r="AM74" t="str">
        <f>""</f>
        <v/>
      </c>
      <c r="AN74" t="str">
        <f>""</f>
        <v/>
      </c>
      <c r="AO74" t="str">
        <f>"Pierre du Terrail"</f>
        <v>Pierre du Terrail</v>
      </c>
      <c r="AP74" t="str">
        <f>"PONTCHARRA"</f>
        <v>PONTCHARRA</v>
      </c>
      <c r="AQ74" t="str">
        <f>"Grenoble"</f>
        <v>Grenoble</v>
      </c>
    </row>
    <row r="75" spans="1:43" x14ac:dyDescent="0.25">
      <c r="A75" t="str">
        <f t="shared" si="16"/>
        <v>1A,1A Ing,1A SD,T02650</v>
      </c>
      <c r="B75" t="str">
        <f>"EPRINCHARD"</f>
        <v>EPRINCHARD</v>
      </c>
      <c r="C75" t="str">
        <f>"Marion"</f>
        <v>Marion</v>
      </c>
      <c r="D75" t="str">
        <f>"024-2656"</f>
        <v>024-2656</v>
      </c>
      <c r="E75" t="str">
        <f>"090082423CC"</f>
        <v>090082423CC</v>
      </c>
      <c r="F75" t="str">
        <f t="shared" si="13"/>
        <v>0352480F</v>
      </c>
      <c r="G75" t="str">
        <f t="shared" si="14"/>
        <v>O</v>
      </c>
      <c r="H75">
        <v>10</v>
      </c>
      <c r="I75">
        <v>2003</v>
      </c>
      <c r="J75">
        <v>2</v>
      </c>
      <c r="K75" t="str">
        <f>"NBGE"</f>
        <v>NBGE</v>
      </c>
      <c r="L75">
        <v>14</v>
      </c>
      <c r="M75">
        <v>2021</v>
      </c>
      <c r="N75" t="str">
        <f t="shared" si="15"/>
        <v>C</v>
      </c>
      <c r="O75" t="str">
        <f>"N"</f>
        <v>N</v>
      </c>
      <c r="P75">
        <v>0</v>
      </c>
      <c r="Q75">
        <v>100</v>
      </c>
      <c r="R75">
        <v>100</v>
      </c>
      <c r="S75">
        <v>35170</v>
      </c>
      <c r="T75">
        <v>100</v>
      </c>
      <c r="U75">
        <v>35170</v>
      </c>
      <c r="V75" t="str">
        <f>""</f>
        <v/>
      </c>
      <c r="W75">
        <v>53</v>
      </c>
      <c r="X75">
        <v>0</v>
      </c>
      <c r="Y75">
        <v>6000577</v>
      </c>
      <c r="Z75">
        <v>1</v>
      </c>
      <c r="AA75">
        <v>27</v>
      </c>
      <c r="AB75" t="str">
        <f>""</f>
        <v/>
      </c>
      <c r="AC75" t="str">
        <f>""</f>
        <v/>
      </c>
      <c r="AD75" t="str">
        <f>""</f>
        <v/>
      </c>
      <c r="AE75">
        <v>2021</v>
      </c>
      <c r="AF75">
        <v>2024</v>
      </c>
      <c r="AG75" t="str">
        <f>"BRUZ"</f>
        <v>BRUZ</v>
      </c>
      <c r="AH75" t="str">
        <f>"BRUZ"</f>
        <v>BRUZ</v>
      </c>
      <c r="AI75" t="str">
        <f>""</f>
        <v/>
      </c>
      <c r="AJ75" t="str">
        <f>""</f>
        <v/>
      </c>
      <c r="AK75" t="str">
        <f>""</f>
        <v/>
      </c>
      <c r="AL75">
        <v>99</v>
      </c>
      <c r="AM75" t="str">
        <f>""</f>
        <v/>
      </c>
      <c r="AN75" t="str">
        <f>""</f>
        <v/>
      </c>
      <c r="AO75" t="str">
        <f>"Lycée Bréquigny"</f>
        <v>Lycée Bréquigny</v>
      </c>
      <c r="AP75" t="str">
        <f>"RENNES"</f>
        <v>RENNES</v>
      </c>
      <c r="AQ75" t="str">
        <f>"Rennes"</f>
        <v>Rennes</v>
      </c>
    </row>
    <row r="76" spans="1:43" x14ac:dyDescent="0.25">
      <c r="A76" t="str">
        <f t="shared" si="16"/>
        <v>1A,1A Ing,1A SD,T02650</v>
      </c>
      <c r="B76" t="str">
        <f>"LE PADAN-COMOLA"</f>
        <v>LE PADAN-COMOLA</v>
      </c>
      <c r="C76" t="str">
        <f>"Martin"</f>
        <v>Martin</v>
      </c>
      <c r="D76" t="str">
        <f>"024-2653"</f>
        <v>024-2653</v>
      </c>
      <c r="E76" t="str">
        <f>"153319783GG"</f>
        <v>153319783GG</v>
      </c>
      <c r="F76" t="str">
        <f t="shared" si="13"/>
        <v>0352480F</v>
      </c>
      <c r="G76" t="str">
        <f t="shared" si="14"/>
        <v>O</v>
      </c>
      <c r="H76">
        <v>10</v>
      </c>
      <c r="I76">
        <v>2005</v>
      </c>
      <c r="J76">
        <v>1</v>
      </c>
      <c r="K76" t="str">
        <f>"NBGE"</f>
        <v>NBGE</v>
      </c>
      <c r="L76">
        <v>11</v>
      </c>
      <c r="M76">
        <v>2022</v>
      </c>
      <c r="N76" t="str">
        <f t="shared" si="15"/>
        <v>C</v>
      </c>
      <c r="O76" t="str">
        <f>"C"</f>
        <v>C</v>
      </c>
      <c r="P76">
        <v>0</v>
      </c>
      <c r="Q76">
        <v>100</v>
      </c>
      <c r="R76">
        <v>100</v>
      </c>
      <c r="S76">
        <v>35170</v>
      </c>
      <c r="T76">
        <v>100</v>
      </c>
      <c r="U76">
        <v>35170</v>
      </c>
      <c r="V76" t="str">
        <f>""</f>
        <v/>
      </c>
      <c r="W76">
        <v>33</v>
      </c>
      <c r="X76">
        <v>0</v>
      </c>
      <c r="Y76">
        <v>6000577</v>
      </c>
      <c r="Z76">
        <v>1</v>
      </c>
      <c r="AA76">
        <v>27</v>
      </c>
      <c r="AB76" t="str">
        <f>""</f>
        <v/>
      </c>
      <c r="AC76" t="str">
        <f>""</f>
        <v/>
      </c>
      <c r="AD76" t="str">
        <f>""</f>
        <v/>
      </c>
      <c r="AE76">
        <v>2022</v>
      </c>
      <c r="AF76">
        <v>2024</v>
      </c>
      <c r="AG76" t="str">
        <f t="shared" ref="AG76:AH78" si="17">"Bruz"</f>
        <v>Bruz</v>
      </c>
      <c r="AH76" t="str">
        <f t="shared" si="17"/>
        <v>Bruz</v>
      </c>
      <c r="AI76" t="str">
        <f>""</f>
        <v/>
      </c>
      <c r="AJ76" t="str">
        <f>""</f>
        <v/>
      </c>
      <c r="AK76" t="str">
        <f>""</f>
        <v/>
      </c>
      <c r="AL76">
        <v>45</v>
      </c>
      <c r="AM76" t="str">
        <f>""</f>
        <v/>
      </c>
      <c r="AN76" t="str">
        <f>""</f>
        <v/>
      </c>
      <c r="AO76" t="str">
        <f>"GEORGES CLEMENCEAU"</f>
        <v>GEORGES CLEMENCEAU</v>
      </c>
      <c r="AP76" t="str">
        <f>"MONTPELLIER"</f>
        <v>MONTPELLIER</v>
      </c>
      <c r="AQ76" t="str">
        <f>"Montpellier"</f>
        <v>Montpellier</v>
      </c>
    </row>
    <row r="77" spans="1:43" x14ac:dyDescent="0.25">
      <c r="A77" t="str">
        <f t="shared" si="16"/>
        <v>1A,1A Ing,1A SD,T02650</v>
      </c>
      <c r="B77" t="str">
        <f>"LERICHE"</f>
        <v>LERICHE</v>
      </c>
      <c r="C77" t="str">
        <f>"Enzo"</f>
        <v>Enzo</v>
      </c>
      <c r="D77" t="str">
        <f>"024-2659"</f>
        <v>024-2659</v>
      </c>
      <c r="E77" t="str">
        <f>"090730443FK"</f>
        <v>090730443FK</v>
      </c>
      <c r="F77" t="str">
        <f t="shared" si="13"/>
        <v>0352480F</v>
      </c>
      <c r="G77" t="str">
        <f t="shared" si="14"/>
        <v>O</v>
      </c>
      <c r="H77">
        <v>10</v>
      </c>
      <c r="I77">
        <v>2003</v>
      </c>
      <c r="J77">
        <v>1</v>
      </c>
      <c r="K77" t="str">
        <f>"STI2D"</f>
        <v>STI2D</v>
      </c>
      <c r="L77">
        <v>24</v>
      </c>
      <c r="M77">
        <v>2022</v>
      </c>
      <c r="N77" t="str">
        <f t="shared" si="15"/>
        <v>C</v>
      </c>
      <c r="O77" t="str">
        <f>"C"</f>
        <v>C</v>
      </c>
      <c r="P77">
        <v>0</v>
      </c>
      <c r="Q77">
        <v>100</v>
      </c>
      <c r="R77">
        <v>100</v>
      </c>
      <c r="S77">
        <v>35170</v>
      </c>
      <c r="T77">
        <v>100</v>
      </c>
      <c r="U77">
        <v>35170</v>
      </c>
      <c r="V77" t="str">
        <f>""</f>
        <v/>
      </c>
      <c r="W77">
        <v>38</v>
      </c>
      <c r="X77">
        <v>0</v>
      </c>
      <c r="Y77">
        <v>6000577</v>
      </c>
      <c r="Z77">
        <v>1</v>
      </c>
      <c r="AA77">
        <v>27</v>
      </c>
      <c r="AB77" t="str">
        <f>""</f>
        <v/>
      </c>
      <c r="AC77" t="str">
        <f>""</f>
        <v/>
      </c>
      <c r="AD77" t="str">
        <f>""</f>
        <v/>
      </c>
      <c r="AE77">
        <v>2022</v>
      </c>
      <c r="AF77">
        <v>2024</v>
      </c>
      <c r="AG77" t="str">
        <f t="shared" si="17"/>
        <v>Bruz</v>
      </c>
      <c r="AH77" t="str">
        <f t="shared" si="17"/>
        <v>Bruz</v>
      </c>
      <c r="AI77" t="str">
        <f>""</f>
        <v/>
      </c>
      <c r="AJ77" t="str">
        <f>""</f>
        <v/>
      </c>
      <c r="AK77" t="str">
        <f>""</f>
        <v/>
      </c>
      <c r="AL77">
        <v>52</v>
      </c>
      <c r="AM77" t="str">
        <f>""</f>
        <v/>
      </c>
      <c r="AN77" t="str">
        <f>""</f>
        <v/>
      </c>
      <c r="AO77" t="str">
        <f>"Lycée Polyvalent de Cachan"</f>
        <v>Lycée Polyvalent de Cachan</v>
      </c>
      <c r="AP77" t="str">
        <f>"CACHAN"</f>
        <v>CACHAN</v>
      </c>
      <c r="AQ77" t="str">
        <f>"Créteil"</f>
        <v>Créteil</v>
      </c>
    </row>
    <row r="78" spans="1:43" x14ac:dyDescent="0.25">
      <c r="A78" t="str">
        <f t="shared" si="16"/>
        <v>1A,1A Ing,1A SD,T02650</v>
      </c>
      <c r="B78" t="str">
        <f>"PLATEL"</f>
        <v>PLATEL</v>
      </c>
      <c r="C78" t="str">
        <f>"Hugo"</f>
        <v>Hugo</v>
      </c>
      <c r="D78" t="str">
        <f>"024-2657"</f>
        <v>024-2657</v>
      </c>
      <c r="E78" t="str">
        <f>"070877807HK"</f>
        <v>070877807HK</v>
      </c>
      <c r="F78" t="str">
        <f t="shared" si="13"/>
        <v>0352480F</v>
      </c>
      <c r="G78" t="str">
        <f t="shared" si="14"/>
        <v>O</v>
      </c>
      <c r="H78">
        <v>10</v>
      </c>
      <c r="I78">
        <v>2000</v>
      </c>
      <c r="J78">
        <v>1</v>
      </c>
      <c r="K78" t="str">
        <f>"ES"</f>
        <v>ES</v>
      </c>
      <c r="L78">
        <v>12</v>
      </c>
      <c r="M78">
        <v>2019</v>
      </c>
      <c r="N78" t="str">
        <f t="shared" si="15"/>
        <v>C</v>
      </c>
      <c r="O78" t="str">
        <f>"C"</f>
        <v>C</v>
      </c>
      <c r="P78">
        <v>0</v>
      </c>
      <c r="Q78">
        <v>100</v>
      </c>
      <c r="R78">
        <v>100</v>
      </c>
      <c r="S78">
        <v>35170</v>
      </c>
      <c r="T78">
        <v>100</v>
      </c>
      <c r="U78">
        <v>35170</v>
      </c>
      <c r="V78" t="str">
        <f>""</f>
        <v/>
      </c>
      <c r="W78">
        <v>23</v>
      </c>
      <c r="X78">
        <v>0</v>
      </c>
      <c r="Y78">
        <v>6000577</v>
      </c>
      <c r="Z78">
        <v>1</v>
      </c>
      <c r="AA78">
        <v>27</v>
      </c>
      <c r="AB78" t="str">
        <f>""</f>
        <v/>
      </c>
      <c r="AC78" t="str">
        <f>""</f>
        <v/>
      </c>
      <c r="AD78" t="str">
        <f>""</f>
        <v/>
      </c>
      <c r="AE78">
        <v>2020</v>
      </c>
      <c r="AF78">
        <v>2024</v>
      </c>
      <c r="AG78" t="str">
        <f t="shared" si="17"/>
        <v>Bruz</v>
      </c>
      <c r="AH78" t="str">
        <f t="shared" si="17"/>
        <v>Bruz</v>
      </c>
      <c r="AI78" t="str">
        <f>""</f>
        <v/>
      </c>
      <c r="AJ78" t="str">
        <f>""</f>
        <v/>
      </c>
      <c r="AK78" t="str">
        <f>""</f>
        <v/>
      </c>
      <c r="AL78">
        <v>54</v>
      </c>
      <c r="AM78" t="str">
        <f>""</f>
        <v/>
      </c>
      <c r="AN78" t="str">
        <f>""</f>
        <v/>
      </c>
      <c r="AO78" t="str">
        <f>"Saint-Anne"</f>
        <v>Saint-Anne</v>
      </c>
      <c r="AP78" t="str">
        <f>"VERDUN"</f>
        <v>VERDUN</v>
      </c>
      <c r="AQ78" t="str">
        <f>"Nancy-Metz"</f>
        <v>Nancy-Metz</v>
      </c>
    </row>
    <row r="79" spans="1:43" x14ac:dyDescent="0.25">
      <c r="A79" t="str">
        <f t="shared" si="16"/>
        <v>1A,1A Ing,1A SD,T02650</v>
      </c>
      <c r="B79" t="str">
        <f>"SIMAL"</f>
        <v>SIMAL</v>
      </c>
      <c r="C79" t="str">
        <f>"Ousseynou"</f>
        <v>Ousseynou</v>
      </c>
      <c r="D79" t="str">
        <f>"024-2590"</f>
        <v>024-2590</v>
      </c>
      <c r="E79" t="str">
        <f>"213330413DJ"</f>
        <v>213330413DJ</v>
      </c>
      <c r="F79" t="str">
        <f t="shared" si="13"/>
        <v>0352480F</v>
      </c>
      <c r="G79" t="str">
        <f t="shared" si="14"/>
        <v>O</v>
      </c>
      <c r="H79">
        <v>10</v>
      </c>
      <c r="I79">
        <v>2004</v>
      </c>
      <c r="J79">
        <v>1</v>
      </c>
      <c r="K79" t="str">
        <f>"S"</f>
        <v>S</v>
      </c>
      <c r="L79">
        <v>99</v>
      </c>
      <c r="M79">
        <v>2022</v>
      </c>
      <c r="N79" t="str">
        <f t="shared" si="15"/>
        <v>C</v>
      </c>
      <c r="O79" t="str">
        <f>"C"</f>
        <v>C</v>
      </c>
      <c r="P79">
        <v>0</v>
      </c>
      <c r="Q79">
        <v>341</v>
      </c>
      <c r="R79">
        <v>100</v>
      </c>
      <c r="S79">
        <v>35200</v>
      </c>
      <c r="T79">
        <v>100</v>
      </c>
      <c r="U79">
        <v>35200</v>
      </c>
      <c r="V79" t="str">
        <f>""</f>
        <v/>
      </c>
      <c r="W79">
        <v>34</v>
      </c>
      <c r="X79">
        <v>0</v>
      </c>
      <c r="Y79">
        <v>6000577</v>
      </c>
      <c r="Z79">
        <v>1</v>
      </c>
      <c r="AA79">
        <v>27</v>
      </c>
      <c r="AB79" t="str">
        <f>""</f>
        <v/>
      </c>
      <c r="AC79" t="str">
        <f>""</f>
        <v/>
      </c>
      <c r="AD79" t="str">
        <f>""</f>
        <v/>
      </c>
      <c r="AE79">
        <v>2022</v>
      </c>
      <c r="AF79">
        <v>2024</v>
      </c>
      <c r="AG79" t="str">
        <f>"Rennes"</f>
        <v>Rennes</v>
      </c>
      <c r="AH79" t="str">
        <f>"Rennes"</f>
        <v>Rennes</v>
      </c>
      <c r="AI79" t="str">
        <f>""</f>
        <v/>
      </c>
      <c r="AJ79" t="str">
        <f>""</f>
        <v/>
      </c>
      <c r="AK79" t="str">
        <f>""</f>
        <v/>
      </c>
      <c r="AL79">
        <v>22</v>
      </c>
      <c r="AM79" t="str">
        <f>""</f>
        <v/>
      </c>
      <c r="AN79" t="str">
        <f>""</f>
        <v/>
      </c>
      <c r="AO79" t="str">
        <f>"Groupe Scolaire Saint Viateur"</f>
        <v>Groupe Scolaire Saint Viateur</v>
      </c>
      <c r="AP79" t="str">
        <f>"OUAGADOUGOU"</f>
        <v>OUAGADOUGOU</v>
      </c>
      <c r="AQ79" t="str">
        <f>"Non défini ou sans objet"</f>
        <v>Non défini ou sans objet</v>
      </c>
    </row>
    <row r="80" spans="1:43" x14ac:dyDescent="0.25">
      <c r="A80" t="str">
        <f t="shared" si="16"/>
        <v>1A,1A Ing,1A SD,T02650</v>
      </c>
      <c r="B80" t="str">
        <f>"SOUMAILA SEKOU BERY"</f>
        <v>SOUMAILA SEKOU BERY</v>
      </c>
      <c r="C80" t="str">
        <f>"Nadia"</f>
        <v>Nadia</v>
      </c>
      <c r="D80" t="str">
        <f>"024-2655"</f>
        <v>024-2655</v>
      </c>
      <c r="E80" t="str">
        <f>"213034132JB"</f>
        <v>213034132JB</v>
      </c>
      <c r="F80" t="str">
        <f t="shared" si="13"/>
        <v>0352480F</v>
      </c>
      <c r="G80" t="str">
        <f t="shared" si="14"/>
        <v>O</v>
      </c>
      <c r="H80">
        <v>10</v>
      </c>
      <c r="I80">
        <v>2003</v>
      </c>
      <c r="J80">
        <v>2</v>
      </c>
      <c r="K80" t="str">
        <f>"D"</f>
        <v>D</v>
      </c>
      <c r="L80">
        <v>0</v>
      </c>
      <c r="M80">
        <v>2021</v>
      </c>
      <c r="N80" t="str">
        <f t="shared" si="15"/>
        <v>C</v>
      </c>
      <c r="O80" t="str">
        <f>"N"</f>
        <v>N</v>
      </c>
      <c r="P80">
        <v>0</v>
      </c>
      <c r="Q80">
        <v>337</v>
      </c>
      <c r="R80">
        <v>100</v>
      </c>
      <c r="S80">
        <v>35170</v>
      </c>
      <c r="T80">
        <v>100</v>
      </c>
      <c r="U80">
        <v>35170</v>
      </c>
      <c r="V80" t="str">
        <f>""</f>
        <v/>
      </c>
      <c r="W80">
        <v>37</v>
      </c>
      <c r="X80">
        <v>0</v>
      </c>
      <c r="Y80">
        <v>6000577</v>
      </c>
      <c r="Z80">
        <v>1</v>
      </c>
      <c r="AA80">
        <v>27</v>
      </c>
      <c r="AB80" t="str">
        <f>""</f>
        <v/>
      </c>
      <c r="AC80" t="str">
        <f>""</f>
        <v/>
      </c>
      <c r="AD80" t="str">
        <f>""</f>
        <v/>
      </c>
      <c r="AE80">
        <v>2021</v>
      </c>
      <c r="AF80">
        <v>2024</v>
      </c>
      <c r="AG80" t="str">
        <f>"Bruz"</f>
        <v>Bruz</v>
      </c>
      <c r="AH80" t="str">
        <f>"Bruz"</f>
        <v>Bruz</v>
      </c>
      <c r="AI80" t="str">
        <f>""</f>
        <v/>
      </c>
      <c r="AJ80" t="str">
        <f>""</f>
        <v/>
      </c>
      <c r="AK80" t="str">
        <f>""</f>
        <v/>
      </c>
      <c r="AL80">
        <v>85</v>
      </c>
      <c r="AM80" t="str">
        <f>""</f>
        <v/>
      </c>
      <c r="AN80" t="str">
        <f>""</f>
        <v/>
      </c>
      <c r="AO80" t="str">
        <f>"École internationale de l'Amitié"</f>
        <v>École internationale de l'Amitié</v>
      </c>
      <c r="AP80" t="str">
        <f>"OUAGADOUGOU"</f>
        <v>OUAGADOUGOU</v>
      </c>
      <c r="AQ80" t="str">
        <f>"Etranger"</f>
        <v>Etranger</v>
      </c>
    </row>
    <row r="81" spans="1:43" x14ac:dyDescent="0.25">
      <c r="A81" t="str">
        <f t="shared" si="16"/>
        <v>1A,1A Ing,1A SD,T02650</v>
      </c>
      <c r="B81" t="str">
        <f>"YANNI"</f>
        <v>YANNI</v>
      </c>
      <c r="C81" t="str">
        <f>"Gabrielle"</f>
        <v>Gabrielle</v>
      </c>
      <c r="D81" t="str">
        <f>"024-2654"</f>
        <v>024-2654</v>
      </c>
      <c r="E81" t="str">
        <f>"183138661FF"</f>
        <v>183138661FF</v>
      </c>
      <c r="F81" t="str">
        <f t="shared" si="13"/>
        <v>0352480F</v>
      </c>
      <c r="G81" t="str">
        <f t="shared" si="14"/>
        <v>O</v>
      </c>
      <c r="H81">
        <v>10</v>
      </c>
      <c r="I81">
        <v>2003</v>
      </c>
      <c r="J81">
        <v>2</v>
      </c>
      <c r="K81" t="str">
        <f>"NBGE"</f>
        <v>NBGE</v>
      </c>
      <c r="L81">
        <v>2</v>
      </c>
      <c r="M81">
        <v>2021</v>
      </c>
      <c r="N81" t="str">
        <f t="shared" si="15"/>
        <v>C</v>
      </c>
      <c r="O81" t="str">
        <f>"C"</f>
        <v>C</v>
      </c>
      <c r="P81">
        <v>0</v>
      </c>
      <c r="Q81">
        <v>100</v>
      </c>
      <c r="R81">
        <v>100</v>
      </c>
      <c r="S81">
        <v>35170</v>
      </c>
      <c r="T81">
        <v>100</v>
      </c>
      <c r="U81">
        <v>35170</v>
      </c>
      <c r="V81" t="str">
        <f>""</f>
        <v/>
      </c>
      <c r="W81">
        <v>43</v>
      </c>
      <c r="X81">
        <v>0</v>
      </c>
      <c r="Y81">
        <v>6000577</v>
      </c>
      <c r="Z81">
        <v>1</v>
      </c>
      <c r="AA81">
        <v>27</v>
      </c>
      <c r="AB81" t="str">
        <f>""</f>
        <v/>
      </c>
      <c r="AC81" t="str">
        <f>""</f>
        <v/>
      </c>
      <c r="AD81" t="str">
        <f>""</f>
        <v/>
      </c>
      <c r="AE81">
        <v>2021</v>
      </c>
      <c r="AF81">
        <v>2024</v>
      </c>
      <c r="AG81" t="str">
        <f>"Bruz"</f>
        <v>Bruz</v>
      </c>
      <c r="AH81" t="str">
        <f>"Bruz"</f>
        <v>Bruz</v>
      </c>
      <c r="AI81" t="str">
        <f>""</f>
        <v/>
      </c>
      <c r="AJ81" t="str">
        <f>""</f>
        <v/>
      </c>
      <c r="AK81" t="str">
        <f>""</f>
        <v/>
      </c>
      <c r="AL81">
        <v>38</v>
      </c>
      <c r="AM81" t="str">
        <f>""</f>
        <v/>
      </c>
      <c r="AN81" t="str">
        <f>""</f>
        <v/>
      </c>
      <c r="AO81" t="str">
        <f>"Emile Zola"</f>
        <v>Emile Zola</v>
      </c>
      <c r="AP81" t="str">
        <f>"AIX-EN-PROVENCE"</f>
        <v>AIX-EN-PROVENCE</v>
      </c>
      <c r="AQ81" t="str">
        <f>"Aix-Marseille"</f>
        <v>Aix-Marseille</v>
      </c>
    </row>
    <row r="82" spans="1:43" x14ac:dyDescent="0.25">
      <c r="A82" t="str">
        <f>"1A,1A Maths,1A Att,1A Interne,T00000"</f>
        <v>1A,1A Maths,1A Att,1A Interne,T00000</v>
      </c>
      <c r="B82" t="str">
        <f>"FLORENTIN"</f>
        <v>FLORENTIN</v>
      </c>
      <c r="C82" t="str">
        <f>"Alban"</f>
        <v>Alban</v>
      </c>
      <c r="D82" t="str">
        <f>"023-2675"</f>
        <v>023-2675</v>
      </c>
      <c r="E82" t="str">
        <f>"233407143HH"</f>
        <v>233407143HH</v>
      </c>
      <c r="F82" t="str">
        <f t="shared" si="13"/>
        <v>0352480F</v>
      </c>
      <c r="G82" t="str">
        <f t="shared" si="14"/>
        <v>O</v>
      </c>
      <c r="H82">
        <v>10</v>
      </c>
      <c r="I82">
        <v>1975</v>
      </c>
      <c r="J82">
        <v>1</v>
      </c>
      <c r="K82" t="str">
        <f>"E"</f>
        <v>E</v>
      </c>
      <c r="L82" t="str">
        <f>""</f>
        <v/>
      </c>
      <c r="M82">
        <v>1994</v>
      </c>
      <c r="N82" t="str">
        <f>"U"</f>
        <v>U</v>
      </c>
      <c r="O82" t="str">
        <f>""</f>
        <v/>
      </c>
      <c r="P82">
        <v>0</v>
      </c>
      <c r="Q82">
        <v>100</v>
      </c>
      <c r="R82">
        <v>100</v>
      </c>
      <c r="S82">
        <v>35170</v>
      </c>
      <c r="T82">
        <v>100</v>
      </c>
      <c r="U82">
        <v>35170</v>
      </c>
      <c r="V82" t="str">
        <f>""</f>
        <v/>
      </c>
      <c r="W82">
        <v>0</v>
      </c>
      <c r="X82">
        <v>0</v>
      </c>
      <c r="Y82">
        <v>6000577</v>
      </c>
      <c r="Z82">
        <v>1</v>
      </c>
      <c r="AA82">
        <v>27</v>
      </c>
      <c r="AB82" t="str">
        <f>""</f>
        <v/>
      </c>
      <c r="AC82" t="str">
        <f>""</f>
        <v/>
      </c>
      <c r="AD82" t="str">
        <f>""</f>
        <v/>
      </c>
      <c r="AE82">
        <v>1994</v>
      </c>
      <c r="AF82">
        <v>2023</v>
      </c>
      <c r="AG82" t="str">
        <f>"BRUZ"</f>
        <v>BRUZ</v>
      </c>
      <c r="AH82" t="str">
        <f>"BRUZ"</f>
        <v>BRUZ</v>
      </c>
      <c r="AI82" t="str">
        <f>""</f>
        <v/>
      </c>
      <c r="AJ82" t="str">
        <f>""</f>
        <v/>
      </c>
      <c r="AK82" t="str">
        <f>""</f>
        <v/>
      </c>
      <c r="AL82">
        <v>0</v>
      </c>
      <c r="AM82" t="str">
        <f>""</f>
        <v/>
      </c>
      <c r="AN82" t="str">
        <f>""</f>
        <v/>
      </c>
      <c r="AO82" t="str">
        <f>""</f>
        <v/>
      </c>
      <c r="AP82" t="str">
        <f>""</f>
        <v/>
      </c>
      <c r="AQ82" t="str">
        <f>""</f>
        <v/>
      </c>
    </row>
    <row r="83" spans="1:43" x14ac:dyDescent="0.25">
      <c r="A83" t="str">
        <f>"1A,1A Maths,1A Att,1A Interne,T00000"</f>
        <v>1A,1A Maths,1A Att,1A Interne,T00000</v>
      </c>
      <c r="B83" t="str">
        <f>"TESSIER"</f>
        <v>TESSIER</v>
      </c>
      <c r="C83" t="str">
        <f>"Christelle"</f>
        <v>Christelle</v>
      </c>
      <c r="D83" t="str">
        <f>"024-2627"</f>
        <v>024-2627</v>
      </c>
      <c r="E83" t="str">
        <f>"193163797GD"</f>
        <v>193163797GD</v>
      </c>
      <c r="F83" t="str">
        <f t="shared" si="13"/>
        <v>0352480F</v>
      </c>
      <c r="G83" t="str">
        <f t="shared" si="14"/>
        <v>O</v>
      </c>
      <c r="H83">
        <v>10</v>
      </c>
      <c r="I83">
        <v>1978</v>
      </c>
      <c r="J83">
        <v>2</v>
      </c>
      <c r="K83" t="str">
        <f>""</f>
        <v/>
      </c>
      <c r="L83" t="str">
        <f>""</f>
        <v/>
      </c>
      <c r="M83" t="str">
        <f>""</f>
        <v/>
      </c>
      <c r="N83" t="str">
        <f>""</f>
        <v/>
      </c>
      <c r="O83" t="str">
        <f>""</f>
        <v/>
      </c>
      <c r="P83">
        <v>0</v>
      </c>
      <c r="Q83">
        <v>100</v>
      </c>
      <c r="R83">
        <v>100</v>
      </c>
      <c r="S83">
        <v>35200</v>
      </c>
      <c r="T83">
        <v>100</v>
      </c>
      <c r="U83">
        <v>35200</v>
      </c>
      <c r="V83" t="str">
        <f>""</f>
        <v/>
      </c>
      <c r="W83">
        <v>0</v>
      </c>
      <c r="X83">
        <v>0</v>
      </c>
      <c r="Y83">
        <v>6000577</v>
      </c>
      <c r="Z83">
        <v>1</v>
      </c>
      <c r="AA83">
        <v>27</v>
      </c>
      <c r="AB83" t="str">
        <f>""</f>
        <v/>
      </c>
      <c r="AC83" t="str">
        <f>""</f>
        <v/>
      </c>
      <c r="AD83" t="str">
        <f>""</f>
        <v/>
      </c>
      <c r="AE83" t="str">
        <f>""</f>
        <v/>
      </c>
      <c r="AF83">
        <v>2024</v>
      </c>
      <c r="AG83" t="str">
        <f>"Rennes"</f>
        <v>Rennes</v>
      </c>
      <c r="AH83" t="str">
        <f>"Rennes"</f>
        <v>Rennes</v>
      </c>
      <c r="AI83" t="str">
        <f>""</f>
        <v/>
      </c>
      <c r="AJ83" t="str">
        <f>""</f>
        <v/>
      </c>
      <c r="AK83" t="str">
        <f>""</f>
        <v/>
      </c>
      <c r="AL83">
        <v>0</v>
      </c>
      <c r="AM83" t="str">
        <f>""</f>
        <v/>
      </c>
      <c r="AN83" t="str">
        <f>""</f>
        <v/>
      </c>
      <c r="AO83" t="str">
        <f>""</f>
        <v/>
      </c>
      <c r="AP83" t="str">
        <f>""</f>
        <v/>
      </c>
      <c r="AQ83" t="str">
        <f>""</f>
        <v/>
      </c>
    </row>
    <row r="84" spans="1:43" x14ac:dyDescent="0.25">
      <c r="A84" t="str">
        <f t="shared" ref="A84:A118" si="18">"1A,1A Maths,1A Att,T00000"</f>
        <v>1A,1A Maths,1A Att,T00000</v>
      </c>
      <c r="B84" t="str">
        <f>"AUGUSTO"</f>
        <v>AUGUSTO</v>
      </c>
      <c r="C84" t="str">
        <f>"Sonny"</f>
        <v>Sonny</v>
      </c>
      <c r="D84" t="str">
        <f>"024-2717"</f>
        <v>024-2717</v>
      </c>
      <c r="E84" t="str">
        <f>"100839509EC"</f>
        <v>100839509EC</v>
      </c>
      <c r="F84" t="str">
        <f t="shared" si="13"/>
        <v>0352480F</v>
      </c>
      <c r="G84" t="str">
        <f t="shared" si="14"/>
        <v>O</v>
      </c>
      <c r="H84">
        <v>10</v>
      </c>
      <c r="I84">
        <v>2000</v>
      </c>
      <c r="J84">
        <v>1</v>
      </c>
      <c r="K84" t="str">
        <f>"STL"</f>
        <v>STL</v>
      </c>
      <c r="L84">
        <v>21</v>
      </c>
      <c r="M84">
        <v>2018</v>
      </c>
      <c r="N84" t="str">
        <f>"D"</f>
        <v>D</v>
      </c>
      <c r="O84" t="str">
        <f>""</f>
        <v/>
      </c>
      <c r="P84">
        <v>0</v>
      </c>
      <c r="Q84">
        <v>100</v>
      </c>
      <c r="R84">
        <v>100</v>
      </c>
      <c r="S84">
        <v>35170</v>
      </c>
      <c r="T84">
        <v>100</v>
      </c>
      <c r="U84">
        <v>35170</v>
      </c>
      <c r="V84" t="str">
        <f>""</f>
        <v/>
      </c>
      <c r="W84">
        <v>37</v>
      </c>
      <c r="X84">
        <v>0</v>
      </c>
      <c r="Y84">
        <v>6000577</v>
      </c>
      <c r="Z84">
        <v>1</v>
      </c>
      <c r="AA84">
        <v>27</v>
      </c>
      <c r="AB84" t="str">
        <f>""</f>
        <v/>
      </c>
      <c r="AC84" t="str">
        <f>""</f>
        <v/>
      </c>
      <c r="AD84" t="str">
        <f>""</f>
        <v/>
      </c>
      <c r="AE84" t="str">
        <f>""</f>
        <v/>
      </c>
      <c r="AF84">
        <v>2024</v>
      </c>
      <c r="AG84" t="str">
        <f>"+ Bruz"</f>
        <v>+ Bruz</v>
      </c>
      <c r="AH84" t="str">
        <f>"+ Bruz"</f>
        <v>+ Bruz</v>
      </c>
      <c r="AI84" t="str">
        <f>""</f>
        <v/>
      </c>
      <c r="AJ84" t="str">
        <f>""</f>
        <v/>
      </c>
      <c r="AK84" t="str">
        <f>""</f>
        <v/>
      </c>
      <c r="AL84">
        <v>62</v>
      </c>
      <c r="AM84" t="str">
        <f>""</f>
        <v/>
      </c>
      <c r="AN84" t="str">
        <f>""</f>
        <v/>
      </c>
      <c r="AO84" t="str">
        <f>"Robert schuman"</f>
        <v>Robert schuman</v>
      </c>
      <c r="AP84" t="str">
        <f>"LE HAVRE"</f>
        <v>LE HAVRE</v>
      </c>
      <c r="AQ84" t="str">
        <f>"Normandie"</f>
        <v>Normandie</v>
      </c>
    </row>
    <row r="85" spans="1:43" x14ac:dyDescent="0.25">
      <c r="A85" t="str">
        <f t="shared" si="18"/>
        <v>1A,1A Maths,1A Att,T00000</v>
      </c>
      <c r="B85" t="str">
        <f>"BAUDRU-VANDENBERGHE"</f>
        <v>BAUDRU-VANDENBERGHE</v>
      </c>
      <c r="C85" t="str">
        <f>"Mariecke"</f>
        <v>Mariecke</v>
      </c>
      <c r="D85" t="str">
        <f>"024-2715"</f>
        <v>024-2715</v>
      </c>
      <c r="E85" t="str">
        <f>"121039105BH"</f>
        <v>121039105BH</v>
      </c>
      <c r="F85" t="str">
        <f t="shared" si="13"/>
        <v>0352480F</v>
      </c>
      <c r="G85" t="str">
        <f t="shared" si="14"/>
        <v>O</v>
      </c>
      <c r="H85">
        <v>10</v>
      </c>
      <c r="I85">
        <v>2004</v>
      </c>
      <c r="J85">
        <v>2</v>
      </c>
      <c r="K85" t="str">
        <f>"NBGE"</f>
        <v>NBGE</v>
      </c>
      <c r="L85">
        <v>24</v>
      </c>
      <c r="M85">
        <v>2022</v>
      </c>
      <c r="N85" t="str">
        <f>"D"</f>
        <v>D</v>
      </c>
      <c r="O85" t="str">
        <f>"A"</f>
        <v>A</v>
      </c>
      <c r="P85">
        <v>0</v>
      </c>
      <c r="Q85">
        <v>100</v>
      </c>
      <c r="R85">
        <v>100</v>
      </c>
      <c r="S85">
        <v>35170</v>
      </c>
      <c r="T85">
        <v>100</v>
      </c>
      <c r="U85">
        <v>35170</v>
      </c>
      <c r="V85" t="str">
        <f>""</f>
        <v/>
      </c>
      <c r="W85">
        <v>38</v>
      </c>
      <c r="X85">
        <v>0</v>
      </c>
      <c r="Y85">
        <v>6000577</v>
      </c>
      <c r="Z85">
        <v>1</v>
      </c>
      <c r="AA85">
        <v>27</v>
      </c>
      <c r="AB85" t="str">
        <f>""</f>
        <v/>
      </c>
      <c r="AC85" t="str">
        <f>""</f>
        <v/>
      </c>
      <c r="AD85" t="str">
        <f>""</f>
        <v/>
      </c>
      <c r="AE85">
        <v>2022</v>
      </c>
      <c r="AF85">
        <v>2024</v>
      </c>
      <c r="AG85" t="str">
        <f>"Bruz"</f>
        <v>Bruz</v>
      </c>
      <c r="AH85" t="str">
        <f>"Bruz"</f>
        <v>Bruz</v>
      </c>
      <c r="AI85" t="str">
        <f>""</f>
        <v/>
      </c>
      <c r="AJ85" t="str">
        <f>""</f>
        <v/>
      </c>
      <c r="AK85" t="str">
        <f>""</f>
        <v/>
      </c>
      <c r="AL85">
        <v>38</v>
      </c>
      <c r="AM85" t="str">
        <f>""</f>
        <v/>
      </c>
      <c r="AN85" t="str">
        <f>""</f>
        <v/>
      </c>
      <c r="AO85" t="str">
        <f>"Lycée Jean Jaurès"</f>
        <v>Lycée Jean Jaurès</v>
      </c>
      <c r="AP85" t="str">
        <f>"MONTREUIL"</f>
        <v>MONTREUIL</v>
      </c>
      <c r="AQ85" t="str">
        <f>"Créteil"</f>
        <v>Créteil</v>
      </c>
    </row>
    <row r="86" spans="1:43" x14ac:dyDescent="0.25">
      <c r="A86" t="str">
        <f t="shared" si="18"/>
        <v>1A,1A Maths,1A Att,T00000</v>
      </c>
      <c r="B86" t="str">
        <f>"BLIN-VIALART"</f>
        <v>BLIN-VIALART</v>
      </c>
      <c r="C86" t="str">
        <f>"Clémentine"</f>
        <v>Clémentine</v>
      </c>
      <c r="D86" t="str">
        <f>"023-2552"</f>
        <v>023-2552</v>
      </c>
      <c r="E86" t="str">
        <f>"071490747KG"</f>
        <v>071490747KG</v>
      </c>
      <c r="F86" t="str">
        <f t="shared" si="13"/>
        <v>0352480F</v>
      </c>
      <c r="G86" t="str">
        <f t="shared" si="14"/>
        <v>O</v>
      </c>
      <c r="H86">
        <v>10</v>
      </c>
      <c r="I86">
        <v>2002</v>
      </c>
      <c r="J86">
        <v>2</v>
      </c>
      <c r="K86" t="str">
        <f>"S"</f>
        <v>S</v>
      </c>
      <c r="L86">
        <v>9</v>
      </c>
      <c r="M86">
        <v>2020</v>
      </c>
      <c r="N86" t="str">
        <f>"E"</f>
        <v>E</v>
      </c>
      <c r="O86" t="str">
        <f>""</f>
        <v/>
      </c>
      <c r="P86">
        <v>0</v>
      </c>
      <c r="Q86">
        <v>100</v>
      </c>
      <c r="R86">
        <v>100</v>
      </c>
      <c r="S86" t="str">
        <f>"Bruz"</f>
        <v>Bruz</v>
      </c>
      <c r="T86">
        <v>100</v>
      </c>
      <c r="U86" t="str">
        <f>"Bruz"</f>
        <v>Bruz</v>
      </c>
      <c r="V86" t="str">
        <f>""</f>
        <v/>
      </c>
      <c r="W86">
        <v>64</v>
      </c>
      <c r="X86">
        <v>0</v>
      </c>
      <c r="Y86">
        <v>6000577</v>
      </c>
      <c r="Z86">
        <v>1</v>
      </c>
      <c r="AA86">
        <v>27</v>
      </c>
      <c r="AB86" t="str">
        <f>""</f>
        <v/>
      </c>
      <c r="AC86" t="str">
        <f>""</f>
        <v/>
      </c>
      <c r="AD86" t="str">
        <f>""</f>
        <v/>
      </c>
      <c r="AE86">
        <v>2020</v>
      </c>
      <c r="AF86">
        <v>2023</v>
      </c>
      <c r="AG86">
        <v>5170</v>
      </c>
      <c r="AH86">
        <v>5170</v>
      </c>
      <c r="AI86" t="str">
        <f>""</f>
        <v/>
      </c>
      <c r="AJ86" t="str">
        <f>""</f>
        <v/>
      </c>
      <c r="AK86" t="str">
        <f>""</f>
        <v/>
      </c>
      <c r="AL86">
        <v>34</v>
      </c>
      <c r="AM86" t="str">
        <f>""</f>
        <v/>
      </c>
      <c r="AN86" t="str">
        <f>""</f>
        <v/>
      </c>
      <c r="AO86" t="str">
        <f>"Lycée Henri Wallon"</f>
        <v>Lycée Henri Wallon</v>
      </c>
      <c r="AP86" t="str">
        <f>"VALENCIENNES"</f>
        <v>VALENCIENNES</v>
      </c>
      <c r="AQ86" t="str">
        <f>"Lille"</f>
        <v>Lille</v>
      </c>
    </row>
    <row r="87" spans="1:43" x14ac:dyDescent="0.25">
      <c r="A87" t="str">
        <f t="shared" si="18"/>
        <v>1A,1A Maths,1A Att,T00000</v>
      </c>
      <c r="B87" t="str">
        <f>"BLOT"</f>
        <v>BLOT</v>
      </c>
      <c r="C87" t="str">
        <f>"Antoine"</f>
        <v>Antoine</v>
      </c>
      <c r="D87" t="str">
        <f>"024-2815"</f>
        <v>024-2815</v>
      </c>
      <c r="E87" t="str">
        <f>"070375347KD"</f>
        <v>070375347KD</v>
      </c>
      <c r="F87" t="str">
        <f t="shared" si="13"/>
        <v>0352480F</v>
      </c>
      <c r="G87" t="str">
        <f t="shared" si="14"/>
        <v>O</v>
      </c>
      <c r="H87">
        <v>10</v>
      </c>
      <c r="I87">
        <v>2003</v>
      </c>
      <c r="J87">
        <v>1</v>
      </c>
      <c r="K87" t="str">
        <f>"NBGE"</f>
        <v>NBGE</v>
      </c>
      <c r="L87">
        <v>24</v>
      </c>
      <c r="M87">
        <v>2021</v>
      </c>
      <c r="N87" t="str">
        <f t="shared" ref="N87:O89" si="19">"D"</f>
        <v>D</v>
      </c>
      <c r="O87" t="str">
        <f t="shared" si="19"/>
        <v>D</v>
      </c>
      <c r="P87">
        <v>0</v>
      </c>
      <c r="Q87">
        <v>100</v>
      </c>
      <c r="R87">
        <v>100</v>
      </c>
      <c r="S87">
        <v>35170</v>
      </c>
      <c r="T87">
        <v>100</v>
      </c>
      <c r="U87">
        <v>35170</v>
      </c>
      <c r="V87" t="str">
        <f>""</f>
        <v/>
      </c>
      <c r="W87">
        <v>33</v>
      </c>
      <c r="X87">
        <v>0</v>
      </c>
      <c r="Y87">
        <v>6000577</v>
      </c>
      <c r="Z87">
        <v>1</v>
      </c>
      <c r="AA87">
        <v>27</v>
      </c>
      <c r="AB87" t="str">
        <f>""</f>
        <v/>
      </c>
      <c r="AC87" t="str">
        <f>""</f>
        <v/>
      </c>
      <c r="AD87" t="str">
        <f>""</f>
        <v/>
      </c>
      <c r="AE87">
        <v>2021</v>
      </c>
      <c r="AF87">
        <v>2024</v>
      </c>
      <c r="AG87" t="str">
        <f>"Bruz"</f>
        <v>Bruz</v>
      </c>
      <c r="AH87" t="str">
        <f>"Bruz"</f>
        <v>Bruz</v>
      </c>
      <c r="AI87" t="str">
        <f>""</f>
        <v/>
      </c>
      <c r="AJ87" t="str">
        <f>""</f>
        <v/>
      </c>
      <c r="AK87" t="str">
        <f>""</f>
        <v/>
      </c>
      <c r="AL87">
        <v>56</v>
      </c>
      <c r="AM87" t="str">
        <f>""</f>
        <v/>
      </c>
      <c r="AN87" t="str">
        <f>""</f>
        <v/>
      </c>
      <c r="AO87" t="str">
        <f>"Lycée François 1er"</f>
        <v>Lycée François 1er</v>
      </c>
      <c r="AP87" t="str">
        <f>"FONTAINEBLEAU"</f>
        <v>FONTAINEBLEAU</v>
      </c>
      <c r="AQ87" t="str">
        <f>"Créteil"</f>
        <v>Créteil</v>
      </c>
    </row>
    <row r="88" spans="1:43" x14ac:dyDescent="0.25">
      <c r="A88" t="str">
        <f t="shared" si="18"/>
        <v>1A,1A Maths,1A Att,T00000</v>
      </c>
      <c r="B88" t="str">
        <f>"BOSSARD"</f>
        <v>BOSSARD</v>
      </c>
      <c r="C88" t="str">
        <f>"Thomas"</f>
        <v>Thomas</v>
      </c>
      <c r="D88" t="str">
        <f>"024-2813"</f>
        <v>024-2813</v>
      </c>
      <c r="E88" t="str">
        <f>"153186435DK"</f>
        <v>153186435DK</v>
      </c>
      <c r="F88" t="str">
        <f t="shared" si="13"/>
        <v>0352480F</v>
      </c>
      <c r="G88" t="str">
        <f t="shared" si="14"/>
        <v>O</v>
      </c>
      <c r="H88">
        <v>10</v>
      </c>
      <c r="I88">
        <v>2005</v>
      </c>
      <c r="J88">
        <v>1</v>
      </c>
      <c r="K88" t="str">
        <f>"NBGE"</f>
        <v>NBGE</v>
      </c>
      <c r="L88">
        <v>17</v>
      </c>
      <c r="M88">
        <v>2022</v>
      </c>
      <c r="N88" t="str">
        <f t="shared" si="19"/>
        <v>D</v>
      </c>
      <c r="O88" t="str">
        <f t="shared" si="19"/>
        <v>D</v>
      </c>
      <c r="P88">
        <v>0</v>
      </c>
      <c r="Q88">
        <v>100</v>
      </c>
      <c r="R88">
        <v>100</v>
      </c>
      <c r="S88" t="str">
        <f>""</f>
        <v/>
      </c>
      <c r="T88">
        <v>100</v>
      </c>
      <c r="U88" t="str">
        <f>""</f>
        <v/>
      </c>
      <c r="V88" t="str">
        <f>""</f>
        <v/>
      </c>
      <c r="W88">
        <v>33</v>
      </c>
      <c r="X88">
        <v>0</v>
      </c>
      <c r="Y88">
        <v>6000577</v>
      </c>
      <c r="Z88">
        <v>1</v>
      </c>
      <c r="AA88">
        <v>27</v>
      </c>
      <c r="AB88" t="str">
        <f>""</f>
        <v/>
      </c>
      <c r="AC88" t="str">
        <f>""</f>
        <v/>
      </c>
      <c r="AD88" t="str">
        <f>""</f>
        <v/>
      </c>
      <c r="AE88">
        <v>2022</v>
      </c>
      <c r="AF88">
        <v>2024</v>
      </c>
      <c r="AG88" t="str">
        <f>""</f>
        <v/>
      </c>
      <c r="AH88" t="str">
        <f>""</f>
        <v/>
      </c>
      <c r="AI88" t="str">
        <f>""</f>
        <v/>
      </c>
      <c r="AJ88" t="str">
        <f>""</f>
        <v/>
      </c>
      <c r="AK88" t="str">
        <f>""</f>
        <v/>
      </c>
      <c r="AL88">
        <v>54</v>
      </c>
      <c r="AM88" t="str">
        <f>""</f>
        <v/>
      </c>
      <c r="AN88" t="str">
        <f>""</f>
        <v/>
      </c>
      <c r="AO88" t="str">
        <f>"Clemenceau"</f>
        <v>Clemenceau</v>
      </c>
      <c r="AP88" t="str">
        <f>"NANTES"</f>
        <v>NANTES</v>
      </c>
      <c r="AQ88" t="str">
        <f>"Nantes"</f>
        <v>Nantes</v>
      </c>
    </row>
    <row r="89" spans="1:43" x14ac:dyDescent="0.25">
      <c r="A89" t="str">
        <f t="shared" si="18"/>
        <v>1A,1A Maths,1A Att,T00000</v>
      </c>
      <c r="B89" t="str">
        <f>"BRUNEAU"</f>
        <v>BRUNEAU</v>
      </c>
      <c r="C89" t="str">
        <f>"Alexis"</f>
        <v>Alexis</v>
      </c>
      <c r="D89" t="str">
        <f>"024-2762"</f>
        <v>024-2762</v>
      </c>
      <c r="E89" t="str">
        <f>"071650359EK"</f>
        <v>071650359EK</v>
      </c>
      <c r="F89" t="str">
        <f t="shared" si="13"/>
        <v>0352480F</v>
      </c>
      <c r="G89" t="str">
        <f t="shared" si="14"/>
        <v>O</v>
      </c>
      <c r="H89">
        <v>10</v>
      </c>
      <c r="I89">
        <v>2004</v>
      </c>
      <c r="J89">
        <v>1</v>
      </c>
      <c r="K89" t="str">
        <f>"NBGE"</f>
        <v>NBGE</v>
      </c>
      <c r="L89">
        <v>18</v>
      </c>
      <c r="M89">
        <v>2022</v>
      </c>
      <c r="N89" t="str">
        <f t="shared" si="19"/>
        <v>D</v>
      </c>
      <c r="O89" t="str">
        <f t="shared" si="19"/>
        <v>D</v>
      </c>
      <c r="P89">
        <v>0</v>
      </c>
      <c r="Q89">
        <v>100</v>
      </c>
      <c r="R89">
        <v>100</v>
      </c>
      <c r="S89">
        <v>45140</v>
      </c>
      <c r="T89">
        <v>100</v>
      </c>
      <c r="U89">
        <v>45140</v>
      </c>
      <c r="V89" t="str">
        <f>""</f>
        <v/>
      </c>
      <c r="W89">
        <v>43</v>
      </c>
      <c r="X89">
        <v>0</v>
      </c>
      <c r="Y89">
        <v>6000577</v>
      </c>
      <c r="Z89">
        <v>1</v>
      </c>
      <c r="AA89">
        <v>27</v>
      </c>
      <c r="AB89" t="str">
        <f>""</f>
        <v/>
      </c>
      <c r="AC89" t="str">
        <f>""</f>
        <v/>
      </c>
      <c r="AD89" t="str">
        <f>""</f>
        <v/>
      </c>
      <c r="AE89">
        <v>2022</v>
      </c>
      <c r="AF89">
        <v>2024</v>
      </c>
      <c r="AG89" t="str">
        <f>"Ingré"</f>
        <v>Ingré</v>
      </c>
      <c r="AH89" t="str">
        <f>"Ingré"</f>
        <v>Ingré</v>
      </c>
      <c r="AI89" t="str">
        <f>""</f>
        <v/>
      </c>
      <c r="AJ89" t="str">
        <f>""</f>
        <v/>
      </c>
      <c r="AK89" t="str">
        <f>""</f>
        <v/>
      </c>
      <c r="AL89">
        <v>37</v>
      </c>
      <c r="AM89" t="str">
        <f>""</f>
        <v/>
      </c>
      <c r="AN89" t="str">
        <f>""</f>
        <v/>
      </c>
      <c r="AO89" t="str">
        <f>"Lycée Maurice Genevoix"</f>
        <v>Lycée Maurice Genevoix</v>
      </c>
      <c r="AP89" t="str">
        <f>"INGRÉ"</f>
        <v>INGRÉ</v>
      </c>
      <c r="AQ89" t="str">
        <f>"Orléans-Tours"</f>
        <v>Orléans-Tours</v>
      </c>
    </row>
    <row r="90" spans="1:43" x14ac:dyDescent="0.25">
      <c r="A90" t="str">
        <f t="shared" si="18"/>
        <v>1A,1A Maths,1A Att,T00000</v>
      </c>
      <c r="B90" t="str">
        <f>"BRUNEL"</f>
        <v>BRUNEL</v>
      </c>
      <c r="C90" t="str">
        <f>"Bastien"</f>
        <v>Bastien</v>
      </c>
      <c r="D90" t="str">
        <f>"023-2545"</f>
        <v>023-2545</v>
      </c>
      <c r="E90" t="str">
        <f>"071013350FK"</f>
        <v>071013350FK</v>
      </c>
      <c r="F90" t="str">
        <f t="shared" si="13"/>
        <v>0352480F</v>
      </c>
      <c r="G90" t="str">
        <f t="shared" si="14"/>
        <v>O</v>
      </c>
      <c r="H90">
        <v>10</v>
      </c>
      <c r="I90">
        <v>2003</v>
      </c>
      <c r="J90">
        <v>1</v>
      </c>
      <c r="K90" t="str">
        <f>""</f>
        <v/>
      </c>
      <c r="L90">
        <v>25</v>
      </c>
      <c r="M90">
        <v>2021</v>
      </c>
      <c r="N90" t="str">
        <f>"E"</f>
        <v>E</v>
      </c>
      <c r="O90" t="str">
        <f>"D"</f>
        <v>D</v>
      </c>
      <c r="P90">
        <v>0</v>
      </c>
      <c r="Q90">
        <v>100</v>
      </c>
      <c r="R90">
        <v>100</v>
      </c>
      <c r="S90">
        <v>35136</v>
      </c>
      <c r="T90">
        <v>100</v>
      </c>
      <c r="U90">
        <v>35136</v>
      </c>
      <c r="V90" t="str">
        <f>""</f>
        <v/>
      </c>
      <c r="W90">
        <v>38</v>
      </c>
      <c r="X90">
        <v>0</v>
      </c>
      <c r="Y90">
        <v>6000577</v>
      </c>
      <c r="Z90">
        <v>1</v>
      </c>
      <c r="AA90">
        <v>27</v>
      </c>
      <c r="AB90" t="str">
        <f>""</f>
        <v/>
      </c>
      <c r="AC90" t="str">
        <f>""</f>
        <v/>
      </c>
      <c r="AD90" t="str">
        <f>""</f>
        <v/>
      </c>
      <c r="AE90">
        <v>2021</v>
      </c>
      <c r="AF90">
        <v>2023</v>
      </c>
      <c r="AG90" t="str">
        <f>"Saint-Jacques-de-la-Lande"</f>
        <v>Saint-Jacques-de-la-Lande</v>
      </c>
      <c r="AH90" t="str">
        <f>"Saint-Jacques-de-la-Lande"</f>
        <v>Saint-Jacques-de-la-Lande</v>
      </c>
      <c r="AI90" t="str">
        <f>""</f>
        <v/>
      </c>
      <c r="AJ90" t="str">
        <f>""</f>
        <v/>
      </c>
      <c r="AK90" t="str">
        <f>""</f>
        <v/>
      </c>
      <c r="AL90">
        <v>37</v>
      </c>
      <c r="AM90" t="str">
        <f>""</f>
        <v/>
      </c>
      <c r="AN90" t="str">
        <f>""</f>
        <v/>
      </c>
      <c r="AO90" t="str">
        <f>"Lycée Jules Hardouin-Mansart"</f>
        <v>Lycée Jules Hardouin-Mansart</v>
      </c>
      <c r="AP90" t="str">
        <f>"SAINT-CYR-L'ECOLE"</f>
        <v>SAINT-CYR-L'ECOLE</v>
      </c>
      <c r="AQ90" t="str">
        <f>"Versailles"</f>
        <v>Versailles</v>
      </c>
    </row>
    <row r="91" spans="1:43" x14ac:dyDescent="0.25">
      <c r="A91" t="str">
        <f t="shared" si="18"/>
        <v>1A,1A Maths,1A Att,T00000</v>
      </c>
      <c r="B91" t="str">
        <f>"CHEMIN"</f>
        <v>CHEMIN</v>
      </c>
      <c r="C91" t="str">
        <f>"Jules"</f>
        <v>Jules</v>
      </c>
      <c r="D91" t="str">
        <f>"024-2709"</f>
        <v>024-2709</v>
      </c>
      <c r="E91" t="str">
        <f>"153247005KE"</f>
        <v>153247005KE</v>
      </c>
      <c r="F91" t="str">
        <f t="shared" si="13"/>
        <v>0352480F</v>
      </c>
      <c r="G91" t="str">
        <f t="shared" si="14"/>
        <v>O</v>
      </c>
      <c r="H91">
        <v>10</v>
      </c>
      <c r="I91">
        <v>2005</v>
      </c>
      <c r="J91">
        <v>1</v>
      </c>
      <c r="K91" t="str">
        <f>"NBGE"</f>
        <v>NBGE</v>
      </c>
      <c r="L91">
        <v>21</v>
      </c>
      <c r="M91">
        <v>2022</v>
      </c>
      <c r="N91" t="str">
        <f>"D"</f>
        <v>D</v>
      </c>
      <c r="O91" t="str">
        <f>"A"</f>
        <v>A</v>
      </c>
      <c r="P91">
        <v>0</v>
      </c>
      <c r="Q91">
        <v>100</v>
      </c>
      <c r="R91">
        <v>100</v>
      </c>
      <c r="S91">
        <v>35170</v>
      </c>
      <c r="T91">
        <v>100</v>
      </c>
      <c r="U91">
        <v>35170</v>
      </c>
      <c r="V91" t="str">
        <f>""</f>
        <v/>
      </c>
      <c r="W91">
        <v>38</v>
      </c>
      <c r="X91">
        <v>0</v>
      </c>
      <c r="Y91">
        <v>6000577</v>
      </c>
      <c r="Z91">
        <v>1</v>
      </c>
      <c r="AA91">
        <v>27</v>
      </c>
      <c r="AB91" t="str">
        <f>""</f>
        <v/>
      </c>
      <c r="AC91" t="str">
        <f>""</f>
        <v/>
      </c>
      <c r="AD91" t="str">
        <f>""</f>
        <v/>
      </c>
      <c r="AE91">
        <v>2022</v>
      </c>
      <c r="AF91">
        <v>2024</v>
      </c>
      <c r="AG91" t="str">
        <f>"Bruz"</f>
        <v>Bruz</v>
      </c>
      <c r="AH91" t="str">
        <f>"Bruz"</f>
        <v>Bruz</v>
      </c>
      <c r="AI91" t="str">
        <f>""</f>
        <v/>
      </c>
      <c r="AJ91" t="str">
        <f>""</f>
        <v/>
      </c>
      <c r="AK91" t="str">
        <f>""</f>
        <v/>
      </c>
      <c r="AL91">
        <v>45</v>
      </c>
      <c r="AM91" t="str">
        <f>""</f>
        <v/>
      </c>
      <c r="AN91" t="str">
        <f>""</f>
        <v/>
      </c>
      <c r="AO91" t="str">
        <f>"Lycée Augustin Fresnel"</f>
        <v>Lycée Augustin Fresnel</v>
      </c>
      <c r="AP91" t="str">
        <f>"BERNAY"</f>
        <v>BERNAY</v>
      </c>
      <c r="AQ91" t="str">
        <f>"Normandie"</f>
        <v>Normandie</v>
      </c>
    </row>
    <row r="92" spans="1:43" x14ac:dyDescent="0.25">
      <c r="A92" t="str">
        <f t="shared" si="18"/>
        <v>1A,1A Maths,1A Att,T00000</v>
      </c>
      <c r="B92" t="str">
        <f>"CORNET--CARLOS"</f>
        <v>CORNET--CARLOS</v>
      </c>
      <c r="C92" t="str">
        <f>"Abel"</f>
        <v>Abel</v>
      </c>
      <c r="D92" t="str">
        <f>"024-2788"</f>
        <v>024-2788</v>
      </c>
      <c r="E92" t="str">
        <f>"153397507DK"</f>
        <v>153397507DK</v>
      </c>
      <c r="F92" t="str">
        <f t="shared" si="13"/>
        <v>0352480F</v>
      </c>
      <c r="G92" t="str">
        <f t="shared" si="14"/>
        <v>O</v>
      </c>
      <c r="H92">
        <v>10</v>
      </c>
      <c r="I92">
        <v>2005</v>
      </c>
      <c r="J92">
        <v>1</v>
      </c>
      <c r="K92" t="str">
        <f>"NBGE"</f>
        <v>NBGE</v>
      </c>
      <c r="L92">
        <v>13</v>
      </c>
      <c r="M92">
        <v>2022</v>
      </c>
      <c r="N92" t="str">
        <f>"D"</f>
        <v>D</v>
      </c>
      <c r="O92" t="str">
        <f>"D"</f>
        <v>D</v>
      </c>
      <c r="P92">
        <v>0</v>
      </c>
      <c r="Q92">
        <v>100</v>
      </c>
      <c r="R92">
        <v>100</v>
      </c>
      <c r="S92">
        <v>35136</v>
      </c>
      <c r="T92">
        <v>100</v>
      </c>
      <c r="U92">
        <v>35136</v>
      </c>
      <c r="V92" t="str">
        <f>""</f>
        <v/>
      </c>
      <c r="W92">
        <v>42</v>
      </c>
      <c r="X92">
        <v>0</v>
      </c>
      <c r="Y92">
        <v>6000577</v>
      </c>
      <c r="Z92">
        <v>1</v>
      </c>
      <c r="AA92">
        <v>27</v>
      </c>
      <c r="AB92" t="str">
        <f>""</f>
        <v/>
      </c>
      <c r="AC92" t="str">
        <f>""</f>
        <v/>
      </c>
      <c r="AD92" t="str">
        <f>""</f>
        <v/>
      </c>
      <c r="AE92">
        <v>2022</v>
      </c>
      <c r="AF92">
        <v>2024</v>
      </c>
      <c r="AG92" t="str">
        <f>"Saint jacques de la lande"</f>
        <v>Saint jacques de la lande</v>
      </c>
      <c r="AH92" t="str">
        <f>"Saint jacques de la lande"</f>
        <v>Saint jacques de la lande</v>
      </c>
      <c r="AI92" t="str">
        <f>""</f>
        <v/>
      </c>
      <c r="AJ92" t="str">
        <f>""</f>
        <v/>
      </c>
      <c r="AK92" t="str">
        <f>""</f>
        <v/>
      </c>
      <c r="AL92">
        <v>33</v>
      </c>
      <c r="AM92" t="str">
        <f>""</f>
        <v/>
      </c>
      <c r="AN92" t="str">
        <f>""</f>
        <v/>
      </c>
      <c r="AO92" t="str">
        <f>"Nelson MANDELA"</f>
        <v>Nelson MANDELA</v>
      </c>
      <c r="AP92" t="str">
        <f>"POITIERS"</f>
        <v>POITIERS</v>
      </c>
      <c r="AQ92" t="str">
        <f>"Poitiers"</f>
        <v>Poitiers</v>
      </c>
    </row>
    <row r="93" spans="1:43" x14ac:dyDescent="0.25">
      <c r="A93" t="str">
        <f t="shared" si="18"/>
        <v>1A,1A Maths,1A Att,T00000</v>
      </c>
      <c r="B93" t="str">
        <f>"D'HALLUIN"</f>
        <v>D'HALLUIN</v>
      </c>
      <c r="C93" t="str">
        <f>"Maëlys"</f>
        <v>Maëlys</v>
      </c>
      <c r="D93" t="str">
        <f>"024-2716"</f>
        <v>024-2716</v>
      </c>
      <c r="E93" t="str">
        <f>"071196550KC"</f>
        <v>071196550KC</v>
      </c>
      <c r="F93" t="str">
        <f t="shared" si="13"/>
        <v>0352480F</v>
      </c>
      <c r="G93" t="str">
        <f t="shared" si="14"/>
        <v>O</v>
      </c>
      <c r="H93">
        <v>10</v>
      </c>
      <c r="I93">
        <v>2004</v>
      </c>
      <c r="J93">
        <v>2</v>
      </c>
      <c r="K93" t="str">
        <f>"NBGE"</f>
        <v>NBGE</v>
      </c>
      <c r="L93">
        <v>9</v>
      </c>
      <c r="M93">
        <v>2022</v>
      </c>
      <c r="N93" t="str">
        <f>"D"</f>
        <v>D</v>
      </c>
      <c r="O93" t="str">
        <f>"D"</f>
        <v>D</v>
      </c>
      <c r="P93">
        <v>0</v>
      </c>
      <c r="Q93">
        <v>100</v>
      </c>
      <c r="R93">
        <v>100</v>
      </c>
      <c r="S93">
        <v>35136</v>
      </c>
      <c r="T93">
        <v>100</v>
      </c>
      <c r="U93">
        <v>35136</v>
      </c>
      <c r="V93" t="str">
        <f>""</f>
        <v/>
      </c>
      <c r="W93">
        <v>33</v>
      </c>
      <c r="X93">
        <v>0</v>
      </c>
      <c r="Y93">
        <v>6000577</v>
      </c>
      <c r="Z93">
        <v>1</v>
      </c>
      <c r="AA93">
        <v>27</v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  <c r="AF93">
        <v>2024</v>
      </c>
      <c r="AG93" t="str">
        <f>"Saint-Jacques-de-la-Lande"</f>
        <v>Saint-Jacques-de-la-Lande</v>
      </c>
      <c r="AH93" t="str">
        <f>"Saint-Jacques-de-la-Lande"</f>
        <v>Saint-Jacques-de-la-Lande</v>
      </c>
      <c r="AI93" t="str">
        <f>""</f>
        <v/>
      </c>
      <c r="AJ93" t="str">
        <f>""</f>
        <v/>
      </c>
      <c r="AK93" t="str">
        <f>""</f>
        <v/>
      </c>
      <c r="AL93">
        <v>33</v>
      </c>
      <c r="AM93" t="str">
        <f>""</f>
        <v/>
      </c>
      <c r="AN93" t="str">
        <f>""</f>
        <v/>
      </c>
      <c r="AO93" t="str">
        <f>"Fénelon"</f>
        <v>Fénelon</v>
      </c>
      <c r="AP93" t="str">
        <f>"LILLE"</f>
        <v>LILLE</v>
      </c>
      <c r="AQ93" t="str">
        <f>"Lille"</f>
        <v>Lille</v>
      </c>
    </row>
    <row r="94" spans="1:43" x14ac:dyDescent="0.25">
      <c r="A94" t="str">
        <f t="shared" si="18"/>
        <v>1A,1A Maths,1A Att,T00000</v>
      </c>
      <c r="B94" t="str">
        <f>"DUBOIS"</f>
        <v>DUBOIS</v>
      </c>
      <c r="C94" t="str">
        <f>"Valentine"</f>
        <v>Valentine</v>
      </c>
      <c r="D94" t="str">
        <f>"024-2708"</f>
        <v>024-2708</v>
      </c>
      <c r="E94" t="str">
        <f>"080846215JE"</f>
        <v>080846215JE</v>
      </c>
      <c r="F94" t="str">
        <f t="shared" si="13"/>
        <v>0352480F</v>
      </c>
      <c r="G94" t="str">
        <f t="shared" si="14"/>
        <v>O</v>
      </c>
      <c r="H94">
        <v>10</v>
      </c>
      <c r="I94">
        <v>2004</v>
      </c>
      <c r="J94">
        <v>2</v>
      </c>
      <c r="K94" t="str">
        <f>"NBGE"</f>
        <v>NBGE</v>
      </c>
      <c r="L94">
        <v>23</v>
      </c>
      <c r="M94">
        <v>2022</v>
      </c>
      <c r="N94" t="str">
        <f>"D"</f>
        <v>D</v>
      </c>
      <c r="O94" t="str">
        <f>"A"</f>
        <v>A</v>
      </c>
      <c r="P94">
        <v>0</v>
      </c>
      <c r="Q94">
        <v>100</v>
      </c>
      <c r="R94">
        <v>100</v>
      </c>
      <c r="S94">
        <v>35032</v>
      </c>
      <c r="T94">
        <v>100</v>
      </c>
      <c r="U94">
        <v>35032</v>
      </c>
      <c r="V94" t="str">
        <f>""</f>
        <v/>
      </c>
      <c r="W94">
        <v>85</v>
      </c>
      <c r="X94">
        <v>0</v>
      </c>
      <c r="Y94">
        <v>6000577</v>
      </c>
      <c r="Z94">
        <v>1</v>
      </c>
      <c r="AA94">
        <v>27</v>
      </c>
      <c r="AB94" t="str">
        <f>""</f>
        <v/>
      </c>
      <c r="AC94" t="str">
        <f>""</f>
        <v/>
      </c>
      <c r="AD94" t="str">
        <f>""</f>
        <v/>
      </c>
      <c r="AE94">
        <v>2022</v>
      </c>
      <c r="AF94">
        <v>2024</v>
      </c>
      <c r="AG94" t="str">
        <f>""</f>
        <v/>
      </c>
      <c r="AH94" t="str">
        <f>""</f>
        <v/>
      </c>
      <c r="AI94" t="str">
        <f>""</f>
        <v/>
      </c>
      <c r="AJ94" t="str">
        <f>""</f>
        <v/>
      </c>
      <c r="AK94" t="str">
        <f>""</f>
        <v/>
      </c>
      <c r="AL94">
        <v>31</v>
      </c>
      <c r="AM94" t="str">
        <f>""</f>
        <v/>
      </c>
      <c r="AN94" t="str">
        <f>""</f>
        <v/>
      </c>
      <c r="AO94" t="str">
        <f>"Lycée Saint-Exupery"</f>
        <v>Lycée Saint-Exupery</v>
      </c>
      <c r="AP94" t="str">
        <f>"SAINT-RAPHAEL"</f>
        <v>SAINT-RAPHAEL</v>
      </c>
      <c r="AQ94" t="str">
        <f>"Nice"</f>
        <v>Nice</v>
      </c>
    </row>
    <row r="95" spans="1:43" x14ac:dyDescent="0.25">
      <c r="A95" t="str">
        <f t="shared" si="18"/>
        <v>1A,1A Maths,1A Att,T00000</v>
      </c>
      <c r="B95" t="str">
        <f>"DURVIE"</f>
        <v>DURVIE</v>
      </c>
      <c r="C95" t="str">
        <f>"Shan"</f>
        <v>Shan</v>
      </c>
      <c r="D95" t="str">
        <f>"023-2532"</f>
        <v>023-2532</v>
      </c>
      <c r="E95" t="str">
        <f>"070685137CE"</f>
        <v>070685137CE</v>
      </c>
      <c r="F95" t="str">
        <f t="shared" si="13"/>
        <v>0352480F</v>
      </c>
      <c r="G95" t="str">
        <f t="shared" si="14"/>
        <v>O</v>
      </c>
      <c r="H95">
        <v>10</v>
      </c>
      <c r="I95">
        <v>2003</v>
      </c>
      <c r="J95">
        <v>1</v>
      </c>
      <c r="K95" t="str">
        <f>"C"</f>
        <v>C</v>
      </c>
      <c r="L95">
        <v>25</v>
      </c>
      <c r="M95">
        <v>2021</v>
      </c>
      <c r="N95" t="str">
        <f>"E"</f>
        <v>E</v>
      </c>
      <c r="O95" t="str">
        <f>"A"</f>
        <v>A</v>
      </c>
      <c r="P95">
        <v>0</v>
      </c>
      <c r="Q95">
        <v>100</v>
      </c>
      <c r="R95">
        <v>100</v>
      </c>
      <c r="S95">
        <v>35170</v>
      </c>
      <c r="T95">
        <v>100</v>
      </c>
      <c r="U95">
        <v>35170</v>
      </c>
      <c r="V95" t="str">
        <f>"TOEIC 1A le 24/05/20024 885"</f>
        <v>TOEIC 1A le 24/05/20024 885</v>
      </c>
      <c r="W95">
        <v>0</v>
      </c>
      <c r="X95">
        <v>0</v>
      </c>
      <c r="Y95">
        <v>6000577</v>
      </c>
      <c r="Z95">
        <v>1</v>
      </c>
      <c r="AA95">
        <v>27</v>
      </c>
      <c r="AB95" t="str">
        <f>""</f>
        <v/>
      </c>
      <c r="AC95" t="str">
        <f>""</f>
        <v/>
      </c>
      <c r="AD95" t="str">
        <f>""</f>
        <v/>
      </c>
      <c r="AE95">
        <v>2021</v>
      </c>
      <c r="AF95">
        <v>2023</v>
      </c>
      <c r="AG95" t="str">
        <f>"Bruz"</f>
        <v>Bruz</v>
      </c>
      <c r="AH95" t="str">
        <f>"Bruz"</f>
        <v>Bruz</v>
      </c>
      <c r="AI95" t="str">
        <f>""</f>
        <v/>
      </c>
      <c r="AJ95" t="str">
        <f>""</f>
        <v/>
      </c>
      <c r="AK95" t="str">
        <f>""</f>
        <v/>
      </c>
      <c r="AL95">
        <v>0</v>
      </c>
      <c r="AM95" t="str">
        <f>""</f>
        <v/>
      </c>
      <c r="AN95" t="str">
        <f>""</f>
        <v/>
      </c>
      <c r="AO95" t="str">
        <f>"Jeanne-d'Albret"</f>
        <v>Jeanne-d'Albret</v>
      </c>
      <c r="AP95" t="str">
        <f>"SAINT-GERMAIN-EN-LAYE"</f>
        <v>SAINT-GERMAIN-EN-LAYE</v>
      </c>
      <c r="AQ95" t="str">
        <f>"Versailles"</f>
        <v>Versailles</v>
      </c>
    </row>
    <row r="96" spans="1:43" x14ac:dyDescent="0.25">
      <c r="A96" t="str">
        <f t="shared" si="18"/>
        <v>1A,1A Maths,1A Att,T00000</v>
      </c>
      <c r="B96" t="str">
        <f>"DUTAUD"</f>
        <v>DUTAUD</v>
      </c>
      <c r="C96" t="str">
        <f>"Tom"</f>
        <v>Tom</v>
      </c>
      <c r="D96" t="str">
        <f>"024-2836"</f>
        <v>024-2836</v>
      </c>
      <c r="E96" t="str">
        <f>"070514834KC"</f>
        <v>070514834KC</v>
      </c>
      <c r="F96" t="str">
        <f t="shared" si="13"/>
        <v>0352480F</v>
      </c>
      <c r="G96" t="str">
        <f t="shared" si="14"/>
        <v>O</v>
      </c>
      <c r="H96">
        <v>10</v>
      </c>
      <c r="I96">
        <v>2004</v>
      </c>
      <c r="J96">
        <v>1</v>
      </c>
      <c r="K96" t="str">
        <f t="shared" ref="K96:K108" si="20">"NBGE"</f>
        <v>NBGE</v>
      </c>
      <c r="L96">
        <v>25</v>
      </c>
      <c r="M96">
        <v>2022</v>
      </c>
      <c r="N96" t="str">
        <f t="shared" ref="N96:O99" si="21">"D"</f>
        <v>D</v>
      </c>
      <c r="O96" t="str">
        <f t="shared" si="21"/>
        <v>D</v>
      </c>
      <c r="P96">
        <v>0</v>
      </c>
      <c r="Q96">
        <v>100</v>
      </c>
      <c r="R96">
        <v>100</v>
      </c>
      <c r="S96" t="str">
        <f>"31 ru"</f>
        <v>31 ru</v>
      </c>
      <c r="T96">
        <v>100</v>
      </c>
      <c r="U96" t="str">
        <f>"31 ru"</f>
        <v>31 ru</v>
      </c>
      <c r="V96" t="str">
        <f>""</f>
        <v/>
      </c>
      <c r="W96">
        <v>54</v>
      </c>
      <c r="X96">
        <v>0</v>
      </c>
      <c r="Y96">
        <v>6000577</v>
      </c>
      <c r="Z96">
        <v>1</v>
      </c>
      <c r="AA96">
        <v>27</v>
      </c>
      <c r="AB96" t="str">
        <f>""</f>
        <v/>
      </c>
      <c r="AC96" t="str">
        <f>""</f>
        <v/>
      </c>
      <c r="AD96" t="str">
        <f>""</f>
        <v/>
      </c>
      <c r="AE96">
        <v>2022</v>
      </c>
      <c r="AF96">
        <v>2024</v>
      </c>
      <c r="AG96" t="str">
        <f>"ABEL GANCE   , Sainte Geneviève"</f>
        <v>ABEL GANCE   , Sainte Geneviève</v>
      </c>
      <c r="AH96" t="str">
        <f>"ABEL GANCE   , Sainte Geneviève"</f>
        <v>ABEL GANCE   , Sainte Geneviève</v>
      </c>
      <c r="AI96" t="str">
        <f>""</f>
        <v/>
      </c>
      <c r="AJ96" t="str">
        <f>""</f>
        <v/>
      </c>
      <c r="AK96" t="str">
        <f>""</f>
        <v/>
      </c>
      <c r="AL96">
        <v>54</v>
      </c>
      <c r="AM96" t="str">
        <f>""</f>
        <v/>
      </c>
      <c r="AN96" t="str">
        <f>""</f>
        <v/>
      </c>
      <c r="AO96" t="str">
        <f>"Lycée Albert Einstein"</f>
        <v>Lycée Albert Einstein</v>
      </c>
      <c r="AP96" t="str">
        <f>"SAINTE GENEVIEVE DES BOIS"</f>
        <v>SAINTE GENEVIEVE DES BOIS</v>
      </c>
      <c r="AQ96" t="str">
        <f>"Versailles"</f>
        <v>Versailles</v>
      </c>
    </row>
    <row r="97" spans="1:43" x14ac:dyDescent="0.25">
      <c r="A97" t="str">
        <f t="shared" si="18"/>
        <v>1A,1A Maths,1A Att,T00000</v>
      </c>
      <c r="B97" t="str">
        <f>"FARDIN"</f>
        <v>FARDIN</v>
      </c>
      <c r="C97" t="str">
        <f>"Guillaume"</f>
        <v>Guillaume</v>
      </c>
      <c r="D97" t="str">
        <f>"024-2830"</f>
        <v>024-2830</v>
      </c>
      <c r="E97" t="str">
        <f>"080668085CF"</f>
        <v>080668085CF</v>
      </c>
      <c r="F97" t="str">
        <f t="shared" si="13"/>
        <v>0352480F</v>
      </c>
      <c r="G97" t="str">
        <f t="shared" si="14"/>
        <v>O</v>
      </c>
      <c r="H97">
        <v>10</v>
      </c>
      <c r="I97">
        <v>2005</v>
      </c>
      <c r="J97">
        <v>1</v>
      </c>
      <c r="K97" t="str">
        <f t="shared" si="20"/>
        <v>NBGE</v>
      </c>
      <c r="L97">
        <v>17</v>
      </c>
      <c r="M97">
        <v>2022</v>
      </c>
      <c r="N97" t="str">
        <f t="shared" si="21"/>
        <v>D</v>
      </c>
      <c r="O97" t="str">
        <f t="shared" si="21"/>
        <v>D</v>
      </c>
      <c r="P97">
        <v>0</v>
      </c>
      <c r="Q97">
        <v>100</v>
      </c>
      <c r="R97">
        <v>100</v>
      </c>
      <c r="S97">
        <v>35580</v>
      </c>
      <c r="T97">
        <v>100</v>
      </c>
      <c r="U97">
        <v>35580</v>
      </c>
      <c r="V97" t="str">
        <f>""</f>
        <v/>
      </c>
      <c r="W97">
        <v>34</v>
      </c>
      <c r="X97">
        <v>0</v>
      </c>
      <c r="Y97">
        <v>6000577</v>
      </c>
      <c r="Z97">
        <v>1</v>
      </c>
      <c r="AA97">
        <v>27</v>
      </c>
      <c r="AB97" t="str">
        <f>""</f>
        <v/>
      </c>
      <c r="AC97" t="str">
        <f>""</f>
        <v/>
      </c>
      <c r="AD97" t="str">
        <f>""</f>
        <v/>
      </c>
      <c r="AE97">
        <v>2022</v>
      </c>
      <c r="AF97">
        <v>2024</v>
      </c>
      <c r="AG97" t="str">
        <f>"Guichen"</f>
        <v>Guichen</v>
      </c>
      <c r="AH97" t="str">
        <f>"Guichen"</f>
        <v>Guichen</v>
      </c>
      <c r="AI97" t="str">
        <f>""</f>
        <v/>
      </c>
      <c r="AJ97" t="str">
        <f>""</f>
        <v/>
      </c>
      <c r="AK97" t="str">
        <f>""</f>
        <v/>
      </c>
      <c r="AL97">
        <v>34</v>
      </c>
      <c r="AM97" t="str">
        <f>""</f>
        <v/>
      </c>
      <c r="AN97" t="str">
        <f>""</f>
        <v/>
      </c>
      <c r="AO97" t="str">
        <f>"Lycée Sainte Marie"</f>
        <v>Lycée Sainte Marie</v>
      </c>
      <c r="AP97" t="str">
        <f>"CHANTONNAY"</f>
        <v>CHANTONNAY</v>
      </c>
      <c r="AQ97" t="str">
        <f>"Nantes"</f>
        <v>Nantes</v>
      </c>
    </row>
    <row r="98" spans="1:43" x14ac:dyDescent="0.25">
      <c r="A98" t="str">
        <f t="shared" si="18"/>
        <v>1A,1A Maths,1A Att,T00000</v>
      </c>
      <c r="B98" t="str">
        <f>"FAUJOURON"</f>
        <v>FAUJOURON</v>
      </c>
      <c r="C98" t="str">
        <f>"Sarah"</f>
        <v>Sarah</v>
      </c>
      <c r="D98" t="str">
        <f>"024-2711"</f>
        <v>024-2711</v>
      </c>
      <c r="E98" t="str">
        <f>"070952223HG"</f>
        <v>070952223HG</v>
      </c>
      <c r="F98" t="str">
        <f t="shared" si="13"/>
        <v>0352480F</v>
      </c>
      <c r="G98" t="str">
        <f t="shared" si="14"/>
        <v>O</v>
      </c>
      <c r="H98">
        <v>10</v>
      </c>
      <c r="I98">
        <v>2004</v>
      </c>
      <c r="J98">
        <v>2</v>
      </c>
      <c r="K98" t="str">
        <f t="shared" si="20"/>
        <v>NBGE</v>
      </c>
      <c r="L98">
        <v>14</v>
      </c>
      <c r="M98">
        <v>2022</v>
      </c>
      <c r="N98" t="str">
        <f t="shared" si="21"/>
        <v>D</v>
      </c>
      <c r="O98" t="str">
        <f t="shared" si="21"/>
        <v>D</v>
      </c>
      <c r="P98">
        <v>0</v>
      </c>
      <c r="Q98">
        <v>100</v>
      </c>
      <c r="R98">
        <v>100</v>
      </c>
      <c r="S98" t="str">
        <f>"35, B"</f>
        <v>35, B</v>
      </c>
      <c r="T98">
        <v>100</v>
      </c>
      <c r="U98" t="str">
        <f>"35, B"</f>
        <v>35, B</v>
      </c>
      <c r="V98" t="str">
        <f>""</f>
        <v/>
      </c>
      <c r="W98">
        <v>43</v>
      </c>
      <c r="X98">
        <v>0</v>
      </c>
      <c r="Y98">
        <v>6000577</v>
      </c>
      <c r="Z98">
        <v>1</v>
      </c>
      <c r="AA98">
        <v>27</v>
      </c>
      <c r="AB98" t="str">
        <f>""</f>
        <v/>
      </c>
      <c r="AC98" t="str">
        <f>""</f>
        <v/>
      </c>
      <c r="AD98" t="str">
        <f>""</f>
        <v/>
      </c>
      <c r="AE98">
        <v>2022</v>
      </c>
      <c r="AF98">
        <v>2024</v>
      </c>
      <c r="AG98" t="str">
        <f>"uz"</f>
        <v>uz</v>
      </c>
      <c r="AH98" t="str">
        <f>"uz"</f>
        <v>uz</v>
      </c>
      <c r="AI98" t="str">
        <f>""</f>
        <v/>
      </c>
      <c r="AJ98" t="str">
        <f>""</f>
        <v/>
      </c>
      <c r="AK98" t="str">
        <f>""</f>
        <v/>
      </c>
      <c r="AL98">
        <v>33</v>
      </c>
      <c r="AM98" t="str">
        <f>""</f>
        <v/>
      </c>
      <c r="AN98" t="str">
        <f>""</f>
        <v/>
      </c>
      <c r="AO98" t="str">
        <f>"Le Dantec"</f>
        <v>Le Dantec</v>
      </c>
      <c r="AP98" t="str">
        <f>"LANNION"</f>
        <v>LANNION</v>
      </c>
      <c r="AQ98" t="str">
        <f>"Rennes"</f>
        <v>Rennes</v>
      </c>
    </row>
    <row r="99" spans="1:43" x14ac:dyDescent="0.25">
      <c r="A99" t="str">
        <f t="shared" si="18"/>
        <v>1A,1A Maths,1A Att,T00000</v>
      </c>
      <c r="B99" t="str">
        <f>"FERTON"</f>
        <v>FERTON</v>
      </c>
      <c r="C99" t="str">
        <f>"Grégoire"</f>
        <v>Grégoire</v>
      </c>
      <c r="D99" t="str">
        <f>"024-2787"</f>
        <v>024-2787</v>
      </c>
      <c r="E99" t="str">
        <f>"090431807DC"</f>
        <v>090431807DC</v>
      </c>
      <c r="F99" t="str">
        <f t="shared" si="13"/>
        <v>0352480F</v>
      </c>
      <c r="G99" t="str">
        <f t="shared" si="14"/>
        <v>O</v>
      </c>
      <c r="H99">
        <v>10</v>
      </c>
      <c r="I99">
        <v>2004</v>
      </c>
      <c r="J99">
        <v>1</v>
      </c>
      <c r="K99" t="str">
        <f t="shared" si="20"/>
        <v>NBGE</v>
      </c>
      <c r="L99">
        <v>1</v>
      </c>
      <c r="M99">
        <v>2022</v>
      </c>
      <c r="N99" t="str">
        <f t="shared" si="21"/>
        <v>D</v>
      </c>
      <c r="O99" t="str">
        <f t="shared" si="21"/>
        <v>D</v>
      </c>
      <c r="P99">
        <v>0</v>
      </c>
      <c r="Q99">
        <v>100</v>
      </c>
      <c r="R99">
        <v>100</v>
      </c>
      <c r="S99">
        <v>35000</v>
      </c>
      <c r="T99">
        <v>100</v>
      </c>
      <c r="U99">
        <v>35000</v>
      </c>
      <c r="V99" t="str">
        <f>""</f>
        <v/>
      </c>
      <c r="W99">
        <v>0</v>
      </c>
      <c r="X99">
        <v>0</v>
      </c>
      <c r="Y99">
        <v>6000577</v>
      </c>
      <c r="Z99">
        <v>1</v>
      </c>
      <c r="AA99">
        <v>27</v>
      </c>
      <c r="AB99" t="str">
        <f>""</f>
        <v/>
      </c>
      <c r="AC99" t="str">
        <f>""</f>
        <v/>
      </c>
      <c r="AD99" t="str">
        <f>""</f>
        <v/>
      </c>
      <c r="AE99">
        <v>2022</v>
      </c>
      <c r="AF99">
        <v>2024</v>
      </c>
      <c r="AG99" t="str">
        <f>"Rennes"</f>
        <v>Rennes</v>
      </c>
      <c r="AH99" t="str">
        <f>"Rennes"</f>
        <v>Rennes</v>
      </c>
      <c r="AI99" t="str">
        <f>""</f>
        <v/>
      </c>
      <c r="AJ99" t="str">
        <f>""</f>
        <v/>
      </c>
      <c r="AK99" t="str">
        <f>""</f>
        <v/>
      </c>
      <c r="AL99">
        <v>31</v>
      </c>
      <c r="AM99" t="str">
        <f>""</f>
        <v/>
      </c>
      <c r="AN99" t="str">
        <f>""</f>
        <v/>
      </c>
      <c r="AO99" t="str">
        <f>"CARNOT"</f>
        <v>CARNOT</v>
      </c>
      <c r="AP99" t="str">
        <f>"PARIS"</f>
        <v>PARIS</v>
      </c>
      <c r="AQ99" t="str">
        <f>"Paris"</f>
        <v>Paris</v>
      </c>
    </row>
    <row r="100" spans="1:43" x14ac:dyDescent="0.25">
      <c r="A100" t="str">
        <f t="shared" si="18"/>
        <v>1A,1A Maths,1A Att,T00000</v>
      </c>
      <c r="B100" t="str">
        <f>"GORGÉ"</f>
        <v>GORGÉ</v>
      </c>
      <c r="C100" t="str">
        <f>"Nolwenn"</f>
        <v>Nolwenn</v>
      </c>
      <c r="D100" t="str">
        <f>"024-2707"</f>
        <v>024-2707</v>
      </c>
      <c r="E100" t="str">
        <f>"070952128HE"</f>
        <v>070952128HE</v>
      </c>
      <c r="F100" t="str">
        <f t="shared" si="13"/>
        <v>0352480F</v>
      </c>
      <c r="G100" t="str">
        <f t="shared" si="14"/>
        <v>O</v>
      </c>
      <c r="H100">
        <v>10</v>
      </c>
      <c r="I100">
        <v>2004</v>
      </c>
      <c r="J100">
        <v>2</v>
      </c>
      <c r="K100" t="str">
        <f t="shared" si="20"/>
        <v>NBGE</v>
      </c>
      <c r="L100">
        <v>14</v>
      </c>
      <c r="M100">
        <v>2022</v>
      </c>
      <c r="N100" t="str">
        <f t="shared" ref="N100:N106" si="22">"D"</f>
        <v>D</v>
      </c>
      <c r="O100" t="str">
        <f>"A"</f>
        <v>A</v>
      </c>
      <c r="P100">
        <v>0</v>
      </c>
      <c r="Q100">
        <v>100</v>
      </c>
      <c r="R100">
        <v>100</v>
      </c>
      <c r="S100">
        <v>35890</v>
      </c>
      <c r="T100">
        <v>100</v>
      </c>
      <c r="U100">
        <v>35890</v>
      </c>
      <c r="V100" t="str">
        <f>""</f>
        <v/>
      </c>
      <c r="W100">
        <v>38</v>
      </c>
      <c r="X100">
        <v>0</v>
      </c>
      <c r="Y100">
        <v>6000577</v>
      </c>
      <c r="Z100">
        <v>1</v>
      </c>
      <c r="AA100">
        <v>27</v>
      </c>
      <c r="AB100" t="str">
        <f>""</f>
        <v/>
      </c>
      <c r="AC100" t="str">
        <f>""</f>
        <v/>
      </c>
      <c r="AD100" t="str">
        <f>""</f>
        <v/>
      </c>
      <c r="AE100">
        <v>2022</v>
      </c>
      <c r="AF100">
        <v>2024</v>
      </c>
      <c r="AG100" t="str">
        <f>"Laillé"</f>
        <v>Laillé</v>
      </c>
      <c r="AH100" t="str">
        <f>"Laillé"</f>
        <v>Laillé</v>
      </c>
      <c r="AI100" t="str">
        <f>""</f>
        <v/>
      </c>
      <c r="AJ100" t="str">
        <f>""</f>
        <v/>
      </c>
      <c r="AK100" t="str">
        <f>""</f>
        <v/>
      </c>
      <c r="AL100">
        <v>38</v>
      </c>
      <c r="AM100" t="str">
        <f>""</f>
        <v/>
      </c>
      <c r="AN100" t="str">
        <f>""</f>
        <v/>
      </c>
      <c r="AO100" t="str">
        <f>"Félix le Dantec"</f>
        <v>Félix le Dantec</v>
      </c>
      <c r="AP100" t="str">
        <f>"LANNION"</f>
        <v>LANNION</v>
      </c>
      <c r="AQ100" t="str">
        <f>"Rennes"</f>
        <v>Rennes</v>
      </c>
    </row>
    <row r="101" spans="1:43" x14ac:dyDescent="0.25">
      <c r="A101" t="str">
        <f t="shared" si="18"/>
        <v>1A,1A Maths,1A Att,T00000</v>
      </c>
      <c r="B101" t="str">
        <f>"GUIDI"</f>
        <v>GUIDI</v>
      </c>
      <c r="C101" t="str">
        <f>"Théo"</f>
        <v>Théo</v>
      </c>
      <c r="D101" t="str">
        <f>"024-2807"</f>
        <v>024-2807</v>
      </c>
      <c r="E101" t="str">
        <f>"070307954HB"</f>
        <v>070307954HB</v>
      </c>
      <c r="F101" t="str">
        <f t="shared" si="13"/>
        <v>0352480F</v>
      </c>
      <c r="G101" t="str">
        <f t="shared" si="14"/>
        <v>O</v>
      </c>
      <c r="H101">
        <v>10</v>
      </c>
      <c r="I101">
        <v>2004</v>
      </c>
      <c r="J101">
        <v>1</v>
      </c>
      <c r="K101" t="str">
        <f t="shared" si="20"/>
        <v>NBGE</v>
      </c>
      <c r="L101">
        <v>14</v>
      </c>
      <c r="M101">
        <v>2022</v>
      </c>
      <c r="N101" t="str">
        <f t="shared" si="22"/>
        <v>D</v>
      </c>
      <c r="O101" t="str">
        <f t="shared" ref="O101:O108" si="23">"D"</f>
        <v>D</v>
      </c>
      <c r="P101">
        <v>0</v>
      </c>
      <c r="Q101">
        <v>100</v>
      </c>
      <c r="R101">
        <v>100</v>
      </c>
      <c r="S101">
        <v>35150</v>
      </c>
      <c r="T101">
        <v>100</v>
      </c>
      <c r="U101">
        <v>35150</v>
      </c>
      <c r="V101" t="str">
        <f>""</f>
        <v/>
      </c>
      <c r="W101">
        <v>54</v>
      </c>
      <c r="X101">
        <v>0</v>
      </c>
      <c r="Y101">
        <v>6000577</v>
      </c>
      <c r="Z101">
        <v>1</v>
      </c>
      <c r="AA101">
        <v>27</v>
      </c>
      <c r="AB101" t="str">
        <f>""</f>
        <v/>
      </c>
      <c r="AC101" t="str">
        <f>""</f>
        <v/>
      </c>
      <c r="AD101" t="str">
        <f>""</f>
        <v/>
      </c>
      <c r="AE101">
        <v>2022</v>
      </c>
      <c r="AF101">
        <v>2024</v>
      </c>
      <c r="AG101" t="str">
        <f>"Amanlis"</f>
        <v>Amanlis</v>
      </c>
      <c r="AH101" t="str">
        <f>"Amanlis"</f>
        <v>Amanlis</v>
      </c>
      <c r="AI101" t="str">
        <f>""</f>
        <v/>
      </c>
      <c r="AJ101" t="str">
        <f>""</f>
        <v/>
      </c>
      <c r="AK101" t="str">
        <f>""</f>
        <v/>
      </c>
      <c r="AL101">
        <v>38</v>
      </c>
      <c r="AM101" t="str">
        <f>""</f>
        <v/>
      </c>
      <c r="AN101" t="str">
        <f>""</f>
        <v/>
      </c>
      <c r="AO101" t="str">
        <f>"Frédéric Ozanam"</f>
        <v>Frédéric Ozanam</v>
      </c>
      <c r="AP101" t="str">
        <f>"CESSON-SÉVIGNÉ"</f>
        <v>CESSON-SÉVIGNÉ</v>
      </c>
      <c r="AQ101" t="str">
        <f>"Rennes"</f>
        <v>Rennes</v>
      </c>
    </row>
    <row r="102" spans="1:43" x14ac:dyDescent="0.25">
      <c r="A102" t="str">
        <f t="shared" si="18"/>
        <v>1A,1A Maths,1A Att,T00000</v>
      </c>
      <c r="B102" t="str">
        <f>"HERMENT"</f>
        <v>HERMENT</v>
      </c>
      <c r="C102" t="str">
        <f>"Fanny"</f>
        <v>Fanny</v>
      </c>
      <c r="D102" t="str">
        <f>"024-2806"</f>
        <v>024-2806</v>
      </c>
      <c r="E102" t="str">
        <f>"071168017BA"</f>
        <v>071168017BA</v>
      </c>
      <c r="F102" t="str">
        <f t="shared" si="13"/>
        <v>0352480F</v>
      </c>
      <c r="G102" t="str">
        <f t="shared" si="14"/>
        <v>O</v>
      </c>
      <c r="H102">
        <v>10</v>
      </c>
      <c r="I102">
        <v>2004</v>
      </c>
      <c r="J102">
        <v>2</v>
      </c>
      <c r="K102" t="str">
        <f t="shared" si="20"/>
        <v>NBGE</v>
      </c>
      <c r="L102">
        <v>25</v>
      </c>
      <c r="M102">
        <v>2022</v>
      </c>
      <c r="N102" t="str">
        <f t="shared" si="22"/>
        <v>D</v>
      </c>
      <c r="O102" t="str">
        <f t="shared" si="23"/>
        <v>D</v>
      </c>
      <c r="P102">
        <v>0</v>
      </c>
      <c r="Q102">
        <v>100</v>
      </c>
      <c r="R102">
        <v>100</v>
      </c>
      <c r="S102" t="str">
        <f>"Bruz"</f>
        <v>Bruz</v>
      </c>
      <c r="T102">
        <v>100</v>
      </c>
      <c r="U102" t="str">
        <f>"Bruz"</f>
        <v>Bruz</v>
      </c>
      <c r="V102" t="str">
        <f>""</f>
        <v/>
      </c>
      <c r="W102">
        <v>38</v>
      </c>
      <c r="X102">
        <v>0</v>
      </c>
      <c r="Y102">
        <v>6000577</v>
      </c>
      <c r="Z102">
        <v>1</v>
      </c>
      <c r="AA102">
        <v>27</v>
      </c>
      <c r="AB102" t="str">
        <f>""</f>
        <v/>
      </c>
      <c r="AC102" t="str">
        <f>""</f>
        <v/>
      </c>
      <c r="AD102" t="str">
        <f>""</f>
        <v/>
      </c>
      <c r="AE102">
        <v>2022</v>
      </c>
      <c r="AF102">
        <v>2024</v>
      </c>
      <c r="AG102">
        <v>5170</v>
      </c>
      <c r="AH102">
        <v>5170</v>
      </c>
      <c r="AI102" t="str">
        <f>""</f>
        <v/>
      </c>
      <c r="AJ102" t="str">
        <f>""</f>
        <v/>
      </c>
      <c r="AK102" t="str">
        <f>""</f>
        <v/>
      </c>
      <c r="AL102">
        <v>85</v>
      </c>
      <c r="AM102" t="str">
        <f>""</f>
        <v/>
      </c>
      <c r="AN102" t="str">
        <f>""</f>
        <v/>
      </c>
      <c r="AO102" t="str">
        <f>"Blaise Pascal"</f>
        <v>Blaise Pascal</v>
      </c>
      <c r="AP102" t="str">
        <f>"ORSAY"</f>
        <v>ORSAY</v>
      </c>
      <c r="AQ102" t="str">
        <f>"Versailles"</f>
        <v>Versailles</v>
      </c>
    </row>
    <row r="103" spans="1:43" x14ac:dyDescent="0.25">
      <c r="A103" t="str">
        <f t="shared" si="18"/>
        <v>1A,1A Maths,1A Att,T00000</v>
      </c>
      <c r="B103" t="str">
        <f>"JABRI"</f>
        <v>JABRI</v>
      </c>
      <c r="C103" t="str">
        <f>"Karima"</f>
        <v>Karima</v>
      </c>
      <c r="D103" t="str">
        <f>"024-2710"</f>
        <v>024-2710</v>
      </c>
      <c r="E103" t="str">
        <f>"080672794GK"</f>
        <v>080672794GK</v>
      </c>
      <c r="F103" t="str">
        <f t="shared" si="13"/>
        <v>0352480F</v>
      </c>
      <c r="G103" t="str">
        <f t="shared" si="14"/>
        <v>O</v>
      </c>
      <c r="H103">
        <v>10</v>
      </c>
      <c r="I103">
        <v>2004</v>
      </c>
      <c r="J103">
        <v>2</v>
      </c>
      <c r="K103" t="str">
        <f t="shared" si="20"/>
        <v>NBGE</v>
      </c>
      <c r="L103">
        <v>24</v>
      </c>
      <c r="M103">
        <v>2022</v>
      </c>
      <c r="N103" t="str">
        <f t="shared" si="22"/>
        <v>D</v>
      </c>
      <c r="O103" t="str">
        <f t="shared" si="23"/>
        <v>D</v>
      </c>
      <c r="P103">
        <v>0</v>
      </c>
      <c r="Q103">
        <v>100</v>
      </c>
      <c r="R103">
        <v>100</v>
      </c>
      <c r="S103">
        <v>35170</v>
      </c>
      <c r="T103">
        <v>100</v>
      </c>
      <c r="U103">
        <v>35170</v>
      </c>
      <c r="V103" t="str">
        <f>""</f>
        <v/>
      </c>
      <c r="W103">
        <v>54</v>
      </c>
      <c r="X103">
        <v>0</v>
      </c>
      <c r="Y103">
        <v>6000577</v>
      </c>
      <c r="Z103">
        <v>1</v>
      </c>
      <c r="AA103">
        <v>27</v>
      </c>
      <c r="AB103" t="str">
        <f>""</f>
        <v/>
      </c>
      <c r="AC103" t="str">
        <f>""</f>
        <v/>
      </c>
      <c r="AD103" t="str">
        <f>""</f>
        <v/>
      </c>
      <c r="AE103">
        <v>2022</v>
      </c>
      <c r="AF103">
        <v>2024</v>
      </c>
      <c r="AG103" t="str">
        <f>"Bruz"</f>
        <v>Bruz</v>
      </c>
      <c r="AH103" t="str">
        <f>"Bruz"</f>
        <v>Bruz</v>
      </c>
      <c r="AI103" t="str">
        <f>""</f>
        <v/>
      </c>
      <c r="AJ103" t="str">
        <f>""</f>
        <v/>
      </c>
      <c r="AK103" t="str">
        <f>""</f>
        <v/>
      </c>
      <c r="AL103">
        <v>0</v>
      </c>
      <c r="AM103" t="str">
        <f>""</f>
        <v/>
      </c>
      <c r="AN103" t="str">
        <f>""</f>
        <v/>
      </c>
      <c r="AO103" t="str">
        <f>"Lycée Marcelin Berthelot"</f>
        <v>Lycée Marcelin Berthelot</v>
      </c>
      <c r="AP103" t="str">
        <f>"PANTIN"</f>
        <v>PANTIN</v>
      </c>
      <c r="AQ103" t="str">
        <f>"Créteil"</f>
        <v>Créteil</v>
      </c>
    </row>
    <row r="104" spans="1:43" x14ac:dyDescent="0.25">
      <c r="A104" t="str">
        <f t="shared" si="18"/>
        <v>1A,1A Maths,1A Att,T00000</v>
      </c>
      <c r="B104" t="str">
        <f>"JAUVERT"</f>
        <v>JAUVERT</v>
      </c>
      <c r="C104" t="str">
        <f>"Jade"</f>
        <v>Jade</v>
      </c>
      <c r="D104" t="str">
        <f>"024-2831"</f>
        <v>024-2831</v>
      </c>
      <c r="E104" t="str">
        <f>"080552962AK"</f>
        <v>080552962AK</v>
      </c>
      <c r="F104" t="str">
        <f t="shared" si="13"/>
        <v>0352480F</v>
      </c>
      <c r="G104" t="str">
        <f t="shared" si="14"/>
        <v>O</v>
      </c>
      <c r="H104">
        <v>10</v>
      </c>
      <c r="I104">
        <v>2004</v>
      </c>
      <c r="J104">
        <v>2</v>
      </c>
      <c r="K104" t="str">
        <f t="shared" si="20"/>
        <v>NBGE</v>
      </c>
      <c r="L104">
        <v>16</v>
      </c>
      <c r="M104">
        <v>2022</v>
      </c>
      <c r="N104" t="str">
        <f t="shared" si="22"/>
        <v>D</v>
      </c>
      <c r="O104" t="str">
        <f t="shared" si="23"/>
        <v>D</v>
      </c>
      <c r="P104">
        <v>0</v>
      </c>
      <c r="Q104">
        <v>100</v>
      </c>
      <c r="R104">
        <v>100</v>
      </c>
      <c r="S104">
        <v>35170</v>
      </c>
      <c r="T104">
        <v>100</v>
      </c>
      <c r="U104">
        <v>35170</v>
      </c>
      <c r="V104" t="str">
        <f>""</f>
        <v/>
      </c>
      <c r="W104">
        <v>31</v>
      </c>
      <c r="X104">
        <v>0</v>
      </c>
      <c r="Y104">
        <v>6000577</v>
      </c>
      <c r="Z104">
        <v>1</v>
      </c>
      <c r="AA104">
        <v>27</v>
      </c>
      <c r="AB104" t="str">
        <f>""</f>
        <v/>
      </c>
      <c r="AC104" t="str">
        <f>""</f>
        <v/>
      </c>
      <c r="AD104" t="str">
        <f>""</f>
        <v/>
      </c>
      <c r="AE104">
        <v>2022</v>
      </c>
      <c r="AF104">
        <v>2024</v>
      </c>
      <c r="AG104" t="str">
        <f>"Bruz"</f>
        <v>Bruz</v>
      </c>
      <c r="AH104" t="str">
        <f>"Bruz"</f>
        <v>Bruz</v>
      </c>
      <c r="AI104" t="str">
        <f>""</f>
        <v/>
      </c>
      <c r="AJ104" t="str">
        <f>""</f>
        <v/>
      </c>
      <c r="AK104" t="str">
        <f>""</f>
        <v/>
      </c>
      <c r="AL104">
        <v>31</v>
      </c>
      <c r="AM104" t="str">
        <f>""</f>
        <v/>
      </c>
      <c r="AN104" t="str">
        <f>""</f>
        <v/>
      </c>
      <c r="AO104" t="str">
        <f>"Lycée d'Artagnan"</f>
        <v>Lycée d'Artagnan</v>
      </c>
      <c r="AP104" t="str">
        <f>"NOGARO"</f>
        <v>NOGARO</v>
      </c>
      <c r="AQ104" t="str">
        <f>"Toulouse"</f>
        <v>Toulouse</v>
      </c>
    </row>
    <row r="105" spans="1:43" x14ac:dyDescent="0.25">
      <c r="A105" t="str">
        <f t="shared" si="18"/>
        <v>1A,1A Maths,1A Att,T00000</v>
      </c>
      <c r="B105" t="str">
        <f>"JEANNOT"</f>
        <v>JEANNOT</v>
      </c>
      <c r="C105" t="str">
        <f>"Titouan"</f>
        <v>Titouan</v>
      </c>
      <c r="D105" t="str">
        <f>"024-2821"</f>
        <v>024-2821</v>
      </c>
      <c r="E105" t="str">
        <f>"070107972DK"</f>
        <v>070107972DK</v>
      </c>
      <c r="F105" t="str">
        <f t="shared" si="13"/>
        <v>0352480F</v>
      </c>
      <c r="G105" t="str">
        <f t="shared" si="14"/>
        <v>O</v>
      </c>
      <c r="H105">
        <v>10</v>
      </c>
      <c r="I105">
        <v>2004</v>
      </c>
      <c r="J105">
        <v>1</v>
      </c>
      <c r="K105" t="str">
        <f t="shared" si="20"/>
        <v>NBGE</v>
      </c>
      <c r="L105">
        <v>13</v>
      </c>
      <c r="M105">
        <v>2022</v>
      </c>
      <c r="N105" t="str">
        <f t="shared" si="22"/>
        <v>D</v>
      </c>
      <c r="O105" t="str">
        <f t="shared" si="23"/>
        <v>D</v>
      </c>
      <c r="P105">
        <v>0</v>
      </c>
      <c r="Q105">
        <v>100</v>
      </c>
      <c r="R105">
        <v>100</v>
      </c>
      <c r="S105">
        <v>35136</v>
      </c>
      <c r="T105">
        <v>100</v>
      </c>
      <c r="U105">
        <v>35136</v>
      </c>
      <c r="V105" t="str">
        <f>""</f>
        <v/>
      </c>
      <c r="W105">
        <v>52</v>
      </c>
      <c r="X105">
        <v>0</v>
      </c>
      <c r="Y105">
        <v>6000577</v>
      </c>
      <c r="Z105">
        <v>1</v>
      </c>
      <c r="AA105">
        <v>27</v>
      </c>
      <c r="AB105" t="str">
        <f>""</f>
        <v/>
      </c>
      <c r="AC105" t="str">
        <f>""</f>
        <v/>
      </c>
      <c r="AD105" t="str">
        <f>""</f>
        <v/>
      </c>
      <c r="AE105">
        <v>2022</v>
      </c>
      <c r="AF105">
        <v>2024</v>
      </c>
      <c r="AG105" t="str">
        <f>"saint jacques de la lande"</f>
        <v>saint jacques de la lande</v>
      </c>
      <c r="AH105" t="str">
        <f>"saint jacques de la lande"</f>
        <v>saint jacques de la lande</v>
      </c>
      <c r="AI105" t="str">
        <f>""</f>
        <v/>
      </c>
      <c r="AJ105" t="str">
        <f>""</f>
        <v/>
      </c>
      <c r="AK105" t="str">
        <f>""</f>
        <v/>
      </c>
      <c r="AL105">
        <v>33</v>
      </c>
      <c r="AM105" t="str">
        <f>""</f>
        <v/>
      </c>
      <c r="AN105" t="str">
        <f>""</f>
        <v/>
      </c>
      <c r="AO105" t="str">
        <f>"Aliénor d'Aquitaine"</f>
        <v>Aliénor d'Aquitaine</v>
      </c>
      <c r="AP105" t="str">
        <f>"POITIERS"</f>
        <v>POITIERS</v>
      </c>
      <c r="AQ105" t="str">
        <f>"Poitiers"</f>
        <v>Poitiers</v>
      </c>
    </row>
    <row r="106" spans="1:43" x14ac:dyDescent="0.25">
      <c r="A106" t="str">
        <f t="shared" si="18"/>
        <v>1A,1A Maths,1A Att,T00000</v>
      </c>
      <c r="B106" t="str">
        <f>"KLEIN"</f>
        <v>KLEIN</v>
      </c>
      <c r="C106" t="str">
        <f>"Paul-Etienne"</f>
        <v>Paul-Etienne</v>
      </c>
      <c r="D106" t="str">
        <f>"024-2763"</f>
        <v>024-2763</v>
      </c>
      <c r="E106" t="str">
        <f>"153154474JH"</f>
        <v>153154474JH</v>
      </c>
      <c r="F106" t="str">
        <f t="shared" si="13"/>
        <v>0352480F</v>
      </c>
      <c r="G106" t="str">
        <f t="shared" si="14"/>
        <v>O</v>
      </c>
      <c r="H106">
        <v>10</v>
      </c>
      <c r="I106">
        <v>2005</v>
      </c>
      <c r="J106">
        <v>1</v>
      </c>
      <c r="K106" t="str">
        <f t="shared" si="20"/>
        <v>NBGE</v>
      </c>
      <c r="L106">
        <v>8</v>
      </c>
      <c r="M106">
        <v>2022</v>
      </c>
      <c r="N106" t="str">
        <f t="shared" si="22"/>
        <v>D</v>
      </c>
      <c r="O106" t="str">
        <f t="shared" si="23"/>
        <v>D</v>
      </c>
      <c r="P106">
        <v>0</v>
      </c>
      <c r="Q106">
        <v>100</v>
      </c>
      <c r="R106">
        <v>100</v>
      </c>
      <c r="S106">
        <v>35890</v>
      </c>
      <c r="T106">
        <v>100</v>
      </c>
      <c r="U106">
        <v>35890</v>
      </c>
      <c r="V106" t="str">
        <f>""</f>
        <v/>
      </c>
      <c r="W106">
        <v>99</v>
      </c>
      <c r="X106">
        <v>0</v>
      </c>
      <c r="Y106">
        <v>6000577</v>
      </c>
      <c r="Z106">
        <v>1</v>
      </c>
      <c r="AA106">
        <v>27</v>
      </c>
      <c r="AB106" t="str">
        <f>""</f>
        <v/>
      </c>
      <c r="AC106" t="str">
        <f>""</f>
        <v/>
      </c>
      <c r="AD106" t="str">
        <f>""</f>
        <v/>
      </c>
      <c r="AE106">
        <v>2022</v>
      </c>
      <c r="AF106">
        <v>2024</v>
      </c>
      <c r="AG106" t="str">
        <f>"Bourg des Comptes"</f>
        <v>Bourg des Comptes</v>
      </c>
      <c r="AH106" t="str">
        <f>"Bourg des Comptes"</f>
        <v>Bourg des Comptes</v>
      </c>
      <c r="AI106" t="str">
        <f>""</f>
        <v/>
      </c>
      <c r="AJ106" t="str">
        <f>""</f>
        <v/>
      </c>
      <c r="AK106" t="str">
        <f>""</f>
        <v/>
      </c>
      <c r="AL106">
        <v>42</v>
      </c>
      <c r="AM106" t="str">
        <f>""</f>
        <v/>
      </c>
      <c r="AN106" t="str">
        <f>""</f>
        <v/>
      </c>
      <c r="AO106" t="str">
        <f>"Saint-Ambroise"</f>
        <v>Saint-Ambroise</v>
      </c>
      <c r="AP106" t="str">
        <f>"CHAMBERY"</f>
        <v>CHAMBERY</v>
      </c>
      <c r="AQ106" t="str">
        <f>"Grenoble"</f>
        <v>Grenoble</v>
      </c>
    </row>
    <row r="107" spans="1:43" x14ac:dyDescent="0.25">
      <c r="A107" t="str">
        <f t="shared" si="18"/>
        <v>1A,1A Maths,1A Att,T00000</v>
      </c>
      <c r="B107" t="str">
        <f>"KREMER"</f>
        <v>KREMER</v>
      </c>
      <c r="C107" t="str">
        <f>"Satya"</f>
        <v>Satya</v>
      </c>
      <c r="D107" t="str">
        <f>"024-2785"</f>
        <v>024-2785</v>
      </c>
      <c r="E107" t="str">
        <f>"081231455DB"</f>
        <v>081231455DB</v>
      </c>
      <c r="F107" t="str">
        <f t="shared" si="13"/>
        <v>0352480F</v>
      </c>
      <c r="G107" t="str">
        <f t="shared" si="14"/>
        <v>O</v>
      </c>
      <c r="H107">
        <v>10</v>
      </c>
      <c r="I107">
        <v>2004</v>
      </c>
      <c r="J107">
        <v>1</v>
      </c>
      <c r="K107" t="str">
        <f t="shared" si="20"/>
        <v>NBGE</v>
      </c>
      <c r="L107">
        <v>12</v>
      </c>
      <c r="M107">
        <v>2022</v>
      </c>
      <c r="N107" t="str">
        <f>""</f>
        <v/>
      </c>
      <c r="O107" t="str">
        <f t="shared" si="23"/>
        <v>D</v>
      </c>
      <c r="P107">
        <v>0</v>
      </c>
      <c r="Q107">
        <v>100</v>
      </c>
      <c r="R107">
        <v>100</v>
      </c>
      <c r="S107" t="str">
        <f>""</f>
        <v/>
      </c>
      <c r="T107">
        <v>100</v>
      </c>
      <c r="U107" t="str">
        <f>""</f>
        <v/>
      </c>
      <c r="V107" t="str">
        <f>""</f>
        <v/>
      </c>
      <c r="W107">
        <v>43</v>
      </c>
      <c r="X107">
        <v>0</v>
      </c>
      <c r="Y107">
        <v>6000577</v>
      </c>
      <c r="Z107">
        <v>1</v>
      </c>
      <c r="AA107">
        <v>27</v>
      </c>
      <c r="AB107" t="str">
        <f>""</f>
        <v/>
      </c>
      <c r="AC107" t="str">
        <f>""</f>
        <v/>
      </c>
      <c r="AD107" t="str">
        <f>""</f>
        <v/>
      </c>
      <c r="AE107">
        <v>2022</v>
      </c>
      <c r="AF107">
        <v>2024</v>
      </c>
      <c r="AG107" t="str">
        <f>""</f>
        <v/>
      </c>
      <c r="AH107" t="str">
        <f>""</f>
        <v/>
      </c>
      <c r="AI107" t="str">
        <f>""</f>
        <v/>
      </c>
      <c r="AJ107" t="str">
        <f>""</f>
        <v/>
      </c>
      <c r="AK107" t="str">
        <f>""</f>
        <v/>
      </c>
      <c r="AL107">
        <v>33</v>
      </c>
      <c r="AM107" t="str">
        <f>""</f>
        <v/>
      </c>
      <c r="AN107" t="str">
        <f>""</f>
        <v/>
      </c>
      <c r="AO107" t="str">
        <f>"Félix Mayer"</f>
        <v>Félix Mayer</v>
      </c>
      <c r="AP107" t="str">
        <f>"CREUTZWALD"</f>
        <v>CREUTZWALD</v>
      </c>
      <c r="AQ107" t="str">
        <f>"Nancy-Metz"</f>
        <v>Nancy-Metz</v>
      </c>
    </row>
    <row r="108" spans="1:43" x14ac:dyDescent="0.25">
      <c r="A108" t="str">
        <f t="shared" si="18"/>
        <v>1A,1A Maths,1A Att,T00000</v>
      </c>
      <c r="B108" t="str">
        <f>"LAPITRE"</f>
        <v>LAPITRE</v>
      </c>
      <c r="C108" t="str">
        <f>"Jean Florencin"</f>
        <v>Jean Florencin</v>
      </c>
      <c r="D108" t="str">
        <f>"024-2820"</f>
        <v>024-2820</v>
      </c>
      <c r="E108" t="str">
        <f>"110977222KA"</f>
        <v>110977222KA</v>
      </c>
      <c r="F108" t="str">
        <f t="shared" si="13"/>
        <v>0352480F</v>
      </c>
      <c r="G108" t="str">
        <f t="shared" si="14"/>
        <v>O</v>
      </c>
      <c r="H108">
        <v>10</v>
      </c>
      <c r="I108">
        <v>2004</v>
      </c>
      <c r="J108">
        <v>1</v>
      </c>
      <c r="K108" t="str">
        <f t="shared" si="20"/>
        <v>NBGE</v>
      </c>
      <c r="L108">
        <v>25</v>
      </c>
      <c r="M108">
        <v>2021</v>
      </c>
      <c r="N108" t="str">
        <f>"D"</f>
        <v>D</v>
      </c>
      <c r="O108" t="str">
        <f t="shared" si="23"/>
        <v>D</v>
      </c>
      <c r="P108">
        <v>0</v>
      </c>
      <c r="Q108">
        <v>100</v>
      </c>
      <c r="R108">
        <v>100</v>
      </c>
      <c r="S108">
        <v>91160</v>
      </c>
      <c r="T108">
        <v>100</v>
      </c>
      <c r="U108">
        <v>91160</v>
      </c>
      <c r="V108" t="str">
        <f>""</f>
        <v/>
      </c>
      <c r="W108">
        <v>34</v>
      </c>
      <c r="X108">
        <v>0</v>
      </c>
      <c r="Y108">
        <v>6000577</v>
      </c>
      <c r="Z108">
        <v>1</v>
      </c>
      <c r="AA108">
        <v>27</v>
      </c>
      <c r="AB108" t="str">
        <f>""</f>
        <v/>
      </c>
      <c r="AC108" t="str">
        <f>""</f>
        <v/>
      </c>
      <c r="AD108" t="str">
        <f>""</f>
        <v/>
      </c>
      <c r="AE108">
        <v>2021</v>
      </c>
      <c r="AF108">
        <v>2024</v>
      </c>
      <c r="AG108" t="str">
        <f>"Longjumeau"</f>
        <v>Longjumeau</v>
      </c>
      <c r="AH108" t="str">
        <f>"Longjumeau"</f>
        <v>Longjumeau</v>
      </c>
      <c r="AI108" t="str">
        <f>""</f>
        <v/>
      </c>
      <c r="AJ108" t="str">
        <f>""</f>
        <v/>
      </c>
      <c r="AK108" t="str">
        <f>""</f>
        <v/>
      </c>
      <c r="AL108">
        <v>37</v>
      </c>
      <c r="AM108" t="str">
        <f>""</f>
        <v/>
      </c>
      <c r="AN108" t="str">
        <f>""</f>
        <v/>
      </c>
      <c r="AO108" t="str">
        <f>"Jaques Prévert"</f>
        <v>Jaques Prévert</v>
      </c>
      <c r="AP108" t="str">
        <f>"LONGJUMEAU"</f>
        <v>LONGJUMEAU</v>
      </c>
      <c r="AQ108" t="str">
        <f>"Versailles"</f>
        <v>Versailles</v>
      </c>
    </row>
    <row r="109" spans="1:43" x14ac:dyDescent="0.25">
      <c r="A109" t="str">
        <f t="shared" si="18"/>
        <v>1A,1A Maths,1A Att,T00000</v>
      </c>
      <c r="B109" t="str">
        <f>"LE MASSON"</f>
        <v>LE MASSON</v>
      </c>
      <c r="C109" t="str">
        <f>"Arthur"</f>
        <v>Arthur</v>
      </c>
      <c r="D109" t="str">
        <f>"023-2560"</f>
        <v>023-2560</v>
      </c>
      <c r="E109" t="str">
        <f>"143037495GD"</f>
        <v>143037495GD</v>
      </c>
      <c r="F109" t="str">
        <f t="shared" si="13"/>
        <v>0352480F</v>
      </c>
      <c r="G109" t="str">
        <f t="shared" si="14"/>
        <v>O</v>
      </c>
      <c r="H109">
        <v>10</v>
      </c>
      <c r="I109">
        <v>2005</v>
      </c>
      <c r="J109">
        <v>1</v>
      </c>
      <c r="K109" t="str">
        <f>"S"</f>
        <v>S</v>
      </c>
      <c r="L109">
        <v>1</v>
      </c>
      <c r="M109">
        <v>2021</v>
      </c>
      <c r="N109" t="str">
        <f>"E"</f>
        <v>E</v>
      </c>
      <c r="O109" t="str">
        <f>"A"</f>
        <v>A</v>
      </c>
      <c r="P109">
        <v>0</v>
      </c>
      <c r="Q109">
        <v>100</v>
      </c>
      <c r="R109">
        <v>100</v>
      </c>
      <c r="S109" t="str">
        <f>""</f>
        <v/>
      </c>
      <c r="T109">
        <v>100</v>
      </c>
      <c r="U109" t="str">
        <f>""</f>
        <v/>
      </c>
      <c r="V109" t="str">
        <f>"TOEIC 1A le 24/05/20024 940"</f>
        <v>TOEIC 1A le 24/05/20024 940</v>
      </c>
      <c r="W109">
        <v>38</v>
      </c>
      <c r="X109">
        <v>0</v>
      </c>
      <c r="Y109">
        <v>6000577</v>
      </c>
      <c r="Z109">
        <v>1</v>
      </c>
      <c r="AA109">
        <v>27</v>
      </c>
      <c r="AB109" t="str">
        <f>""</f>
        <v/>
      </c>
      <c r="AC109" t="str">
        <f>""</f>
        <v/>
      </c>
      <c r="AD109" t="str">
        <f>""</f>
        <v/>
      </c>
      <c r="AE109">
        <v>2021</v>
      </c>
      <c r="AF109">
        <v>2023</v>
      </c>
      <c r="AG109" t="str">
        <f>""</f>
        <v/>
      </c>
      <c r="AH109" t="str">
        <f>""</f>
        <v/>
      </c>
      <c r="AI109" t="str">
        <f>""</f>
        <v/>
      </c>
      <c r="AJ109" t="str">
        <f>""</f>
        <v/>
      </c>
      <c r="AK109" t="str">
        <f>""</f>
        <v/>
      </c>
      <c r="AL109">
        <v>31</v>
      </c>
      <c r="AM109" t="str">
        <f>""</f>
        <v/>
      </c>
      <c r="AN109" t="str">
        <f>""</f>
        <v/>
      </c>
      <c r="AO109" t="str">
        <f>"Lycée Henri IV"</f>
        <v>Lycée Henri IV</v>
      </c>
      <c r="AP109" t="str">
        <f>"PARIS"</f>
        <v>PARIS</v>
      </c>
      <c r="AQ109" t="str">
        <f>"Paris"</f>
        <v>Paris</v>
      </c>
    </row>
    <row r="110" spans="1:43" x14ac:dyDescent="0.25">
      <c r="A110" t="str">
        <f t="shared" si="18"/>
        <v>1A,1A Maths,1A Att,T00000</v>
      </c>
      <c r="B110" t="str">
        <f>"MARLIANGEAS"</f>
        <v>MARLIANGEAS</v>
      </c>
      <c r="C110" t="str">
        <f>"Noah"</f>
        <v>Noah</v>
      </c>
      <c r="D110" t="str">
        <f>"024-2816"</f>
        <v>024-2816</v>
      </c>
      <c r="E110" t="str">
        <f>"100998573FJ"</f>
        <v>100998573FJ</v>
      </c>
      <c r="F110" t="str">
        <f t="shared" si="13"/>
        <v>0352480F</v>
      </c>
      <c r="G110" t="str">
        <f t="shared" si="14"/>
        <v>O</v>
      </c>
      <c r="H110">
        <v>10</v>
      </c>
      <c r="I110">
        <v>2003</v>
      </c>
      <c r="J110">
        <v>1</v>
      </c>
      <c r="K110" t="str">
        <f t="shared" ref="K110:K117" si="24">"NBGE"</f>
        <v>NBGE</v>
      </c>
      <c r="L110">
        <v>24</v>
      </c>
      <c r="M110">
        <v>2021</v>
      </c>
      <c r="N110" t="str">
        <f t="shared" ref="N110:O117" si="25">"D"</f>
        <v>D</v>
      </c>
      <c r="O110" t="str">
        <f t="shared" si="25"/>
        <v>D</v>
      </c>
      <c r="P110">
        <v>0</v>
      </c>
      <c r="Q110">
        <v>100</v>
      </c>
      <c r="R110">
        <v>100</v>
      </c>
      <c r="S110">
        <v>35170</v>
      </c>
      <c r="T110">
        <v>100</v>
      </c>
      <c r="U110">
        <v>35170</v>
      </c>
      <c r="V110" t="str">
        <f>""</f>
        <v/>
      </c>
      <c r="W110">
        <v>38</v>
      </c>
      <c r="X110">
        <v>0</v>
      </c>
      <c r="Y110">
        <v>6000577</v>
      </c>
      <c r="Z110">
        <v>1</v>
      </c>
      <c r="AA110">
        <v>27</v>
      </c>
      <c r="AB110" t="str">
        <f>""</f>
        <v/>
      </c>
      <c r="AC110" t="str">
        <f>""</f>
        <v/>
      </c>
      <c r="AD110" t="str">
        <f>""</f>
        <v/>
      </c>
      <c r="AE110">
        <v>2021</v>
      </c>
      <c r="AF110">
        <v>2024</v>
      </c>
      <c r="AG110" t="str">
        <f>"Bruz"</f>
        <v>Bruz</v>
      </c>
      <c r="AH110" t="str">
        <f>"Bruz"</f>
        <v>Bruz</v>
      </c>
      <c r="AI110" t="str">
        <f>""</f>
        <v/>
      </c>
      <c r="AJ110" t="str">
        <f>""</f>
        <v/>
      </c>
      <c r="AK110" t="str">
        <f>""</f>
        <v/>
      </c>
      <c r="AL110">
        <v>37</v>
      </c>
      <c r="AM110" t="str">
        <f>""</f>
        <v/>
      </c>
      <c r="AN110" t="str">
        <f>""</f>
        <v/>
      </c>
      <c r="AO110" t="str">
        <f>"Eugène Delacroix"</f>
        <v>Eugène Delacroix</v>
      </c>
      <c r="AP110" t="str">
        <f>"DRANCY"</f>
        <v>DRANCY</v>
      </c>
      <c r="AQ110" t="str">
        <f>"Créteil"</f>
        <v>Créteil</v>
      </c>
    </row>
    <row r="111" spans="1:43" x14ac:dyDescent="0.25">
      <c r="A111" t="str">
        <f t="shared" si="18"/>
        <v>1A,1A Maths,1A Att,T00000</v>
      </c>
      <c r="B111" t="str">
        <f>"MICOS"</f>
        <v>MICOS</v>
      </c>
      <c r="C111" t="str">
        <f>"Thibaut"</f>
        <v>Thibaut</v>
      </c>
      <c r="D111" t="str">
        <f>"024-2713"</f>
        <v>024-2713</v>
      </c>
      <c r="E111" t="str">
        <f>"080709906BB"</f>
        <v>080709906BB</v>
      </c>
      <c r="F111" t="str">
        <f t="shared" si="13"/>
        <v>0352480F</v>
      </c>
      <c r="G111" t="str">
        <f t="shared" si="14"/>
        <v>O</v>
      </c>
      <c r="H111">
        <v>10</v>
      </c>
      <c r="I111">
        <v>2004</v>
      </c>
      <c r="J111">
        <v>1</v>
      </c>
      <c r="K111" t="str">
        <f t="shared" si="24"/>
        <v>NBGE</v>
      </c>
      <c r="L111">
        <v>16</v>
      </c>
      <c r="M111">
        <v>2022</v>
      </c>
      <c r="N111" t="str">
        <f t="shared" si="25"/>
        <v>D</v>
      </c>
      <c r="O111" t="str">
        <f t="shared" si="25"/>
        <v>D</v>
      </c>
      <c r="P111">
        <v>0</v>
      </c>
      <c r="Q111">
        <v>100</v>
      </c>
      <c r="R111">
        <v>100</v>
      </c>
      <c r="S111">
        <v>35136</v>
      </c>
      <c r="T111">
        <v>100</v>
      </c>
      <c r="U111">
        <v>35136</v>
      </c>
      <c r="V111" t="str">
        <f>""</f>
        <v/>
      </c>
      <c r="W111">
        <v>34</v>
      </c>
      <c r="X111">
        <v>0</v>
      </c>
      <c r="Y111">
        <v>6000577</v>
      </c>
      <c r="Z111">
        <v>1</v>
      </c>
      <c r="AA111">
        <v>27</v>
      </c>
      <c r="AB111" t="str">
        <f>""</f>
        <v/>
      </c>
      <c r="AC111" t="str">
        <f>""</f>
        <v/>
      </c>
      <c r="AD111" t="str">
        <f>""</f>
        <v/>
      </c>
      <c r="AE111">
        <v>2022</v>
      </c>
      <c r="AF111">
        <v>2024</v>
      </c>
      <c r="AG111" t="str">
        <f>"Saint Jacques-de-la-lande"</f>
        <v>Saint Jacques-de-la-lande</v>
      </c>
      <c r="AH111" t="str">
        <f>"Saint Jacques-de-la-lande"</f>
        <v>Saint Jacques-de-la-lande</v>
      </c>
      <c r="AI111" t="str">
        <f>""</f>
        <v/>
      </c>
      <c r="AJ111" t="str">
        <f>""</f>
        <v/>
      </c>
      <c r="AK111" t="str">
        <f>""</f>
        <v/>
      </c>
      <c r="AL111">
        <v>34</v>
      </c>
      <c r="AM111" t="str">
        <f>""</f>
        <v/>
      </c>
      <c r="AN111" t="str">
        <f>""</f>
        <v/>
      </c>
      <c r="AO111" t="str">
        <f>"Lycée Pardailhan"</f>
        <v>Lycée Pardailhan</v>
      </c>
      <c r="AP111" t="str">
        <f>"AUCH"</f>
        <v>AUCH</v>
      </c>
      <c r="AQ111" t="str">
        <f>"Toulouse"</f>
        <v>Toulouse</v>
      </c>
    </row>
    <row r="112" spans="1:43" x14ac:dyDescent="0.25">
      <c r="A112" t="str">
        <f t="shared" si="18"/>
        <v>1A,1A Maths,1A Att,T00000</v>
      </c>
      <c r="B112" t="str">
        <f>"PACHY"</f>
        <v>PACHY</v>
      </c>
      <c r="C112" t="str">
        <f>"Marine"</f>
        <v>Marine</v>
      </c>
      <c r="D112" t="str">
        <f>"024-2833"</f>
        <v>024-2833</v>
      </c>
      <c r="E112" t="str">
        <f>"071919676AE"</f>
        <v>071919676AE</v>
      </c>
      <c r="F112" t="str">
        <f t="shared" si="13"/>
        <v>0352480F</v>
      </c>
      <c r="G112" t="str">
        <f t="shared" si="14"/>
        <v>O</v>
      </c>
      <c r="H112">
        <v>10</v>
      </c>
      <c r="I112">
        <v>2004</v>
      </c>
      <c r="J112">
        <v>2</v>
      </c>
      <c r="K112" t="str">
        <f t="shared" si="24"/>
        <v>NBGE</v>
      </c>
      <c r="L112">
        <v>9</v>
      </c>
      <c r="M112">
        <v>2022</v>
      </c>
      <c r="N112" t="str">
        <f t="shared" si="25"/>
        <v>D</v>
      </c>
      <c r="O112" t="str">
        <f t="shared" si="25"/>
        <v>D</v>
      </c>
      <c r="P112">
        <v>0</v>
      </c>
      <c r="Q112">
        <v>100</v>
      </c>
      <c r="R112">
        <v>100</v>
      </c>
      <c r="S112">
        <v>35230</v>
      </c>
      <c r="T112">
        <v>100</v>
      </c>
      <c r="U112">
        <v>35230</v>
      </c>
      <c r="V112" t="str">
        <f>""</f>
        <v/>
      </c>
      <c r="W112">
        <v>54</v>
      </c>
      <c r="X112">
        <v>0</v>
      </c>
      <c r="Y112">
        <v>6000577</v>
      </c>
      <c r="Z112">
        <v>1</v>
      </c>
      <c r="AA112">
        <v>27</v>
      </c>
      <c r="AB112" t="str">
        <f>""</f>
        <v/>
      </c>
      <c r="AC112" t="str">
        <f>""</f>
        <v/>
      </c>
      <c r="AD112" t="str">
        <f>""</f>
        <v/>
      </c>
      <c r="AE112">
        <v>2022</v>
      </c>
      <c r="AF112">
        <v>2024</v>
      </c>
      <c r="AG112" t="str">
        <f>"Noyal Chatillon Sur seiche"</f>
        <v>Noyal Chatillon Sur seiche</v>
      </c>
      <c r="AH112" t="str">
        <f>"Noyal Chatillon Sur seiche"</f>
        <v>Noyal Chatillon Sur seiche</v>
      </c>
      <c r="AI112" t="str">
        <f>""</f>
        <v/>
      </c>
      <c r="AJ112" t="str">
        <f>""</f>
        <v/>
      </c>
      <c r="AK112" t="str">
        <f>""</f>
        <v/>
      </c>
      <c r="AL112">
        <v>54</v>
      </c>
      <c r="AM112" t="str">
        <f>""</f>
        <v/>
      </c>
      <c r="AN112" t="str">
        <f>""</f>
        <v/>
      </c>
      <c r="AO112" t="str">
        <f>"Ste Marie beaucamps"</f>
        <v>Ste Marie beaucamps</v>
      </c>
      <c r="AP112" t="str">
        <f>"BEAUCAMPS-LIGNY"</f>
        <v>BEAUCAMPS-LIGNY</v>
      </c>
      <c r="AQ112" t="str">
        <f>"Lille"</f>
        <v>Lille</v>
      </c>
    </row>
    <row r="113" spans="1:43" x14ac:dyDescent="0.25">
      <c r="A113" t="str">
        <f t="shared" si="18"/>
        <v>1A,1A Maths,1A Att,T00000</v>
      </c>
      <c r="B113" t="str">
        <f>"PERRIN-BEAU"</f>
        <v>PERRIN-BEAU</v>
      </c>
      <c r="C113" t="str">
        <f>"Madie"</f>
        <v>Madie</v>
      </c>
      <c r="D113" t="str">
        <f>"024-2835"</f>
        <v>024-2835</v>
      </c>
      <c r="E113" t="str">
        <f>"071644646DK"</f>
        <v>071644646DK</v>
      </c>
      <c r="F113" t="str">
        <f t="shared" si="13"/>
        <v>0352480F</v>
      </c>
      <c r="G113" t="str">
        <f t="shared" si="14"/>
        <v>O</v>
      </c>
      <c r="H113">
        <v>10</v>
      </c>
      <c r="I113">
        <v>2003</v>
      </c>
      <c r="J113">
        <v>2</v>
      </c>
      <c r="K113" t="str">
        <f t="shared" si="24"/>
        <v>NBGE</v>
      </c>
      <c r="L113">
        <v>18</v>
      </c>
      <c r="M113">
        <v>2021</v>
      </c>
      <c r="N113" t="str">
        <f t="shared" si="25"/>
        <v>D</v>
      </c>
      <c r="O113" t="str">
        <f t="shared" si="25"/>
        <v>D</v>
      </c>
      <c r="P113">
        <v>0</v>
      </c>
      <c r="Q113">
        <v>100</v>
      </c>
      <c r="R113">
        <v>100</v>
      </c>
      <c r="S113">
        <v>45120</v>
      </c>
      <c r="T113">
        <v>100</v>
      </c>
      <c r="U113">
        <v>45120</v>
      </c>
      <c r="V113" t="str">
        <f>""</f>
        <v/>
      </c>
      <c r="W113">
        <v>34</v>
      </c>
      <c r="X113">
        <v>0</v>
      </c>
      <c r="Y113">
        <v>6000577</v>
      </c>
      <c r="Z113">
        <v>1</v>
      </c>
      <c r="AA113">
        <v>27</v>
      </c>
      <c r="AB113" t="str">
        <f>""</f>
        <v/>
      </c>
      <c r="AC113" t="str">
        <f>""</f>
        <v/>
      </c>
      <c r="AD113" t="str">
        <f>""</f>
        <v/>
      </c>
      <c r="AE113">
        <v>2021</v>
      </c>
      <c r="AF113">
        <v>2024</v>
      </c>
      <c r="AG113" t="str">
        <f>""</f>
        <v/>
      </c>
      <c r="AH113" t="str">
        <f>""</f>
        <v/>
      </c>
      <c r="AI113" t="str">
        <f>""</f>
        <v/>
      </c>
      <c r="AJ113" t="str">
        <f>""</f>
        <v/>
      </c>
      <c r="AK113" t="str">
        <f>""</f>
        <v/>
      </c>
      <c r="AL113">
        <v>34</v>
      </c>
      <c r="AM113" t="str">
        <f>""</f>
        <v/>
      </c>
      <c r="AN113" t="str">
        <f>""</f>
        <v/>
      </c>
      <c r="AO113" t="str">
        <f>"Lycée Durzy"</f>
        <v>Lycée Durzy</v>
      </c>
      <c r="AP113" t="str">
        <f>"VILLEMANDEUR"</f>
        <v>VILLEMANDEUR</v>
      </c>
      <c r="AQ113" t="str">
        <f>"Orléans-Tours"</f>
        <v>Orléans-Tours</v>
      </c>
    </row>
    <row r="114" spans="1:43" x14ac:dyDescent="0.25">
      <c r="A114" t="str">
        <f t="shared" si="18"/>
        <v>1A,1A Maths,1A Att,T00000</v>
      </c>
      <c r="B114" t="str">
        <f>"REPETTI--TUYA"</f>
        <v>REPETTI--TUYA</v>
      </c>
      <c r="C114" t="str">
        <f>"Lucas"</f>
        <v>Lucas</v>
      </c>
      <c r="D114" t="str">
        <f>"024-2786"</f>
        <v>024-2786</v>
      </c>
      <c r="E114" t="str">
        <f>"071187657GB"</f>
        <v>071187657GB</v>
      </c>
      <c r="F114" t="str">
        <f t="shared" si="13"/>
        <v>0352480F</v>
      </c>
      <c r="G114" t="str">
        <f t="shared" si="14"/>
        <v>O</v>
      </c>
      <c r="H114">
        <v>10</v>
      </c>
      <c r="I114">
        <v>2004</v>
      </c>
      <c r="J114">
        <v>1</v>
      </c>
      <c r="K114" t="str">
        <f t="shared" si="24"/>
        <v>NBGE</v>
      </c>
      <c r="L114">
        <v>11</v>
      </c>
      <c r="M114">
        <v>2022</v>
      </c>
      <c r="N114" t="str">
        <f t="shared" si="25"/>
        <v>D</v>
      </c>
      <c r="O114" t="str">
        <f t="shared" si="25"/>
        <v>D</v>
      </c>
      <c r="P114">
        <v>0</v>
      </c>
      <c r="Q114">
        <v>100</v>
      </c>
      <c r="R114">
        <v>100</v>
      </c>
      <c r="S114">
        <v>35170</v>
      </c>
      <c r="T114">
        <v>100</v>
      </c>
      <c r="U114">
        <v>35170</v>
      </c>
      <c r="V114" t="str">
        <f>""</f>
        <v/>
      </c>
      <c r="W114">
        <v>34</v>
      </c>
      <c r="X114">
        <v>0</v>
      </c>
      <c r="Y114">
        <v>6000577</v>
      </c>
      <c r="Z114">
        <v>1</v>
      </c>
      <c r="AA114">
        <v>27</v>
      </c>
      <c r="AB114" t="str">
        <f>""</f>
        <v/>
      </c>
      <c r="AC114" t="str">
        <f>""</f>
        <v/>
      </c>
      <c r="AD114" t="str">
        <f>""</f>
        <v/>
      </c>
      <c r="AE114">
        <v>2022</v>
      </c>
      <c r="AF114">
        <v>2024</v>
      </c>
      <c r="AG114" t="str">
        <f>"Bruz"</f>
        <v>Bruz</v>
      </c>
      <c r="AH114" t="str">
        <f>"Bruz"</f>
        <v>Bruz</v>
      </c>
      <c r="AI114" t="str">
        <f>""</f>
        <v/>
      </c>
      <c r="AJ114" t="str">
        <f>""</f>
        <v/>
      </c>
      <c r="AK114" t="str">
        <f>""</f>
        <v/>
      </c>
      <c r="AL114">
        <v>34</v>
      </c>
      <c r="AM114" t="str">
        <f>""</f>
        <v/>
      </c>
      <c r="AN114" t="str">
        <f>""</f>
        <v/>
      </c>
      <c r="AO114" t="str">
        <f>"Anthonioz De Gaulle"</f>
        <v>Anthonioz De Gaulle</v>
      </c>
      <c r="AP114" t="str">
        <f>"MILHAUD"</f>
        <v>MILHAUD</v>
      </c>
      <c r="AQ114" t="str">
        <f>"Montpellier"</f>
        <v>Montpellier</v>
      </c>
    </row>
    <row r="115" spans="1:43" x14ac:dyDescent="0.25">
      <c r="A115" t="str">
        <f t="shared" si="18"/>
        <v>1A,1A Maths,1A Att,T00000</v>
      </c>
      <c r="B115" t="str">
        <f>"ROUVROY"</f>
        <v>ROUVROY</v>
      </c>
      <c r="C115" t="str">
        <f>"Félicien"</f>
        <v>Félicien</v>
      </c>
      <c r="D115" t="str">
        <f>"024-2714"</f>
        <v>024-2714</v>
      </c>
      <c r="E115" t="str">
        <f>"090792756CA"</f>
        <v>090792756CA</v>
      </c>
      <c r="F115" t="str">
        <f t="shared" si="13"/>
        <v>0352480F</v>
      </c>
      <c r="G115" t="str">
        <f t="shared" si="14"/>
        <v>O</v>
      </c>
      <c r="H115">
        <v>10</v>
      </c>
      <c r="I115">
        <v>2004</v>
      </c>
      <c r="J115">
        <v>1</v>
      </c>
      <c r="K115" t="str">
        <f t="shared" si="24"/>
        <v>NBGE</v>
      </c>
      <c r="L115">
        <v>25</v>
      </c>
      <c r="M115">
        <v>2022</v>
      </c>
      <c r="N115" t="str">
        <f t="shared" si="25"/>
        <v>D</v>
      </c>
      <c r="O115" t="str">
        <f t="shared" si="25"/>
        <v>D</v>
      </c>
      <c r="P115">
        <v>0</v>
      </c>
      <c r="Q115">
        <v>100</v>
      </c>
      <c r="R115">
        <v>100</v>
      </c>
      <c r="S115" t="str">
        <f>"35 00"</f>
        <v>35 00</v>
      </c>
      <c r="T115">
        <v>100</v>
      </c>
      <c r="U115" t="str">
        <f>"35 00"</f>
        <v>35 00</v>
      </c>
      <c r="V115" t="str">
        <f>""</f>
        <v/>
      </c>
      <c r="W115">
        <v>38</v>
      </c>
      <c r="X115">
        <v>0</v>
      </c>
      <c r="Y115">
        <v>6000577</v>
      </c>
      <c r="Z115">
        <v>1</v>
      </c>
      <c r="AA115">
        <v>27</v>
      </c>
      <c r="AB115" t="str">
        <f>""</f>
        <v/>
      </c>
      <c r="AC115" t="str">
        <f>""</f>
        <v/>
      </c>
      <c r="AD115" t="str">
        <f>""</f>
        <v/>
      </c>
      <c r="AE115">
        <v>2022</v>
      </c>
      <c r="AF115">
        <v>2024</v>
      </c>
      <c r="AG115" t="str">
        <f>"Rennes"</f>
        <v>Rennes</v>
      </c>
      <c r="AH115" t="str">
        <f>"Rennes"</f>
        <v>Rennes</v>
      </c>
      <c r="AI115" t="str">
        <f>""</f>
        <v/>
      </c>
      <c r="AJ115" t="str">
        <f>""</f>
        <v/>
      </c>
      <c r="AK115" t="str">
        <f>""</f>
        <v/>
      </c>
      <c r="AL115">
        <v>31</v>
      </c>
      <c r="AM115" t="str">
        <f>""</f>
        <v/>
      </c>
      <c r="AN115" t="str">
        <f>""</f>
        <v/>
      </c>
      <c r="AO115" t="str">
        <f>"Gustave Eiffel"</f>
        <v>Gustave Eiffel</v>
      </c>
      <c r="AP115" t="str">
        <f>"RUEIL-MALMAISON"</f>
        <v>RUEIL-MALMAISON</v>
      </c>
      <c r="AQ115" t="str">
        <f>"Versailles"</f>
        <v>Versailles</v>
      </c>
    </row>
    <row r="116" spans="1:43" x14ac:dyDescent="0.25">
      <c r="A116" t="str">
        <f t="shared" si="18"/>
        <v>1A,1A Maths,1A Att,T00000</v>
      </c>
      <c r="B116" t="str">
        <f>"ROUX"</f>
        <v>ROUX</v>
      </c>
      <c r="C116" t="str">
        <f>"Maxime"</f>
        <v>Maxime</v>
      </c>
      <c r="D116" t="str">
        <f>"024-2817"</f>
        <v>024-2817</v>
      </c>
      <c r="E116" t="str">
        <f>"071081751ED"</f>
        <v>071081751ED</v>
      </c>
      <c r="F116" t="str">
        <f t="shared" si="13"/>
        <v>0352480F</v>
      </c>
      <c r="G116" t="str">
        <f t="shared" si="14"/>
        <v>O</v>
      </c>
      <c r="H116">
        <v>10</v>
      </c>
      <c r="I116">
        <v>2003</v>
      </c>
      <c r="J116">
        <v>1</v>
      </c>
      <c r="K116" t="str">
        <f t="shared" si="24"/>
        <v>NBGE</v>
      </c>
      <c r="L116">
        <v>7</v>
      </c>
      <c r="M116">
        <v>2021</v>
      </c>
      <c r="N116" t="str">
        <f t="shared" si="25"/>
        <v>D</v>
      </c>
      <c r="O116" t="str">
        <f t="shared" si="25"/>
        <v>D</v>
      </c>
      <c r="P116">
        <v>0</v>
      </c>
      <c r="Q116">
        <v>100</v>
      </c>
      <c r="R116">
        <v>100</v>
      </c>
      <c r="S116">
        <v>35310</v>
      </c>
      <c r="T116">
        <v>100</v>
      </c>
      <c r="U116">
        <v>35310</v>
      </c>
      <c r="V116" t="str">
        <f>""</f>
        <v/>
      </c>
      <c r="W116">
        <v>43</v>
      </c>
      <c r="X116">
        <v>0</v>
      </c>
      <c r="Y116">
        <v>6000577</v>
      </c>
      <c r="Z116">
        <v>1</v>
      </c>
      <c r="AA116">
        <v>27</v>
      </c>
      <c r="AB116" t="str">
        <f>""</f>
        <v/>
      </c>
      <c r="AC116" t="str">
        <f>""</f>
        <v/>
      </c>
      <c r="AD116" t="str">
        <f>""</f>
        <v/>
      </c>
      <c r="AE116">
        <v>2021</v>
      </c>
      <c r="AF116">
        <v>2024</v>
      </c>
      <c r="AG116" t="str">
        <f>"Chavagne"</f>
        <v>Chavagne</v>
      </c>
      <c r="AH116" t="str">
        <f>"Chavagne"</f>
        <v>Chavagne</v>
      </c>
      <c r="AI116" t="str">
        <f>""</f>
        <v/>
      </c>
      <c r="AJ116" t="str">
        <f>""</f>
        <v/>
      </c>
      <c r="AK116" t="str">
        <f>""</f>
        <v/>
      </c>
      <c r="AL116">
        <v>33</v>
      </c>
      <c r="AM116" t="str">
        <f>""</f>
        <v/>
      </c>
      <c r="AN116" t="str">
        <f>""</f>
        <v/>
      </c>
      <c r="AO116" t="str">
        <f>"Lycée René Cassin"</f>
        <v>Lycée René Cassin</v>
      </c>
      <c r="AP116" t="str">
        <f>"MÂCON"</f>
        <v>MÂCON</v>
      </c>
      <c r="AQ116" t="str">
        <f>"Dijon"</f>
        <v>Dijon</v>
      </c>
    </row>
    <row r="117" spans="1:43" x14ac:dyDescent="0.25">
      <c r="A117" t="str">
        <f t="shared" si="18"/>
        <v>1A,1A Maths,1A Att,T00000</v>
      </c>
      <c r="B117" t="str">
        <f>"TAILLARD"</f>
        <v>TAILLARD</v>
      </c>
      <c r="C117" t="str">
        <f>"Enzo"</f>
        <v>Enzo</v>
      </c>
      <c r="D117" t="str">
        <f>"024-2789"</f>
        <v>024-2789</v>
      </c>
      <c r="E117" t="str">
        <f>"061302870GD"</f>
        <v>061302870GD</v>
      </c>
      <c r="F117" t="str">
        <f t="shared" si="13"/>
        <v>0352480F</v>
      </c>
      <c r="G117" t="str">
        <f t="shared" si="14"/>
        <v>O</v>
      </c>
      <c r="H117">
        <v>10</v>
      </c>
      <c r="I117">
        <v>2003</v>
      </c>
      <c r="J117">
        <v>1</v>
      </c>
      <c r="K117" t="str">
        <f t="shared" si="24"/>
        <v>NBGE</v>
      </c>
      <c r="L117">
        <v>3</v>
      </c>
      <c r="M117">
        <v>2021</v>
      </c>
      <c r="N117" t="str">
        <f t="shared" si="25"/>
        <v>D</v>
      </c>
      <c r="O117" t="str">
        <f t="shared" si="25"/>
        <v>D</v>
      </c>
      <c r="P117">
        <v>0</v>
      </c>
      <c r="Q117">
        <v>100</v>
      </c>
      <c r="R117">
        <v>100</v>
      </c>
      <c r="S117" t="str">
        <f>"Bruz"</f>
        <v>Bruz</v>
      </c>
      <c r="T117">
        <v>100</v>
      </c>
      <c r="U117" t="str">
        <f>"Bruz"</f>
        <v>Bruz</v>
      </c>
      <c r="V117" t="str">
        <f>""</f>
        <v/>
      </c>
      <c r="W117">
        <v>52</v>
      </c>
      <c r="X117">
        <v>0</v>
      </c>
      <c r="Y117">
        <v>6000577</v>
      </c>
      <c r="Z117">
        <v>1</v>
      </c>
      <c r="AA117">
        <v>27</v>
      </c>
      <c r="AB117" t="str">
        <f>""</f>
        <v/>
      </c>
      <c r="AC117" t="str">
        <f>""</f>
        <v/>
      </c>
      <c r="AD117" t="str">
        <f>""</f>
        <v/>
      </c>
      <c r="AE117">
        <v>2021</v>
      </c>
      <c r="AF117">
        <v>2024</v>
      </c>
      <c r="AG117" t="str">
        <f>""</f>
        <v/>
      </c>
      <c r="AH117" t="str">
        <f>""</f>
        <v/>
      </c>
      <c r="AI117" t="str">
        <f>""</f>
        <v/>
      </c>
      <c r="AJ117" t="str">
        <f>""</f>
        <v/>
      </c>
      <c r="AK117" t="str">
        <f>""</f>
        <v/>
      </c>
      <c r="AL117">
        <v>99</v>
      </c>
      <c r="AM117" t="str">
        <f>""</f>
        <v/>
      </c>
      <c r="AN117" t="str">
        <f>""</f>
        <v/>
      </c>
      <c r="AO117" t="str">
        <f>"Lycée Xavier Marmier"</f>
        <v>Lycée Xavier Marmier</v>
      </c>
      <c r="AP117" t="str">
        <f>"PONTARLIER"</f>
        <v>PONTARLIER</v>
      </c>
      <c r="AQ117" t="str">
        <f>"Besançon"</f>
        <v>Besançon</v>
      </c>
    </row>
    <row r="118" spans="1:43" x14ac:dyDescent="0.25">
      <c r="A118" t="str">
        <f t="shared" si="18"/>
        <v>1A,1A Maths,1A Att,T00000</v>
      </c>
      <c r="B118" t="str">
        <f>"WILLOT"</f>
        <v>WILLOT</v>
      </c>
      <c r="C118" t="str">
        <f>"Simon"</f>
        <v>Simon</v>
      </c>
      <c r="D118" t="str">
        <f>"024-2825"</f>
        <v>024-2825</v>
      </c>
      <c r="E118" t="str">
        <f>"081358622DB"</f>
        <v>081358622DB</v>
      </c>
      <c r="F118" t="str">
        <f t="shared" si="13"/>
        <v>0352480F</v>
      </c>
      <c r="G118" t="str">
        <f t="shared" si="14"/>
        <v>O</v>
      </c>
      <c r="H118">
        <v>10</v>
      </c>
      <c r="I118">
        <v>2003</v>
      </c>
      <c r="J118">
        <v>1</v>
      </c>
      <c r="K118" t="str">
        <f>""</f>
        <v/>
      </c>
      <c r="L118" t="str">
        <f>""</f>
        <v/>
      </c>
      <c r="M118" t="str">
        <f>""</f>
        <v/>
      </c>
      <c r="N118" t="str">
        <f>""</f>
        <v/>
      </c>
      <c r="O118" t="str">
        <f>""</f>
        <v/>
      </c>
      <c r="P118">
        <v>0</v>
      </c>
      <c r="Q118">
        <v>100</v>
      </c>
      <c r="R118">
        <v>100</v>
      </c>
      <c r="S118" t="str">
        <f>""</f>
        <v/>
      </c>
      <c r="T118">
        <v>100</v>
      </c>
      <c r="U118" t="str">
        <f>""</f>
        <v/>
      </c>
      <c r="V118" t="str">
        <f>""</f>
        <v/>
      </c>
      <c r="W118">
        <v>0</v>
      </c>
      <c r="X118">
        <v>0</v>
      </c>
      <c r="Y118">
        <v>6000577</v>
      </c>
      <c r="Z118">
        <v>1</v>
      </c>
      <c r="AA118">
        <v>27</v>
      </c>
      <c r="AB118" t="str">
        <f>""</f>
        <v/>
      </c>
      <c r="AC118" t="str">
        <f>""</f>
        <v/>
      </c>
      <c r="AD118" t="str">
        <f>""</f>
        <v/>
      </c>
      <c r="AE118" t="str">
        <f>""</f>
        <v/>
      </c>
      <c r="AF118">
        <v>2024</v>
      </c>
      <c r="AG118" t="str">
        <f>""</f>
        <v/>
      </c>
      <c r="AH118" t="str">
        <f>""</f>
        <v/>
      </c>
      <c r="AI118" t="str">
        <f>""</f>
        <v/>
      </c>
      <c r="AJ118" t="str">
        <f>""</f>
        <v/>
      </c>
      <c r="AK118" t="str">
        <f>""</f>
        <v/>
      </c>
      <c r="AL118">
        <v>0</v>
      </c>
      <c r="AM118" t="str">
        <f>""</f>
        <v/>
      </c>
      <c r="AN118" t="str">
        <f>""</f>
        <v/>
      </c>
      <c r="AO118" t="str">
        <f>""</f>
        <v/>
      </c>
      <c r="AP118" t="str">
        <f>""</f>
        <v/>
      </c>
      <c r="AQ118" t="str">
        <f>""</f>
        <v/>
      </c>
    </row>
    <row r="119" spans="1:43" x14ac:dyDescent="0.25">
      <c r="A119" t="str">
        <f t="shared" ref="A119:A153" si="26">"1A,1A Maths,1A Ing,T00000"</f>
        <v>1A,1A Maths,1A Ing,T00000</v>
      </c>
      <c r="B119" t="str">
        <f>"AHMET BOTTO"</f>
        <v>AHMET BOTTO</v>
      </c>
      <c r="C119" t="str">
        <f>"Sidi Yahya"</f>
        <v>Sidi Yahya</v>
      </c>
      <c r="D119" t="str">
        <f>"024-2637"</f>
        <v>024-2637</v>
      </c>
      <c r="E119" t="str">
        <f>"213041812GE"</f>
        <v>213041812GE</v>
      </c>
      <c r="F119" t="str">
        <f t="shared" si="13"/>
        <v>0352480F</v>
      </c>
      <c r="G119" t="str">
        <f t="shared" si="14"/>
        <v>O</v>
      </c>
      <c r="H119">
        <v>10</v>
      </c>
      <c r="I119">
        <v>2002</v>
      </c>
      <c r="J119">
        <v>1</v>
      </c>
      <c r="K119" t="str">
        <f>""</f>
        <v/>
      </c>
      <c r="L119" t="str">
        <f>""</f>
        <v/>
      </c>
      <c r="M119" t="str">
        <f>""</f>
        <v/>
      </c>
      <c r="N119" t="str">
        <f>"H"</f>
        <v>H</v>
      </c>
      <c r="O119" t="str">
        <f>""</f>
        <v/>
      </c>
      <c r="P119">
        <v>0</v>
      </c>
      <c r="Q119">
        <v>337</v>
      </c>
      <c r="R119">
        <v>100</v>
      </c>
      <c r="S119">
        <v>35200</v>
      </c>
      <c r="T119">
        <v>100</v>
      </c>
      <c r="U119">
        <v>35200</v>
      </c>
      <c r="V119" t="str">
        <f>"Demande d'exonération des frais de scolarité, décision prise à la commission des bourses du 28/09/2024"</f>
        <v>Demande d'exonération des frais de scolarité, décision prise à la commission des bourses du 28/09/2024</v>
      </c>
      <c r="W119">
        <v>0</v>
      </c>
      <c r="X119">
        <v>0</v>
      </c>
      <c r="Y119">
        <v>6000577</v>
      </c>
      <c r="Z119">
        <v>1</v>
      </c>
      <c r="AA119">
        <v>27</v>
      </c>
      <c r="AB119" t="str">
        <f>""</f>
        <v/>
      </c>
      <c r="AC119" t="str">
        <f>""</f>
        <v/>
      </c>
      <c r="AD119" t="str">
        <f>""</f>
        <v/>
      </c>
      <c r="AE119">
        <v>2021</v>
      </c>
      <c r="AF119">
        <v>2024</v>
      </c>
      <c r="AG119" t="str">
        <f>"Rennes"</f>
        <v>Rennes</v>
      </c>
      <c r="AH119" t="str">
        <f>"Rennes"</f>
        <v>Rennes</v>
      </c>
      <c r="AI119" t="str">
        <f>""</f>
        <v/>
      </c>
      <c r="AJ119" t="str">
        <f>""</f>
        <v/>
      </c>
      <c r="AK119" t="str">
        <f>""</f>
        <v/>
      </c>
      <c r="AL119">
        <v>0</v>
      </c>
      <c r="AM119" t="str">
        <f>""</f>
        <v/>
      </c>
      <c r="AN119" t="str">
        <f>""</f>
        <v/>
      </c>
      <c r="AO119" t="str">
        <f>""</f>
        <v/>
      </c>
      <c r="AP119" t="str">
        <f>""</f>
        <v/>
      </c>
      <c r="AQ119" t="str">
        <f>""</f>
        <v/>
      </c>
    </row>
    <row r="120" spans="1:43" x14ac:dyDescent="0.25">
      <c r="A120" t="str">
        <f t="shared" si="26"/>
        <v>1A,1A Maths,1A Ing,T00000</v>
      </c>
      <c r="B120" t="str">
        <f>"AJAS"</f>
        <v>AJAS</v>
      </c>
      <c r="C120" t="str">
        <f>"Tanguy"</f>
        <v>Tanguy</v>
      </c>
      <c r="D120" t="str">
        <f>"024-2720"</f>
        <v>024-2720</v>
      </c>
      <c r="E120" t="str">
        <f>"060576648EG"</f>
        <v>060576648EG</v>
      </c>
      <c r="F120" t="str">
        <f t="shared" si="13"/>
        <v>0352480F</v>
      </c>
      <c r="G120" t="str">
        <f t="shared" si="14"/>
        <v>O</v>
      </c>
      <c r="H120">
        <v>10</v>
      </c>
      <c r="I120">
        <v>2003</v>
      </c>
      <c r="J120">
        <v>1</v>
      </c>
      <c r="K120" t="str">
        <f>"NBGE"</f>
        <v>NBGE</v>
      </c>
      <c r="L120">
        <v>15</v>
      </c>
      <c r="M120">
        <v>2021</v>
      </c>
      <c r="N120" t="str">
        <f>"D"</f>
        <v>D</v>
      </c>
      <c r="O120" t="str">
        <f>"D"</f>
        <v>D</v>
      </c>
      <c r="P120">
        <v>0</v>
      </c>
      <c r="Q120">
        <v>100</v>
      </c>
      <c r="R120">
        <v>100</v>
      </c>
      <c r="S120">
        <v>35170</v>
      </c>
      <c r="T120">
        <v>100</v>
      </c>
      <c r="U120">
        <v>35170</v>
      </c>
      <c r="V120" t="str">
        <f>""</f>
        <v/>
      </c>
      <c r="W120">
        <v>34</v>
      </c>
      <c r="X120">
        <v>0</v>
      </c>
      <c r="Y120">
        <v>6000577</v>
      </c>
      <c r="Z120">
        <v>1</v>
      </c>
      <c r="AA120">
        <v>27</v>
      </c>
      <c r="AB120" t="str">
        <f>""</f>
        <v/>
      </c>
      <c r="AC120" t="str">
        <f>""</f>
        <v/>
      </c>
      <c r="AD120" t="str">
        <f>""</f>
        <v/>
      </c>
      <c r="AE120">
        <v>2021</v>
      </c>
      <c r="AF120">
        <v>2024</v>
      </c>
      <c r="AG120" t="str">
        <f>"Bruz"</f>
        <v>Bruz</v>
      </c>
      <c r="AH120" t="str">
        <f>"Bruz"</f>
        <v>Bruz</v>
      </c>
      <c r="AI120" t="str">
        <f>""</f>
        <v/>
      </c>
      <c r="AJ120" t="str">
        <f>""</f>
        <v/>
      </c>
      <c r="AK120" t="str">
        <f>""</f>
        <v/>
      </c>
      <c r="AL120">
        <v>42</v>
      </c>
      <c r="AM120" t="str">
        <f>""</f>
        <v/>
      </c>
      <c r="AN120" t="str">
        <f>""</f>
        <v/>
      </c>
      <c r="AO120" t="str">
        <f>"Lycée Kléber"</f>
        <v>Lycée Kléber</v>
      </c>
      <c r="AP120" t="str">
        <f>"STRASBOURG"</f>
        <v>STRASBOURG</v>
      </c>
      <c r="AQ120" t="str">
        <f>"Strasbourg"</f>
        <v>Strasbourg</v>
      </c>
    </row>
    <row r="121" spans="1:43" x14ac:dyDescent="0.25">
      <c r="A121" t="str">
        <f t="shared" si="26"/>
        <v>1A,1A Maths,1A Ing,T00000</v>
      </c>
      <c r="B121" t="str">
        <f>"BARHOUMI"</f>
        <v>BARHOUMI</v>
      </c>
      <c r="C121" t="str">
        <f>"Amira"</f>
        <v>Amira</v>
      </c>
      <c r="D121" t="str">
        <f>"024-2783"</f>
        <v>024-2783</v>
      </c>
      <c r="E121" t="str">
        <f>"213339805FF"</f>
        <v>213339805FF</v>
      </c>
      <c r="F121" t="str">
        <f t="shared" si="13"/>
        <v>0352480F</v>
      </c>
      <c r="G121" t="str">
        <f t="shared" si="14"/>
        <v>O</v>
      </c>
      <c r="H121">
        <v>10</v>
      </c>
      <c r="I121">
        <v>2003</v>
      </c>
      <c r="J121">
        <v>2</v>
      </c>
      <c r="K121">
        <v>31</v>
      </c>
      <c r="L121">
        <v>0</v>
      </c>
      <c r="M121">
        <v>2022</v>
      </c>
      <c r="N121" t="str">
        <f>"R"</f>
        <v>R</v>
      </c>
      <c r="O121" t="str">
        <f>"D"</f>
        <v>D</v>
      </c>
      <c r="P121">
        <v>0</v>
      </c>
      <c r="Q121">
        <v>351</v>
      </c>
      <c r="R121">
        <v>100</v>
      </c>
      <c r="S121" t="str">
        <f>"Bruz"</f>
        <v>Bruz</v>
      </c>
      <c r="T121">
        <v>100</v>
      </c>
      <c r="U121" t="str">
        <f>"Bruz"</f>
        <v>Bruz</v>
      </c>
      <c r="V121" t="str">
        <f>""</f>
        <v/>
      </c>
      <c r="W121">
        <v>43</v>
      </c>
      <c r="X121">
        <v>0</v>
      </c>
      <c r="Y121">
        <v>6000577</v>
      </c>
      <c r="Z121">
        <v>1</v>
      </c>
      <c r="AA121">
        <v>27</v>
      </c>
      <c r="AB121" t="str">
        <f>""</f>
        <v/>
      </c>
      <c r="AC121" t="str">
        <f>""</f>
        <v/>
      </c>
      <c r="AD121" t="str">
        <f>""</f>
        <v/>
      </c>
      <c r="AE121">
        <v>2024</v>
      </c>
      <c r="AF121">
        <v>2024</v>
      </c>
      <c r="AG121">
        <v>5170</v>
      </c>
      <c r="AH121">
        <v>5170</v>
      </c>
      <c r="AI121" t="str">
        <f>""</f>
        <v/>
      </c>
      <c r="AJ121" t="str">
        <f>""</f>
        <v/>
      </c>
      <c r="AK121" t="str">
        <f>""</f>
        <v/>
      </c>
      <c r="AL121">
        <v>43</v>
      </c>
      <c r="AM121" t="str">
        <f>""</f>
        <v/>
      </c>
      <c r="AN121" t="str">
        <f>""</f>
        <v/>
      </c>
      <c r="AO121" t="str">
        <f>"Lycée pilote de kasserine"</f>
        <v>Lycée pilote de kasserine</v>
      </c>
      <c r="AP121" t="str">
        <f>"KASSERINE"</f>
        <v>KASSERINE</v>
      </c>
      <c r="AQ121" t="str">
        <f>"Etranger"</f>
        <v>Etranger</v>
      </c>
    </row>
    <row r="122" spans="1:43" x14ac:dyDescent="0.25">
      <c r="A122" t="str">
        <f t="shared" si="26"/>
        <v>1A,1A Maths,1A Ing,T00000</v>
      </c>
      <c r="B122" t="str">
        <f>"BEAUVAIS"</f>
        <v>BEAUVAIS</v>
      </c>
      <c r="C122" t="str">
        <f>"Clara"</f>
        <v>Clara</v>
      </c>
      <c r="D122" t="str">
        <f>"024-2723"</f>
        <v>024-2723</v>
      </c>
      <c r="E122" t="str">
        <f>"070945347GF"</f>
        <v>070945347GF</v>
      </c>
      <c r="F122" t="str">
        <f t="shared" si="13"/>
        <v>0352480F</v>
      </c>
      <c r="G122" t="str">
        <f t="shared" si="14"/>
        <v>O</v>
      </c>
      <c r="H122">
        <v>10</v>
      </c>
      <c r="I122">
        <v>2004</v>
      </c>
      <c r="J122">
        <v>2</v>
      </c>
      <c r="K122" t="str">
        <f>"NBGE"</f>
        <v>NBGE</v>
      </c>
      <c r="L122">
        <v>18</v>
      </c>
      <c r="M122">
        <v>2022</v>
      </c>
      <c r="N122" t="str">
        <f>"D"</f>
        <v>D</v>
      </c>
      <c r="O122" t="str">
        <f>"D"</f>
        <v>D</v>
      </c>
      <c r="P122">
        <v>0</v>
      </c>
      <c r="Q122">
        <v>100</v>
      </c>
      <c r="R122">
        <v>100</v>
      </c>
      <c r="S122">
        <v>35170</v>
      </c>
      <c r="T122">
        <v>100</v>
      </c>
      <c r="U122">
        <v>35170</v>
      </c>
      <c r="V122" t="str">
        <f>""</f>
        <v/>
      </c>
      <c r="W122">
        <v>46</v>
      </c>
      <c r="X122">
        <v>0</v>
      </c>
      <c r="Y122">
        <v>6000577</v>
      </c>
      <c r="Z122">
        <v>1</v>
      </c>
      <c r="AA122">
        <v>27</v>
      </c>
      <c r="AB122" t="str">
        <f>""</f>
        <v/>
      </c>
      <c r="AC122" t="str">
        <f>""</f>
        <v/>
      </c>
      <c r="AD122" t="str">
        <f>""</f>
        <v/>
      </c>
      <c r="AE122">
        <v>2022</v>
      </c>
      <c r="AF122">
        <v>2024</v>
      </c>
      <c r="AG122" t="str">
        <f>"BRUZ"</f>
        <v>BRUZ</v>
      </c>
      <c r="AH122" t="str">
        <f>"BRUZ"</f>
        <v>BRUZ</v>
      </c>
      <c r="AI122" t="str">
        <f>""</f>
        <v/>
      </c>
      <c r="AJ122" t="str">
        <f>""</f>
        <v/>
      </c>
      <c r="AK122" t="str">
        <f>""</f>
        <v/>
      </c>
      <c r="AL122">
        <v>37</v>
      </c>
      <c r="AM122" t="str">
        <f>""</f>
        <v/>
      </c>
      <c r="AN122" t="str">
        <f>""</f>
        <v/>
      </c>
      <c r="AO122" t="str">
        <f>"Grandmont"</f>
        <v>Grandmont</v>
      </c>
      <c r="AP122" t="str">
        <f>"TOURS"</f>
        <v>TOURS</v>
      </c>
      <c r="AQ122" t="str">
        <f>"Orléans-Tours"</f>
        <v>Orléans-Tours</v>
      </c>
    </row>
    <row r="123" spans="1:43" x14ac:dyDescent="0.25">
      <c r="A123" t="str">
        <f t="shared" si="26"/>
        <v>1A,1A Maths,1A Ing,T00000</v>
      </c>
      <c r="B123" t="str">
        <f>"BEJI"</f>
        <v>BEJI</v>
      </c>
      <c r="C123" t="str">
        <f>"Ahmed"</f>
        <v>Ahmed</v>
      </c>
      <c r="D123" t="str">
        <f>"024-2756"</f>
        <v>024-2756</v>
      </c>
      <c r="E123" t="str">
        <f>"213326421FD"</f>
        <v>213326421FD</v>
      </c>
      <c r="F123" t="str">
        <f t="shared" si="13"/>
        <v>0352480F</v>
      </c>
      <c r="G123" t="str">
        <f t="shared" si="14"/>
        <v>O</v>
      </c>
      <c r="H123">
        <v>10</v>
      </c>
      <c r="I123">
        <v>2003</v>
      </c>
      <c r="J123">
        <v>1</v>
      </c>
      <c r="K123">
        <v>31</v>
      </c>
      <c r="L123">
        <v>0</v>
      </c>
      <c r="M123">
        <v>2022</v>
      </c>
      <c r="N123" t="str">
        <f>"D"</f>
        <v>D</v>
      </c>
      <c r="O123">
        <v>1</v>
      </c>
      <c r="P123">
        <v>0</v>
      </c>
      <c r="Q123">
        <v>351</v>
      </c>
      <c r="R123">
        <v>100</v>
      </c>
      <c r="S123" t="str">
        <f>"paris"</f>
        <v>paris</v>
      </c>
      <c r="T123">
        <v>100</v>
      </c>
      <c r="U123" t="str">
        <f>"paris"</f>
        <v>paris</v>
      </c>
      <c r="V123" t="str">
        <f>""</f>
        <v/>
      </c>
      <c r="W123">
        <v>34</v>
      </c>
      <c r="X123">
        <v>0</v>
      </c>
      <c r="Y123">
        <v>6000577</v>
      </c>
      <c r="Z123">
        <v>1</v>
      </c>
      <c r="AA123">
        <v>27</v>
      </c>
      <c r="AB123" t="str">
        <f>""</f>
        <v/>
      </c>
      <c r="AC123" t="str">
        <f>""</f>
        <v/>
      </c>
      <c r="AD123" t="str">
        <f>""</f>
        <v/>
      </c>
      <c r="AE123">
        <v>2022</v>
      </c>
      <c r="AF123">
        <v>2024</v>
      </c>
      <c r="AG123" t="str">
        <f>"Ronsy sousbois 93110"</f>
        <v>Ronsy sousbois 93110</v>
      </c>
      <c r="AH123" t="str">
        <f>"Ronsy sousbois 93110"</f>
        <v>Ronsy sousbois 93110</v>
      </c>
      <c r="AI123" t="str">
        <f>""</f>
        <v/>
      </c>
      <c r="AJ123" t="str">
        <f>""</f>
        <v/>
      </c>
      <c r="AK123" t="str">
        <f>""</f>
        <v/>
      </c>
      <c r="AL123">
        <v>34</v>
      </c>
      <c r="AM123" t="str">
        <f>""</f>
        <v/>
      </c>
      <c r="AN123" t="str">
        <f>""</f>
        <v/>
      </c>
      <c r="AO123" t="str">
        <f>"lycee pilote medinine"</f>
        <v>lycee pilote medinine</v>
      </c>
      <c r="AP123" t="str">
        <f>"MEDININE"</f>
        <v>MEDININE</v>
      </c>
      <c r="AQ123" t="str">
        <f>"Etranger"</f>
        <v>Etranger</v>
      </c>
    </row>
    <row r="124" spans="1:43" x14ac:dyDescent="0.25">
      <c r="A124" t="str">
        <f t="shared" si="26"/>
        <v>1A,1A Maths,1A Ing,T00000</v>
      </c>
      <c r="B124" t="str">
        <f>"BELKEBIR-MEKKI"</f>
        <v>BELKEBIR-MEKKI</v>
      </c>
      <c r="C124" t="str">
        <f>"Aymen"</f>
        <v>Aymen</v>
      </c>
      <c r="D124" t="str">
        <f>"024-2736"</f>
        <v>024-2736</v>
      </c>
      <c r="E124" t="str">
        <f>"070666328BF"</f>
        <v>070666328BF</v>
      </c>
      <c r="F124" t="str">
        <f t="shared" si="13"/>
        <v>0352480F</v>
      </c>
      <c r="G124" t="str">
        <f t="shared" si="14"/>
        <v>O</v>
      </c>
      <c r="H124">
        <v>10</v>
      </c>
      <c r="I124">
        <v>2004</v>
      </c>
      <c r="J124">
        <v>1</v>
      </c>
      <c r="K124" t="str">
        <f>""</f>
        <v/>
      </c>
      <c r="L124" t="str">
        <f>""</f>
        <v/>
      </c>
      <c r="M124" t="str">
        <f>""</f>
        <v/>
      </c>
      <c r="N124" t="str">
        <f>""</f>
        <v/>
      </c>
      <c r="O124" t="str">
        <f>""</f>
        <v/>
      </c>
      <c r="P124">
        <v>0</v>
      </c>
      <c r="Q124">
        <v>100</v>
      </c>
      <c r="R124">
        <v>100</v>
      </c>
      <c r="S124" t="str">
        <f>""</f>
        <v/>
      </c>
      <c r="T124">
        <v>100</v>
      </c>
      <c r="U124" t="str">
        <f>""</f>
        <v/>
      </c>
      <c r="V124" t="str">
        <f>"2024-2025 : Complément mérite : 900 EUR"</f>
        <v>2024-2025 : Complément mérite : 900 EUR</v>
      </c>
      <c r="W124">
        <v>0</v>
      </c>
      <c r="X124">
        <v>0</v>
      </c>
      <c r="Y124">
        <v>6000577</v>
      </c>
      <c r="Z124">
        <v>1</v>
      </c>
      <c r="AA124">
        <v>27</v>
      </c>
      <c r="AB124" t="str">
        <f>""</f>
        <v/>
      </c>
      <c r="AC124" t="str">
        <f>""</f>
        <v/>
      </c>
      <c r="AD124" t="str">
        <f>""</f>
        <v/>
      </c>
      <c r="AE124" t="str">
        <f>""</f>
        <v/>
      </c>
      <c r="AF124">
        <v>2024</v>
      </c>
      <c r="AG124" t="str">
        <f>""</f>
        <v/>
      </c>
      <c r="AH124" t="str">
        <f>""</f>
        <v/>
      </c>
      <c r="AI124" t="str">
        <f>""</f>
        <v/>
      </c>
      <c r="AJ124" t="str">
        <f>""</f>
        <v/>
      </c>
      <c r="AK124" t="str">
        <f>""</f>
        <v/>
      </c>
      <c r="AL124">
        <v>0</v>
      </c>
      <c r="AM124" t="str">
        <f>""</f>
        <v/>
      </c>
      <c r="AN124" t="str">
        <f>""</f>
        <v/>
      </c>
      <c r="AO124" t="str">
        <f>""</f>
        <v/>
      </c>
      <c r="AP124" t="str">
        <f>""</f>
        <v/>
      </c>
      <c r="AQ124" t="str">
        <f>""</f>
        <v/>
      </c>
    </row>
    <row r="125" spans="1:43" x14ac:dyDescent="0.25">
      <c r="A125" t="str">
        <f t="shared" si="26"/>
        <v>1A,1A Maths,1A Ing,T00000</v>
      </c>
      <c r="B125" t="str">
        <f>"BEN HADJ YAHIA"</f>
        <v>BEN HADJ YAHIA</v>
      </c>
      <c r="C125" t="str">
        <f>"Ali"</f>
        <v>Ali</v>
      </c>
      <c r="D125" t="str">
        <f>"024-2770"</f>
        <v>024-2770</v>
      </c>
      <c r="E125" t="str">
        <f>"233419574GC"</f>
        <v>233419574GC</v>
      </c>
      <c r="F125" t="str">
        <f t="shared" si="13"/>
        <v>0352480F</v>
      </c>
      <c r="G125" t="str">
        <f t="shared" si="14"/>
        <v>O</v>
      </c>
      <c r="H125">
        <v>10</v>
      </c>
      <c r="I125">
        <v>2001</v>
      </c>
      <c r="J125">
        <v>1</v>
      </c>
      <c r="K125">
        <v>31</v>
      </c>
      <c r="L125">
        <v>0</v>
      </c>
      <c r="M125">
        <v>2020</v>
      </c>
      <c r="N125" t="str">
        <f t="shared" ref="N125:O127" si="27">"D"</f>
        <v>D</v>
      </c>
      <c r="O125" t="str">
        <f t="shared" si="27"/>
        <v>D</v>
      </c>
      <c r="P125">
        <v>0</v>
      </c>
      <c r="Q125">
        <v>351</v>
      </c>
      <c r="R125">
        <v>100</v>
      </c>
      <c r="S125">
        <v>1000</v>
      </c>
      <c r="T125">
        <v>100</v>
      </c>
      <c r="U125">
        <v>1000</v>
      </c>
      <c r="V125" t="str">
        <f>""</f>
        <v/>
      </c>
      <c r="W125">
        <v>77</v>
      </c>
      <c r="X125">
        <v>0</v>
      </c>
      <c r="Y125">
        <v>6000577</v>
      </c>
      <c r="Z125">
        <v>1</v>
      </c>
      <c r="AA125">
        <v>27</v>
      </c>
      <c r="AB125" t="str">
        <f>""</f>
        <v/>
      </c>
      <c r="AC125" t="str">
        <f>""</f>
        <v/>
      </c>
      <c r="AD125" t="str">
        <f>""</f>
        <v/>
      </c>
      <c r="AE125">
        <v>2021</v>
      </c>
      <c r="AF125">
        <v>2024</v>
      </c>
      <c r="AG125" t="str">
        <f>""</f>
        <v/>
      </c>
      <c r="AH125" t="str">
        <f>""</f>
        <v/>
      </c>
      <c r="AI125" t="str">
        <f>""</f>
        <v/>
      </c>
      <c r="AJ125" t="str">
        <f>""</f>
        <v/>
      </c>
      <c r="AK125" t="str">
        <f>""</f>
        <v/>
      </c>
      <c r="AL125">
        <v>99</v>
      </c>
      <c r="AM125" t="str">
        <f>""</f>
        <v/>
      </c>
      <c r="AN125" t="str">
        <f>""</f>
        <v/>
      </c>
      <c r="AO125" t="str">
        <f>"lycée pilote bourguiba"</f>
        <v>lycée pilote bourguiba</v>
      </c>
      <c r="AP125" t="str">
        <f>"TUNIS"</f>
        <v>TUNIS</v>
      </c>
      <c r="AQ125" t="str">
        <f>"Etranger"</f>
        <v>Etranger</v>
      </c>
    </row>
    <row r="126" spans="1:43" x14ac:dyDescent="0.25">
      <c r="A126" t="str">
        <f t="shared" si="26"/>
        <v>1A,1A Maths,1A Ing,T00000</v>
      </c>
      <c r="B126" t="str">
        <f>"BEN YOUSSEF"</f>
        <v>BEN YOUSSEF</v>
      </c>
      <c r="C126" t="str">
        <f>"Roua"</f>
        <v>Roua</v>
      </c>
      <c r="D126" t="str">
        <f>"024-2755"</f>
        <v>024-2755</v>
      </c>
      <c r="E126" t="str">
        <f>"233419721BC"</f>
        <v>233419721BC</v>
      </c>
      <c r="F126" t="str">
        <f t="shared" si="13"/>
        <v>0352480F</v>
      </c>
      <c r="G126" t="str">
        <f t="shared" si="14"/>
        <v>O</v>
      </c>
      <c r="H126">
        <v>10</v>
      </c>
      <c r="I126">
        <v>2003</v>
      </c>
      <c r="J126">
        <v>2</v>
      </c>
      <c r="K126">
        <v>31</v>
      </c>
      <c r="L126">
        <v>0</v>
      </c>
      <c r="M126">
        <v>2022</v>
      </c>
      <c r="N126" t="str">
        <f t="shared" si="27"/>
        <v>D</v>
      </c>
      <c r="O126" t="str">
        <f t="shared" si="27"/>
        <v>D</v>
      </c>
      <c r="P126">
        <v>0</v>
      </c>
      <c r="Q126">
        <v>351</v>
      </c>
      <c r="R126">
        <v>100</v>
      </c>
      <c r="S126">
        <v>35000</v>
      </c>
      <c r="T126">
        <v>100</v>
      </c>
      <c r="U126">
        <v>35000</v>
      </c>
      <c r="V126" t="str">
        <f>""</f>
        <v/>
      </c>
      <c r="W126">
        <v>34</v>
      </c>
      <c r="X126">
        <v>0</v>
      </c>
      <c r="Y126">
        <v>6000577</v>
      </c>
      <c r="Z126">
        <v>1</v>
      </c>
      <c r="AA126">
        <v>27</v>
      </c>
      <c r="AB126" t="str">
        <f>""</f>
        <v/>
      </c>
      <c r="AC126" t="str">
        <f>""</f>
        <v/>
      </c>
      <c r="AD126" t="str">
        <f>""</f>
        <v/>
      </c>
      <c r="AE126">
        <v>2022</v>
      </c>
      <c r="AF126">
        <v>2024</v>
      </c>
      <c r="AG126" t="str">
        <f>""</f>
        <v/>
      </c>
      <c r="AH126" t="str">
        <f>""</f>
        <v/>
      </c>
      <c r="AI126" t="str">
        <f>""</f>
        <v/>
      </c>
      <c r="AJ126" t="str">
        <f>""</f>
        <v/>
      </c>
      <c r="AK126" t="str">
        <f>""</f>
        <v/>
      </c>
      <c r="AL126">
        <v>38</v>
      </c>
      <c r="AM126" t="str">
        <f>""</f>
        <v/>
      </c>
      <c r="AN126" t="str">
        <f>""</f>
        <v/>
      </c>
      <c r="AO126" t="str">
        <f>"Lycée Pilote de Beja"</f>
        <v>Lycée Pilote de Beja</v>
      </c>
      <c r="AP126" t="str">
        <f>"BÉJA"</f>
        <v>BÉJA</v>
      </c>
      <c r="AQ126" t="str">
        <f>"Etranger"</f>
        <v>Etranger</v>
      </c>
    </row>
    <row r="127" spans="1:43" x14ac:dyDescent="0.25">
      <c r="A127" t="str">
        <f t="shared" si="26"/>
        <v>1A,1A Maths,1A Ing,T00000</v>
      </c>
      <c r="B127" t="str">
        <f>"BESSROUR"</f>
        <v>BESSROUR</v>
      </c>
      <c r="C127" t="str">
        <f>"Saima"</f>
        <v>Saima</v>
      </c>
      <c r="D127" t="str">
        <f>"024-2766"</f>
        <v>024-2766</v>
      </c>
      <c r="E127" t="str">
        <f>"233420256FK"</f>
        <v>233420256FK</v>
      </c>
      <c r="F127" t="str">
        <f t="shared" si="13"/>
        <v>0352480F</v>
      </c>
      <c r="G127" t="str">
        <f t="shared" si="14"/>
        <v>O</v>
      </c>
      <c r="H127">
        <v>10</v>
      </c>
      <c r="I127">
        <v>2003</v>
      </c>
      <c r="J127">
        <v>2</v>
      </c>
      <c r="K127" t="str">
        <f>"C"</f>
        <v>C</v>
      </c>
      <c r="L127">
        <v>0</v>
      </c>
      <c r="M127">
        <v>2022</v>
      </c>
      <c r="N127" t="str">
        <f t="shared" si="27"/>
        <v>D</v>
      </c>
      <c r="O127" t="str">
        <f t="shared" si="27"/>
        <v>D</v>
      </c>
      <c r="P127">
        <v>0</v>
      </c>
      <c r="Q127">
        <v>100</v>
      </c>
      <c r="R127">
        <v>100</v>
      </c>
      <c r="S127" t="str">
        <f>"Renne"</f>
        <v>Renne</v>
      </c>
      <c r="T127">
        <v>100</v>
      </c>
      <c r="U127" t="str">
        <f>"Renne"</f>
        <v>Renne</v>
      </c>
      <c r="V127" t="str">
        <f>""</f>
        <v/>
      </c>
      <c r="W127">
        <v>0</v>
      </c>
      <c r="X127">
        <v>0</v>
      </c>
      <c r="Y127">
        <v>6000577</v>
      </c>
      <c r="Z127">
        <v>1</v>
      </c>
      <c r="AA127">
        <v>27</v>
      </c>
      <c r="AB127" t="str">
        <f>""</f>
        <v/>
      </c>
      <c r="AC127" t="str">
        <f>""</f>
        <v/>
      </c>
      <c r="AD127" t="str">
        <f>""</f>
        <v/>
      </c>
      <c r="AE127">
        <v>2024</v>
      </c>
      <c r="AF127">
        <v>2024</v>
      </c>
      <c r="AG127">
        <v>35200</v>
      </c>
      <c r="AH127">
        <v>35200</v>
      </c>
      <c r="AI127" t="str">
        <f>""</f>
        <v/>
      </c>
      <c r="AJ127" t="str">
        <f>""</f>
        <v/>
      </c>
      <c r="AK127" t="str">
        <f>""</f>
        <v/>
      </c>
      <c r="AL127">
        <v>0</v>
      </c>
      <c r="AM127" t="str">
        <f>""</f>
        <v/>
      </c>
      <c r="AN127" t="str">
        <f>""</f>
        <v/>
      </c>
      <c r="AO127" t="str">
        <f>"Lycee pilote bourguiba Tunis"</f>
        <v>Lycee pilote bourguiba Tunis</v>
      </c>
      <c r="AP127" t="str">
        <f>"TUNIS"</f>
        <v>TUNIS</v>
      </c>
      <c r="AQ127" t="str">
        <f>"Etranger"</f>
        <v>Etranger</v>
      </c>
    </row>
    <row r="128" spans="1:43" x14ac:dyDescent="0.25">
      <c r="A128" t="str">
        <f t="shared" si="26"/>
        <v>1A,1A Maths,1A Ing,T00000</v>
      </c>
      <c r="B128" t="str">
        <f>"BEVALOT"</f>
        <v>BEVALOT</v>
      </c>
      <c r="C128" t="str">
        <f>"Mattéo"</f>
        <v>Mattéo</v>
      </c>
      <c r="D128" t="str">
        <f>"024-2741"</f>
        <v>024-2741</v>
      </c>
      <c r="E128" t="str">
        <f>"070682705DB"</f>
        <v>070682705DB</v>
      </c>
      <c r="F128" t="str">
        <f t="shared" si="13"/>
        <v>0352480F</v>
      </c>
      <c r="G128" t="str">
        <f t="shared" si="14"/>
        <v>O</v>
      </c>
      <c r="H128">
        <v>10</v>
      </c>
      <c r="I128">
        <v>2004</v>
      </c>
      <c r="J128">
        <v>1</v>
      </c>
      <c r="K128" t="str">
        <f>"NBGE"</f>
        <v>NBGE</v>
      </c>
      <c r="L128">
        <v>23</v>
      </c>
      <c r="M128">
        <v>2022</v>
      </c>
      <c r="N128" t="str">
        <f>"D"</f>
        <v>D</v>
      </c>
      <c r="O128" t="str">
        <f>"A"</f>
        <v>A</v>
      </c>
      <c r="P128">
        <v>0</v>
      </c>
      <c r="Q128">
        <v>100</v>
      </c>
      <c r="R128">
        <v>100</v>
      </c>
      <c r="S128">
        <v>35000</v>
      </c>
      <c r="T128">
        <v>100</v>
      </c>
      <c r="U128">
        <v>35000</v>
      </c>
      <c r="V128" t="str">
        <f>""</f>
        <v/>
      </c>
      <c r="W128">
        <v>99</v>
      </c>
      <c r="X128">
        <v>0</v>
      </c>
      <c r="Y128">
        <v>6000577</v>
      </c>
      <c r="Z128">
        <v>1</v>
      </c>
      <c r="AA128">
        <v>27</v>
      </c>
      <c r="AB128" t="str">
        <f>""</f>
        <v/>
      </c>
      <c r="AC128" t="str">
        <f>""</f>
        <v/>
      </c>
      <c r="AD128" t="str">
        <f>""</f>
        <v/>
      </c>
      <c r="AE128">
        <v>2022</v>
      </c>
      <c r="AF128">
        <v>2024</v>
      </c>
      <c r="AG128" t="str">
        <f>"rennes"</f>
        <v>rennes</v>
      </c>
      <c r="AH128" t="str">
        <f>"rennes"</f>
        <v>rennes</v>
      </c>
      <c r="AI128" t="str">
        <f>""</f>
        <v/>
      </c>
      <c r="AJ128" t="str">
        <f>""</f>
        <v/>
      </c>
      <c r="AK128" t="str">
        <f>""</f>
        <v/>
      </c>
      <c r="AL128">
        <v>85</v>
      </c>
      <c r="AM128" t="str">
        <f>""</f>
        <v/>
      </c>
      <c r="AN128" t="str">
        <f>""</f>
        <v/>
      </c>
      <c r="AO128" t="str">
        <f>"Jacques audiberti"</f>
        <v>Jacques audiberti</v>
      </c>
      <c r="AP128" t="str">
        <f>"ANTIBES"</f>
        <v>ANTIBES</v>
      </c>
      <c r="AQ128" t="str">
        <f>"Nice"</f>
        <v>Nice</v>
      </c>
    </row>
    <row r="129" spans="1:43" x14ac:dyDescent="0.25">
      <c r="A129" t="str">
        <f t="shared" si="26"/>
        <v>1A,1A Maths,1A Ing,T00000</v>
      </c>
      <c r="B129" t="str">
        <f>"BLAIECH"</f>
        <v>BLAIECH</v>
      </c>
      <c r="C129" t="str">
        <f>"Amine"</f>
        <v>Amine</v>
      </c>
      <c r="D129" t="str">
        <f>"024-2772"</f>
        <v>024-2772</v>
      </c>
      <c r="E129" t="str">
        <f>"120651211AJ"</f>
        <v>120651211AJ</v>
      </c>
      <c r="F129" t="str">
        <f t="shared" si="13"/>
        <v>0352480F</v>
      </c>
      <c r="G129" t="str">
        <f t="shared" si="14"/>
        <v>O</v>
      </c>
      <c r="H129">
        <v>10</v>
      </c>
      <c r="I129">
        <v>2002</v>
      </c>
      <c r="J129">
        <v>1</v>
      </c>
      <c r="K129" t="str">
        <f>""</f>
        <v/>
      </c>
      <c r="L129" t="str">
        <f>""</f>
        <v/>
      </c>
      <c r="M129" t="str">
        <f>""</f>
        <v/>
      </c>
      <c r="N129" t="str">
        <f>""</f>
        <v/>
      </c>
      <c r="O129" t="str">
        <f>""</f>
        <v/>
      </c>
      <c r="P129">
        <v>0</v>
      </c>
      <c r="Q129">
        <v>100</v>
      </c>
      <c r="R129">
        <v>100</v>
      </c>
      <c r="S129" t="str">
        <f>""</f>
        <v/>
      </c>
      <c r="T129">
        <v>100</v>
      </c>
      <c r="U129" t="str">
        <f>""</f>
        <v/>
      </c>
      <c r="V129" t="str">
        <f>""</f>
        <v/>
      </c>
      <c r="W129">
        <v>0</v>
      </c>
      <c r="X129">
        <v>0</v>
      </c>
      <c r="Y129">
        <v>6000577</v>
      </c>
      <c r="Z129">
        <v>1</v>
      </c>
      <c r="AA129">
        <v>27</v>
      </c>
      <c r="AB129" t="str">
        <f>""</f>
        <v/>
      </c>
      <c r="AC129" t="str">
        <f>""</f>
        <v/>
      </c>
      <c r="AD129" t="str">
        <f>""</f>
        <v/>
      </c>
      <c r="AE129" t="str">
        <f>""</f>
        <v/>
      </c>
      <c r="AF129">
        <v>2024</v>
      </c>
      <c r="AG129" t="str">
        <f>""</f>
        <v/>
      </c>
      <c r="AH129" t="str">
        <f>""</f>
        <v/>
      </c>
      <c r="AI129" t="str">
        <f>""</f>
        <v/>
      </c>
      <c r="AJ129" t="str">
        <f>""</f>
        <v/>
      </c>
      <c r="AK129" t="str">
        <f>""</f>
        <v/>
      </c>
      <c r="AL129">
        <v>0</v>
      </c>
      <c r="AM129" t="str">
        <f>""</f>
        <v/>
      </c>
      <c r="AN129" t="str">
        <f>""</f>
        <v/>
      </c>
      <c r="AO129" t="str">
        <f>""</f>
        <v/>
      </c>
      <c r="AP129" t="str">
        <f>""</f>
        <v/>
      </c>
      <c r="AQ129" t="str">
        <f>""</f>
        <v/>
      </c>
    </row>
    <row r="130" spans="1:43" x14ac:dyDescent="0.25">
      <c r="A130" t="str">
        <f t="shared" si="26"/>
        <v>1A,1A Maths,1A Ing,T00000</v>
      </c>
      <c r="B130" t="str">
        <f>"BODJONA"</f>
        <v>BODJONA</v>
      </c>
      <c r="C130" t="str">
        <f>"Kao"</f>
        <v>Kao</v>
      </c>
      <c r="D130" t="str">
        <f>"024-2752"</f>
        <v>024-2752</v>
      </c>
      <c r="E130" t="str">
        <f>"213005097BG"</f>
        <v>213005097BG</v>
      </c>
      <c r="F130" t="str">
        <f t="shared" ref="F130:F193" si="28">"0352480F"</f>
        <v>0352480F</v>
      </c>
      <c r="G130" t="str">
        <f t="shared" ref="G130:G193" si="29">"O"</f>
        <v>O</v>
      </c>
      <c r="H130">
        <v>10</v>
      </c>
      <c r="I130">
        <v>2003</v>
      </c>
      <c r="J130">
        <v>1</v>
      </c>
      <c r="K130" t="str">
        <f>"C"</f>
        <v>C</v>
      </c>
      <c r="L130" t="str">
        <f>""</f>
        <v/>
      </c>
      <c r="M130">
        <v>2021</v>
      </c>
      <c r="N130" t="str">
        <f>"D"</f>
        <v>D</v>
      </c>
      <c r="O130" t="str">
        <f>"D"</f>
        <v>D</v>
      </c>
      <c r="P130">
        <v>0</v>
      </c>
      <c r="Q130">
        <v>345</v>
      </c>
      <c r="R130">
        <v>100</v>
      </c>
      <c r="S130">
        <v>35230</v>
      </c>
      <c r="T130">
        <v>100</v>
      </c>
      <c r="U130">
        <v>35230</v>
      </c>
      <c r="V130" t="str">
        <f>""</f>
        <v/>
      </c>
      <c r="W130">
        <v>85</v>
      </c>
      <c r="X130">
        <v>0</v>
      </c>
      <c r="Y130">
        <v>6000577</v>
      </c>
      <c r="Z130">
        <v>1</v>
      </c>
      <c r="AA130">
        <v>27</v>
      </c>
      <c r="AB130" t="str">
        <f>""</f>
        <v/>
      </c>
      <c r="AC130" t="str">
        <f>""</f>
        <v/>
      </c>
      <c r="AD130" t="str">
        <f>""</f>
        <v/>
      </c>
      <c r="AE130">
        <v>2021</v>
      </c>
      <c r="AF130">
        <v>2024</v>
      </c>
      <c r="AG130" t="str">
        <f>"Bourgbarré"</f>
        <v>Bourgbarré</v>
      </c>
      <c r="AH130" t="str">
        <f>"Bourgbarré"</f>
        <v>Bourgbarré</v>
      </c>
      <c r="AI130" t="str">
        <f>""</f>
        <v/>
      </c>
      <c r="AJ130" t="str">
        <f>""</f>
        <v/>
      </c>
      <c r="AK130" t="str">
        <f>""</f>
        <v/>
      </c>
      <c r="AL130">
        <v>34</v>
      </c>
      <c r="AM130" t="str">
        <f>""</f>
        <v/>
      </c>
      <c r="AN130" t="str">
        <f>""</f>
        <v/>
      </c>
      <c r="AO130" t="str">
        <f>"Saint Joseph"</f>
        <v>Saint Joseph</v>
      </c>
      <c r="AP130" t="str">
        <f>"LOMÉ"</f>
        <v>LOMÉ</v>
      </c>
      <c r="AQ130" t="str">
        <f>""</f>
        <v/>
      </c>
    </row>
    <row r="131" spans="1:43" x14ac:dyDescent="0.25">
      <c r="A131" t="str">
        <f t="shared" si="26"/>
        <v>1A,1A Maths,1A Ing,T00000</v>
      </c>
      <c r="B131" t="str">
        <f>"BOISSE"</f>
        <v>BOISSE</v>
      </c>
      <c r="C131" t="str">
        <f>"Emma"</f>
        <v>Emma</v>
      </c>
      <c r="D131" t="str">
        <f>"024-2777"</f>
        <v>024-2777</v>
      </c>
      <c r="E131" t="str">
        <f>"071198973KE"</f>
        <v>071198973KE</v>
      </c>
      <c r="F131" t="str">
        <f t="shared" si="28"/>
        <v>0352480F</v>
      </c>
      <c r="G131" t="str">
        <f t="shared" si="29"/>
        <v>O</v>
      </c>
      <c r="H131">
        <v>10</v>
      </c>
      <c r="I131">
        <v>2004</v>
      </c>
      <c r="J131">
        <v>2</v>
      </c>
      <c r="K131" t="str">
        <f t="shared" ref="K131:K139" si="30">"NBGE"</f>
        <v>NBGE</v>
      </c>
      <c r="L131">
        <v>23</v>
      </c>
      <c r="M131">
        <v>2022</v>
      </c>
      <c r="N131" t="str">
        <f>"D"</f>
        <v>D</v>
      </c>
      <c r="O131" t="str">
        <f>"D"</f>
        <v>D</v>
      </c>
      <c r="P131">
        <v>0</v>
      </c>
      <c r="Q131">
        <v>100</v>
      </c>
      <c r="R131">
        <v>100</v>
      </c>
      <c r="S131">
        <v>35000</v>
      </c>
      <c r="T131">
        <v>100</v>
      </c>
      <c r="U131">
        <v>35000</v>
      </c>
      <c r="V131" t="str">
        <f>"2024-2025 : Complément &amp;quot:Bourse au mérite GENES&amp;quot: :  900 EUR"</f>
        <v>2024-2025 : Complément &amp;quot:Bourse au mérite GENES&amp;quot: :  900 EUR</v>
      </c>
      <c r="W131">
        <v>34</v>
      </c>
      <c r="X131">
        <v>0</v>
      </c>
      <c r="Y131">
        <v>6000577</v>
      </c>
      <c r="Z131">
        <v>1</v>
      </c>
      <c r="AA131">
        <v>27</v>
      </c>
      <c r="AB131" t="str">
        <f>""</f>
        <v/>
      </c>
      <c r="AC131" t="str">
        <f>""</f>
        <v/>
      </c>
      <c r="AD131" t="str">
        <f>""</f>
        <v/>
      </c>
      <c r="AE131">
        <v>2022</v>
      </c>
      <c r="AF131">
        <v>2024</v>
      </c>
      <c r="AG131" t="str">
        <f>"Rennes"</f>
        <v>Rennes</v>
      </c>
      <c r="AH131" t="str">
        <f>"Rennes"</f>
        <v>Rennes</v>
      </c>
      <c r="AI131" t="str">
        <f>""</f>
        <v/>
      </c>
      <c r="AJ131" t="str">
        <f>""</f>
        <v/>
      </c>
      <c r="AK131" t="str">
        <f>""</f>
        <v/>
      </c>
      <c r="AL131">
        <v>42</v>
      </c>
      <c r="AM131" t="str">
        <f>""</f>
        <v/>
      </c>
      <c r="AN131" t="str">
        <f>""</f>
        <v/>
      </c>
      <c r="AO131" t="str">
        <f>"Jules Ferry"</f>
        <v>Jules Ferry</v>
      </c>
      <c r="AP131" t="str">
        <f>"CANNES"</f>
        <v>CANNES</v>
      </c>
      <c r="AQ131" t="str">
        <f>"Nice"</f>
        <v>Nice</v>
      </c>
    </row>
    <row r="132" spans="1:43" x14ac:dyDescent="0.25">
      <c r="A132" t="str">
        <f t="shared" si="26"/>
        <v>1A,1A Maths,1A Ing,T00000</v>
      </c>
      <c r="B132" t="str">
        <f>"DANIEL"</f>
        <v>DANIEL</v>
      </c>
      <c r="C132" t="str">
        <f>"Thomas"</f>
        <v>Thomas</v>
      </c>
      <c r="D132" t="str">
        <f>"024-2735"</f>
        <v>024-2735</v>
      </c>
      <c r="E132" t="str">
        <f>"070176946DC"</f>
        <v>070176946DC</v>
      </c>
      <c r="F132" t="str">
        <f t="shared" si="28"/>
        <v>0352480F</v>
      </c>
      <c r="G132" t="str">
        <f t="shared" si="29"/>
        <v>O</v>
      </c>
      <c r="H132">
        <v>10</v>
      </c>
      <c r="I132">
        <v>2004</v>
      </c>
      <c r="J132">
        <v>1</v>
      </c>
      <c r="K132" t="str">
        <f t="shared" si="30"/>
        <v>NBGE</v>
      </c>
      <c r="L132">
        <v>4</v>
      </c>
      <c r="M132">
        <v>2022</v>
      </c>
      <c r="N132" t="str">
        <f t="shared" ref="N132:N139" si="31">"D"</f>
        <v>D</v>
      </c>
      <c r="O132" t="str">
        <f>"A"</f>
        <v>A</v>
      </c>
      <c r="P132">
        <v>0</v>
      </c>
      <c r="Q132">
        <v>100</v>
      </c>
      <c r="R132">
        <v>100</v>
      </c>
      <c r="S132">
        <v>35170</v>
      </c>
      <c r="T132">
        <v>100</v>
      </c>
      <c r="U132">
        <v>35170</v>
      </c>
      <c r="V132" t="str">
        <f>"2024-2025 : Complément mérite Genes : 900 EUR"</f>
        <v>2024-2025 : Complément mérite Genes : 900 EUR</v>
      </c>
      <c r="W132">
        <v>34</v>
      </c>
      <c r="X132">
        <v>0</v>
      </c>
      <c r="Y132">
        <v>6000577</v>
      </c>
      <c r="Z132">
        <v>1</v>
      </c>
      <c r="AA132">
        <v>27</v>
      </c>
      <c r="AB132" t="str">
        <f>""</f>
        <v/>
      </c>
      <c r="AC132" t="str">
        <f>""</f>
        <v/>
      </c>
      <c r="AD132" t="str">
        <f>""</f>
        <v/>
      </c>
      <c r="AE132">
        <v>2022</v>
      </c>
      <c r="AF132">
        <v>2024</v>
      </c>
      <c r="AG132" t="str">
        <f>"Bruz"</f>
        <v>Bruz</v>
      </c>
      <c r="AH132" t="str">
        <f>"Bruz"</f>
        <v>Bruz</v>
      </c>
      <c r="AI132" t="str">
        <f>""</f>
        <v/>
      </c>
      <c r="AJ132" t="str">
        <f>""</f>
        <v/>
      </c>
      <c r="AK132" t="str">
        <f>""</f>
        <v/>
      </c>
      <c r="AL132">
        <v>75</v>
      </c>
      <c r="AM132" t="str">
        <f>""</f>
        <v/>
      </c>
      <c r="AN132" t="str">
        <f>""</f>
        <v/>
      </c>
      <c r="AO132" t="str">
        <f>"Arnaut Daniel"</f>
        <v>Arnaut Daniel</v>
      </c>
      <c r="AP132" t="str">
        <f>"RIBÉRAC"</f>
        <v>RIBÉRAC</v>
      </c>
      <c r="AQ132" t="str">
        <f>"Bordeaux"</f>
        <v>Bordeaux</v>
      </c>
    </row>
    <row r="133" spans="1:43" x14ac:dyDescent="0.25">
      <c r="A133" t="str">
        <f t="shared" si="26"/>
        <v>1A,1A Maths,1A Ing,T00000</v>
      </c>
      <c r="B133" t="str">
        <f>"DEMOUVEAUX"</f>
        <v>DEMOUVEAUX</v>
      </c>
      <c r="C133" t="str">
        <f>"Valentin"</f>
        <v>Valentin</v>
      </c>
      <c r="D133" t="str">
        <f>"024-2759"</f>
        <v>024-2759</v>
      </c>
      <c r="E133" t="str">
        <f>"081320612BH"</f>
        <v>081320612BH</v>
      </c>
      <c r="F133" t="str">
        <f t="shared" si="28"/>
        <v>0352480F</v>
      </c>
      <c r="G133" t="str">
        <f t="shared" si="29"/>
        <v>O</v>
      </c>
      <c r="H133">
        <v>10</v>
      </c>
      <c r="I133">
        <v>2004</v>
      </c>
      <c r="J133">
        <v>1</v>
      </c>
      <c r="K133" t="str">
        <f t="shared" si="30"/>
        <v>NBGE</v>
      </c>
      <c r="L133">
        <v>10</v>
      </c>
      <c r="M133">
        <v>2022</v>
      </c>
      <c r="N133" t="str">
        <f t="shared" si="31"/>
        <v>D</v>
      </c>
      <c r="O133" t="str">
        <f>"A"</f>
        <v>A</v>
      </c>
      <c r="P133">
        <v>0</v>
      </c>
      <c r="Q133">
        <v>100</v>
      </c>
      <c r="R133">
        <v>100</v>
      </c>
      <c r="S133">
        <v>35170</v>
      </c>
      <c r="T133">
        <v>100</v>
      </c>
      <c r="U133">
        <v>35170</v>
      </c>
      <c r="V133" t="str">
        <f>""</f>
        <v/>
      </c>
      <c r="W133">
        <v>38</v>
      </c>
      <c r="X133">
        <v>0</v>
      </c>
      <c r="Y133">
        <v>6000577</v>
      </c>
      <c r="Z133">
        <v>1</v>
      </c>
      <c r="AA133">
        <v>27</v>
      </c>
      <c r="AB133" t="str">
        <f>""</f>
        <v/>
      </c>
      <c r="AC133" t="str">
        <f>""</f>
        <v/>
      </c>
      <c r="AD133" t="str">
        <f>""</f>
        <v/>
      </c>
      <c r="AE133">
        <v>2022</v>
      </c>
      <c r="AF133">
        <v>2024</v>
      </c>
      <c r="AG133" t="str">
        <f>"Bruz"</f>
        <v>Bruz</v>
      </c>
      <c r="AH133" t="str">
        <f>"Bruz"</f>
        <v>Bruz</v>
      </c>
      <c r="AI133" t="str">
        <f>""</f>
        <v/>
      </c>
      <c r="AJ133" t="str">
        <f>""</f>
        <v/>
      </c>
      <c r="AK133" t="str">
        <f>""</f>
        <v/>
      </c>
      <c r="AL133">
        <v>85</v>
      </c>
      <c r="AM133" t="str">
        <f>""</f>
        <v/>
      </c>
      <c r="AN133" t="str">
        <f>""</f>
        <v/>
      </c>
      <c r="AO133" t="str">
        <f>"François Mansart"</f>
        <v>François Mansart</v>
      </c>
      <c r="AP133" t="str">
        <f>"THIZY-LES-BOURGS"</f>
        <v>THIZY-LES-BOURGS</v>
      </c>
      <c r="AQ133" t="str">
        <f>"Lyon"</f>
        <v>Lyon</v>
      </c>
    </row>
    <row r="134" spans="1:43" x14ac:dyDescent="0.25">
      <c r="A134" t="str">
        <f t="shared" si="26"/>
        <v>1A,1A Maths,1A Ing,T00000</v>
      </c>
      <c r="B134" t="str">
        <f>"DERICK"</f>
        <v>DERICK</v>
      </c>
      <c r="C134" t="str">
        <f>"Morgann"</f>
        <v>Morgann</v>
      </c>
      <c r="D134" t="str">
        <f>"024-2737"</f>
        <v>024-2737</v>
      </c>
      <c r="E134" t="str">
        <f>"070248623DJ"</f>
        <v>070248623DJ</v>
      </c>
      <c r="F134" t="str">
        <f t="shared" si="28"/>
        <v>0352480F</v>
      </c>
      <c r="G134" t="str">
        <f t="shared" si="29"/>
        <v>O</v>
      </c>
      <c r="H134">
        <v>10</v>
      </c>
      <c r="I134">
        <v>2004</v>
      </c>
      <c r="J134">
        <v>1</v>
      </c>
      <c r="K134" t="str">
        <f t="shared" si="30"/>
        <v>NBGE</v>
      </c>
      <c r="L134">
        <v>4</v>
      </c>
      <c r="M134">
        <v>2022</v>
      </c>
      <c r="N134" t="str">
        <f t="shared" si="31"/>
        <v>D</v>
      </c>
      <c r="O134" t="str">
        <f t="shared" ref="O134:O139" si="32">"D"</f>
        <v>D</v>
      </c>
      <c r="P134">
        <v>0</v>
      </c>
      <c r="Q134">
        <v>100</v>
      </c>
      <c r="R134">
        <v>100</v>
      </c>
      <c r="S134">
        <v>35136</v>
      </c>
      <c r="T134">
        <v>100</v>
      </c>
      <c r="U134">
        <v>35136</v>
      </c>
      <c r="V134" t="str">
        <f>""</f>
        <v/>
      </c>
      <c r="W134">
        <v>38</v>
      </c>
      <c r="X134">
        <v>0</v>
      </c>
      <c r="Y134">
        <v>6000577</v>
      </c>
      <c r="Z134">
        <v>1</v>
      </c>
      <c r="AA134">
        <v>27</v>
      </c>
      <c r="AB134" t="str">
        <f>""</f>
        <v/>
      </c>
      <c r="AC134" t="str">
        <f>""</f>
        <v/>
      </c>
      <c r="AD134" t="str">
        <f>""</f>
        <v/>
      </c>
      <c r="AE134">
        <v>2022</v>
      </c>
      <c r="AF134">
        <v>2024</v>
      </c>
      <c r="AG134" t="str">
        <f>"Saint Jacques de la Lande"</f>
        <v>Saint Jacques de la Lande</v>
      </c>
      <c r="AH134" t="str">
        <f>"Saint Jacques de la Lande"</f>
        <v>Saint Jacques de la Lande</v>
      </c>
      <c r="AI134" t="str">
        <f>""</f>
        <v/>
      </c>
      <c r="AJ134" t="str">
        <f>""</f>
        <v/>
      </c>
      <c r="AK134" t="str">
        <f>""</f>
        <v/>
      </c>
      <c r="AL134">
        <v>54</v>
      </c>
      <c r="AM134" t="str">
        <f>""</f>
        <v/>
      </c>
      <c r="AN134" t="str">
        <f>""</f>
        <v/>
      </c>
      <c r="AO134" t="str">
        <f>"Michel de Montaigne"</f>
        <v>Michel de Montaigne</v>
      </c>
      <c r="AP134" t="str">
        <f>"BORDEAUX"</f>
        <v>BORDEAUX</v>
      </c>
      <c r="AQ134" t="str">
        <f>"Bordeaux"</f>
        <v>Bordeaux</v>
      </c>
    </row>
    <row r="135" spans="1:43" x14ac:dyDescent="0.25">
      <c r="A135" t="str">
        <f t="shared" si="26"/>
        <v>1A,1A Maths,1A Ing,T00000</v>
      </c>
      <c r="B135" t="str">
        <f>"DIOP"</f>
        <v>DIOP</v>
      </c>
      <c r="C135" t="str">
        <f>"N'doumbé"</f>
        <v>N'doumbé</v>
      </c>
      <c r="D135" t="str">
        <f>"024-2824"</f>
        <v>024-2824</v>
      </c>
      <c r="E135" t="str">
        <f>"070354382AK"</f>
        <v>070354382AK</v>
      </c>
      <c r="F135" t="str">
        <f t="shared" si="28"/>
        <v>0352480F</v>
      </c>
      <c r="G135" t="str">
        <f t="shared" si="29"/>
        <v>O</v>
      </c>
      <c r="H135">
        <v>10</v>
      </c>
      <c r="I135">
        <v>2003</v>
      </c>
      <c r="J135">
        <v>2</v>
      </c>
      <c r="K135" t="str">
        <f t="shared" si="30"/>
        <v>NBGE</v>
      </c>
      <c r="L135">
        <v>25</v>
      </c>
      <c r="M135">
        <v>2021</v>
      </c>
      <c r="N135" t="str">
        <f t="shared" si="31"/>
        <v>D</v>
      </c>
      <c r="O135" t="str">
        <f t="shared" si="32"/>
        <v>D</v>
      </c>
      <c r="P135">
        <v>0</v>
      </c>
      <c r="Q135">
        <v>100</v>
      </c>
      <c r="R135">
        <v>100</v>
      </c>
      <c r="S135">
        <v>91580</v>
      </c>
      <c r="T135">
        <v>100</v>
      </c>
      <c r="U135">
        <v>91580</v>
      </c>
      <c r="V135" t="str">
        <f>""</f>
        <v/>
      </c>
      <c r="W135">
        <v>55</v>
      </c>
      <c r="X135">
        <v>0</v>
      </c>
      <c r="Y135">
        <v>6000577</v>
      </c>
      <c r="Z135">
        <v>1</v>
      </c>
      <c r="AA135">
        <v>27</v>
      </c>
      <c r="AB135" t="str">
        <f>""</f>
        <v/>
      </c>
      <c r="AC135" t="str">
        <f>""</f>
        <v/>
      </c>
      <c r="AD135" t="str">
        <f>""</f>
        <v/>
      </c>
      <c r="AE135">
        <v>2021</v>
      </c>
      <c r="AF135">
        <v>2024</v>
      </c>
      <c r="AG135" t="str">
        <f>"Etréchy"</f>
        <v>Etréchy</v>
      </c>
      <c r="AH135" t="str">
        <f>"Etréchy"</f>
        <v>Etréchy</v>
      </c>
      <c r="AI135" t="str">
        <f>""</f>
        <v/>
      </c>
      <c r="AJ135" t="str">
        <f>""</f>
        <v/>
      </c>
      <c r="AK135" t="str">
        <f>""</f>
        <v/>
      </c>
      <c r="AL135">
        <v>52</v>
      </c>
      <c r="AM135" t="str">
        <f>""</f>
        <v/>
      </c>
      <c r="AN135" t="str">
        <f>""</f>
        <v/>
      </c>
      <c r="AO135" t="str">
        <f>"Geoffroy Saint Hilaire"</f>
        <v>Geoffroy Saint Hilaire</v>
      </c>
      <c r="AP135" t="str">
        <f>"ETAMPES"</f>
        <v>ETAMPES</v>
      </c>
      <c r="AQ135" t="str">
        <f>"Versailles"</f>
        <v>Versailles</v>
      </c>
    </row>
    <row r="136" spans="1:43" x14ac:dyDescent="0.25">
      <c r="A136" t="str">
        <f t="shared" si="26"/>
        <v>1A,1A Maths,1A Ing,T00000</v>
      </c>
      <c r="B136" t="str">
        <f>"DOUZI"</f>
        <v>DOUZI</v>
      </c>
      <c r="C136" t="str">
        <f>"Mohamed"</f>
        <v>Mohamed</v>
      </c>
      <c r="D136" t="str">
        <f>"024-2732"</f>
        <v>024-2732</v>
      </c>
      <c r="E136" t="str">
        <f>"153231925EC"</f>
        <v>153231925EC</v>
      </c>
      <c r="F136" t="str">
        <f t="shared" si="28"/>
        <v>0352480F</v>
      </c>
      <c r="G136" t="str">
        <f t="shared" si="29"/>
        <v>O</v>
      </c>
      <c r="H136">
        <v>10</v>
      </c>
      <c r="I136">
        <v>2005</v>
      </c>
      <c r="J136">
        <v>1</v>
      </c>
      <c r="K136" t="str">
        <f t="shared" si="30"/>
        <v>NBGE</v>
      </c>
      <c r="L136">
        <v>2</v>
      </c>
      <c r="M136">
        <v>2022</v>
      </c>
      <c r="N136" t="str">
        <f t="shared" si="31"/>
        <v>D</v>
      </c>
      <c r="O136" t="str">
        <f t="shared" si="32"/>
        <v>D</v>
      </c>
      <c r="P136">
        <v>0</v>
      </c>
      <c r="Q136">
        <v>100</v>
      </c>
      <c r="R136">
        <v>100</v>
      </c>
      <c r="S136" t="str">
        <f>"Aix-e"</f>
        <v>Aix-e</v>
      </c>
      <c r="T136">
        <v>100</v>
      </c>
      <c r="U136" t="str">
        <f>"Aix-e"</f>
        <v>Aix-e</v>
      </c>
      <c r="V136" t="str">
        <f>""</f>
        <v/>
      </c>
      <c r="W136">
        <v>38</v>
      </c>
      <c r="X136">
        <v>0</v>
      </c>
      <c r="Y136">
        <v>6000577</v>
      </c>
      <c r="Z136">
        <v>1</v>
      </c>
      <c r="AA136">
        <v>27</v>
      </c>
      <c r="AB136" t="str">
        <f>""</f>
        <v/>
      </c>
      <c r="AC136" t="str">
        <f>""</f>
        <v/>
      </c>
      <c r="AD136" t="str">
        <f>""</f>
        <v/>
      </c>
      <c r="AE136">
        <v>2022</v>
      </c>
      <c r="AF136">
        <v>2024</v>
      </c>
      <c r="AG136" t="str">
        <f>"-Provence"</f>
        <v>-Provence</v>
      </c>
      <c r="AH136" t="str">
        <f>"-Provence"</f>
        <v>-Provence</v>
      </c>
      <c r="AI136" t="str">
        <f>""</f>
        <v/>
      </c>
      <c r="AJ136" t="str">
        <f>""</f>
        <v/>
      </c>
      <c r="AK136" t="str">
        <f>""</f>
        <v/>
      </c>
      <c r="AL136">
        <v>85</v>
      </c>
      <c r="AM136" t="str">
        <f>""</f>
        <v/>
      </c>
      <c r="AN136" t="str">
        <f>""</f>
        <v/>
      </c>
      <c r="AO136" t="str">
        <f>"Emile Zola"</f>
        <v>Emile Zola</v>
      </c>
      <c r="AP136" t="str">
        <f>"AIX-EN-PROVENCE"</f>
        <v>AIX-EN-PROVENCE</v>
      </c>
      <c r="AQ136" t="str">
        <f>"Aix-Marseille"</f>
        <v>Aix-Marseille</v>
      </c>
    </row>
    <row r="137" spans="1:43" x14ac:dyDescent="0.25">
      <c r="A137" t="str">
        <f t="shared" si="26"/>
        <v>1A,1A Maths,1A Ing,T00000</v>
      </c>
      <c r="B137" t="str">
        <f>"EL HAMMOUTI"</f>
        <v>EL HAMMOUTI</v>
      </c>
      <c r="C137" t="str">
        <f>"Chahid"</f>
        <v>Chahid</v>
      </c>
      <c r="D137" t="str">
        <f>"024-2738"</f>
        <v>024-2738</v>
      </c>
      <c r="E137" t="str">
        <f>"153240877BE"</f>
        <v>153240877BE</v>
      </c>
      <c r="F137" t="str">
        <f t="shared" si="28"/>
        <v>0352480F</v>
      </c>
      <c r="G137" t="str">
        <f t="shared" si="29"/>
        <v>O</v>
      </c>
      <c r="H137">
        <v>10</v>
      </c>
      <c r="I137">
        <v>2004</v>
      </c>
      <c r="J137">
        <v>1</v>
      </c>
      <c r="K137" t="str">
        <f t="shared" si="30"/>
        <v>NBGE</v>
      </c>
      <c r="L137">
        <v>14</v>
      </c>
      <c r="M137">
        <v>2022</v>
      </c>
      <c r="N137" t="str">
        <f t="shared" si="31"/>
        <v>D</v>
      </c>
      <c r="O137" t="str">
        <f t="shared" si="32"/>
        <v>D</v>
      </c>
      <c r="P137">
        <v>0</v>
      </c>
      <c r="Q137">
        <v>100</v>
      </c>
      <c r="R137">
        <v>100</v>
      </c>
      <c r="S137">
        <v>35200</v>
      </c>
      <c r="T137">
        <v>100</v>
      </c>
      <c r="U137">
        <v>35200</v>
      </c>
      <c r="V137" t="str">
        <f>""</f>
        <v/>
      </c>
      <c r="W137">
        <v>38</v>
      </c>
      <c r="X137">
        <v>0</v>
      </c>
      <c r="Y137">
        <v>6000577</v>
      </c>
      <c r="Z137">
        <v>1</v>
      </c>
      <c r="AA137">
        <v>27</v>
      </c>
      <c r="AB137" t="str">
        <f>""</f>
        <v/>
      </c>
      <c r="AC137" t="str">
        <f>""</f>
        <v/>
      </c>
      <c r="AD137" t="str">
        <f>""</f>
        <v/>
      </c>
      <c r="AE137" t="str">
        <f>""</f>
        <v/>
      </c>
      <c r="AF137">
        <v>2024</v>
      </c>
      <c r="AG137" t="str">
        <f>"Rennes"</f>
        <v>Rennes</v>
      </c>
      <c r="AH137" t="str">
        <f>"Rennes"</f>
        <v>Rennes</v>
      </c>
      <c r="AI137" t="str">
        <f>""</f>
        <v/>
      </c>
      <c r="AJ137" t="str">
        <f>""</f>
        <v/>
      </c>
      <c r="AK137" t="str">
        <f>""</f>
        <v/>
      </c>
      <c r="AL137">
        <v>56</v>
      </c>
      <c r="AM137" t="str">
        <f>""</f>
        <v/>
      </c>
      <c r="AN137" t="str">
        <f>""</f>
        <v/>
      </c>
      <c r="AO137" t="str">
        <f>"Lycée René Descartes"</f>
        <v>Lycée René Descartes</v>
      </c>
      <c r="AP137" t="str">
        <f>"RENNES"</f>
        <v>RENNES</v>
      </c>
      <c r="AQ137" t="str">
        <f>"Rennes"</f>
        <v>Rennes</v>
      </c>
    </row>
    <row r="138" spans="1:43" x14ac:dyDescent="0.25">
      <c r="A138" t="str">
        <f t="shared" si="26"/>
        <v>1A,1A Maths,1A Ing,T00000</v>
      </c>
      <c r="B138" t="str">
        <f>"GARCIA"</f>
        <v>GARCIA</v>
      </c>
      <c r="C138" t="str">
        <f>"Matéo"</f>
        <v>Matéo</v>
      </c>
      <c r="D138" t="str">
        <f>"024-2775"</f>
        <v>024-2775</v>
      </c>
      <c r="E138" t="str">
        <f>"070681843CA"</f>
        <v>070681843CA</v>
      </c>
      <c r="F138" t="str">
        <f t="shared" si="28"/>
        <v>0352480F</v>
      </c>
      <c r="G138" t="str">
        <f t="shared" si="29"/>
        <v>O</v>
      </c>
      <c r="H138">
        <v>10</v>
      </c>
      <c r="I138">
        <v>2004</v>
      </c>
      <c r="J138">
        <v>1</v>
      </c>
      <c r="K138" t="str">
        <f t="shared" si="30"/>
        <v>NBGE</v>
      </c>
      <c r="L138">
        <v>11</v>
      </c>
      <c r="M138">
        <v>2022</v>
      </c>
      <c r="N138" t="str">
        <f t="shared" si="31"/>
        <v>D</v>
      </c>
      <c r="O138" t="str">
        <f t="shared" si="32"/>
        <v>D</v>
      </c>
      <c r="P138">
        <v>0</v>
      </c>
      <c r="Q138">
        <v>100</v>
      </c>
      <c r="R138">
        <v>100</v>
      </c>
      <c r="S138">
        <v>35200</v>
      </c>
      <c r="T138">
        <v>100</v>
      </c>
      <c r="U138">
        <v>35200</v>
      </c>
      <c r="V138" t="str">
        <f>"Complément 2024-2025 : Bourse au mérite 900 EUR"</f>
        <v>Complément 2024-2025 : Bourse au mérite 900 EUR</v>
      </c>
      <c r="W138">
        <v>52</v>
      </c>
      <c r="X138">
        <v>0</v>
      </c>
      <c r="Y138">
        <v>6000577</v>
      </c>
      <c r="Z138">
        <v>1</v>
      </c>
      <c r="AA138">
        <v>27</v>
      </c>
      <c r="AB138" t="str">
        <f>""</f>
        <v/>
      </c>
      <c r="AC138" t="str">
        <f>""</f>
        <v/>
      </c>
      <c r="AD138" t="str">
        <f>""</f>
        <v/>
      </c>
      <c r="AE138">
        <v>2022</v>
      </c>
      <c r="AF138">
        <v>2024</v>
      </c>
      <c r="AG138" t="str">
        <f>""</f>
        <v/>
      </c>
      <c r="AH138" t="str">
        <f>""</f>
        <v/>
      </c>
      <c r="AI138" t="str">
        <f>""</f>
        <v/>
      </c>
      <c r="AJ138" t="str">
        <f>""</f>
        <v/>
      </c>
      <c r="AK138" t="str">
        <f>""</f>
        <v/>
      </c>
      <c r="AL138">
        <v>74</v>
      </c>
      <c r="AM138" t="str">
        <f>""</f>
        <v/>
      </c>
      <c r="AN138" t="str">
        <f>""</f>
        <v/>
      </c>
      <c r="AO138" t="str">
        <f>"Philippe Lamour"</f>
        <v>Philippe Lamour</v>
      </c>
      <c r="AP138" t="str">
        <f>"NÎMES"</f>
        <v>NÎMES</v>
      </c>
      <c r="AQ138" t="str">
        <f>"Montpellier"</f>
        <v>Montpellier</v>
      </c>
    </row>
    <row r="139" spans="1:43" x14ac:dyDescent="0.25">
      <c r="A139" t="str">
        <f t="shared" si="26"/>
        <v>1A,1A Maths,1A Ing,T00000</v>
      </c>
      <c r="B139" t="str">
        <f>"GIRARD"</f>
        <v>GIRARD</v>
      </c>
      <c r="C139" t="str">
        <f>"Robin"</f>
        <v>Robin</v>
      </c>
      <c r="D139" t="str">
        <f>"024-2778"</f>
        <v>024-2778</v>
      </c>
      <c r="E139" t="str">
        <f>"071270705EF"</f>
        <v>071270705EF</v>
      </c>
      <c r="F139" t="str">
        <f t="shared" si="28"/>
        <v>0352480F</v>
      </c>
      <c r="G139" t="str">
        <f t="shared" si="29"/>
        <v>O</v>
      </c>
      <c r="H139">
        <v>10</v>
      </c>
      <c r="I139">
        <v>2003</v>
      </c>
      <c r="J139">
        <v>1</v>
      </c>
      <c r="K139" t="str">
        <f t="shared" si="30"/>
        <v>NBGE</v>
      </c>
      <c r="L139">
        <v>24</v>
      </c>
      <c r="M139">
        <v>2021</v>
      </c>
      <c r="N139" t="str">
        <f t="shared" si="31"/>
        <v>D</v>
      </c>
      <c r="O139" t="str">
        <f t="shared" si="32"/>
        <v>D</v>
      </c>
      <c r="P139">
        <v>0</v>
      </c>
      <c r="Q139">
        <v>100</v>
      </c>
      <c r="R139">
        <v>100</v>
      </c>
      <c r="S139">
        <v>35170</v>
      </c>
      <c r="T139">
        <v>100</v>
      </c>
      <c r="U139">
        <v>35170</v>
      </c>
      <c r="V139" t="str">
        <f>""</f>
        <v/>
      </c>
      <c r="W139">
        <v>33</v>
      </c>
      <c r="X139">
        <v>0</v>
      </c>
      <c r="Y139">
        <v>6000577</v>
      </c>
      <c r="Z139">
        <v>1</v>
      </c>
      <c r="AA139">
        <v>27</v>
      </c>
      <c r="AB139" t="str">
        <f>""</f>
        <v/>
      </c>
      <c r="AC139" t="str">
        <f>""</f>
        <v/>
      </c>
      <c r="AD139" t="str">
        <f>""</f>
        <v/>
      </c>
      <c r="AE139">
        <v>2021</v>
      </c>
      <c r="AF139">
        <v>2024</v>
      </c>
      <c r="AG139" t="str">
        <f>"Bruz"</f>
        <v>Bruz</v>
      </c>
      <c r="AH139" t="str">
        <f>"Bruz"</f>
        <v>Bruz</v>
      </c>
      <c r="AI139" t="str">
        <f>""</f>
        <v/>
      </c>
      <c r="AJ139" t="str">
        <f>""</f>
        <v/>
      </c>
      <c r="AK139" t="str">
        <f>""</f>
        <v/>
      </c>
      <c r="AL139">
        <v>52</v>
      </c>
      <c r="AM139" t="str">
        <f>""</f>
        <v/>
      </c>
      <c r="AN139" t="str">
        <f>""</f>
        <v/>
      </c>
      <c r="AO139" t="str">
        <f>"Albert de Mun"</f>
        <v>Albert de Mun</v>
      </c>
      <c r="AP139" t="str">
        <f>"NOGENT-SUR-MARNE"</f>
        <v>NOGENT-SUR-MARNE</v>
      </c>
      <c r="AQ139" t="str">
        <f>"Créteil"</f>
        <v>Créteil</v>
      </c>
    </row>
    <row r="140" spans="1:43" x14ac:dyDescent="0.25">
      <c r="A140" t="str">
        <f t="shared" si="26"/>
        <v>1A,1A Maths,1A Ing,T00000</v>
      </c>
      <c r="B140" t="str">
        <f>"GONZALEZ GARCIA"</f>
        <v>GONZALEZ GARCIA</v>
      </c>
      <c r="C140" t="str">
        <f>"Lucia"</f>
        <v>Lucia</v>
      </c>
      <c r="D140" t="str">
        <f>"024-2704"</f>
        <v>024-2704</v>
      </c>
      <c r="E140" t="str">
        <f>"233347886GH"</f>
        <v>233347886GH</v>
      </c>
      <c r="F140" t="str">
        <f t="shared" si="28"/>
        <v>0352480F</v>
      </c>
      <c r="G140" t="str">
        <f t="shared" si="29"/>
        <v>O</v>
      </c>
      <c r="H140">
        <v>10</v>
      </c>
      <c r="I140">
        <v>2003</v>
      </c>
      <c r="J140">
        <v>2</v>
      </c>
      <c r="K140" t="str">
        <f>""</f>
        <v/>
      </c>
      <c r="L140" t="str">
        <f>""</f>
        <v/>
      </c>
      <c r="M140" t="str">
        <f>""</f>
        <v/>
      </c>
      <c r="N140" t="str">
        <f>""</f>
        <v/>
      </c>
      <c r="O140" t="str">
        <f>""</f>
        <v/>
      </c>
      <c r="P140">
        <v>0</v>
      </c>
      <c r="Q140">
        <v>134</v>
      </c>
      <c r="R140">
        <v>100</v>
      </c>
      <c r="S140" t="str">
        <f>""</f>
        <v/>
      </c>
      <c r="T140">
        <v>100</v>
      </c>
      <c r="U140" t="str">
        <f>""</f>
        <v/>
      </c>
      <c r="V140" t="str">
        <f>""</f>
        <v/>
      </c>
      <c r="W140">
        <v>0</v>
      </c>
      <c r="X140">
        <v>0</v>
      </c>
      <c r="Y140">
        <v>6000577</v>
      </c>
      <c r="Z140">
        <v>1</v>
      </c>
      <c r="AA140">
        <v>27</v>
      </c>
      <c r="AB140" t="str">
        <f>""</f>
        <v/>
      </c>
      <c r="AC140" t="str">
        <f>""</f>
        <v/>
      </c>
      <c r="AD140" t="str">
        <f>""</f>
        <v/>
      </c>
      <c r="AE140">
        <v>2024</v>
      </c>
      <c r="AF140">
        <v>2024</v>
      </c>
      <c r="AG140" t="str">
        <f>""</f>
        <v/>
      </c>
      <c r="AH140" t="str">
        <f>""</f>
        <v/>
      </c>
      <c r="AI140" t="str">
        <f>""</f>
        <v/>
      </c>
      <c r="AJ140" t="str">
        <f>""</f>
        <v/>
      </c>
      <c r="AK140" t="str">
        <f>""</f>
        <v/>
      </c>
      <c r="AL140">
        <v>0</v>
      </c>
      <c r="AM140" t="str">
        <f>""</f>
        <v/>
      </c>
      <c r="AN140" t="str">
        <f>""</f>
        <v/>
      </c>
      <c r="AO140" t="str">
        <f>""</f>
        <v/>
      </c>
      <c r="AP140" t="str">
        <f>""</f>
        <v/>
      </c>
      <c r="AQ140" t="str">
        <f>""</f>
        <v/>
      </c>
    </row>
    <row r="141" spans="1:43" x14ac:dyDescent="0.25">
      <c r="A141" t="str">
        <f t="shared" si="26"/>
        <v>1A,1A Maths,1A Ing,T00000</v>
      </c>
      <c r="B141" t="str">
        <f>"HODZA"</f>
        <v>HODZA</v>
      </c>
      <c r="C141" t="str">
        <f>"Mahmud"</f>
        <v>Mahmud</v>
      </c>
      <c r="D141" t="str">
        <f>"024-2729"</f>
        <v>024-2729</v>
      </c>
      <c r="E141" t="str">
        <f>"153165323AF"</f>
        <v>153165323AF</v>
      </c>
      <c r="F141" t="str">
        <f t="shared" si="28"/>
        <v>0352480F</v>
      </c>
      <c r="G141" t="str">
        <f t="shared" si="29"/>
        <v>O</v>
      </c>
      <c r="H141">
        <v>10</v>
      </c>
      <c r="I141">
        <v>2004</v>
      </c>
      <c r="J141">
        <v>1</v>
      </c>
      <c r="K141" t="str">
        <f>"NBGE"</f>
        <v>NBGE</v>
      </c>
      <c r="L141">
        <v>12</v>
      </c>
      <c r="M141">
        <v>2022</v>
      </c>
      <c r="N141" t="str">
        <f t="shared" ref="N141:N152" si="33">"D"</f>
        <v>D</v>
      </c>
      <c r="O141" t="str">
        <f>""</f>
        <v/>
      </c>
      <c r="P141">
        <v>0</v>
      </c>
      <c r="Q141">
        <v>100</v>
      </c>
      <c r="R141">
        <v>100</v>
      </c>
      <c r="S141" t="str">
        <f>""</f>
        <v/>
      </c>
      <c r="T141">
        <v>100</v>
      </c>
      <c r="U141" t="str">
        <f>""</f>
        <v/>
      </c>
      <c r="V141" t="str">
        <f>""</f>
        <v/>
      </c>
      <c r="W141">
        <v>63</v>
      </c>
      <c r="X141">
        <v>0</v>
      </c>
      <c r="Y141">
        <v>6000577</v>
      </c>
      <c r="Z141">
        <v>1</v>
      </c>
      <c r="AA141">
        <v>27</v>
      </c>
      <c r="AB141" t="str">
        <f>""</f>
        <v/>
      </c>
      <c r="AC141" t="str">
        <f>""</f>
        <v/>
      </c>
      <c r="AD141" t="str">
        <f>""</f>
        <v/>
      </c>
      <c r="AE141" t="str">
        <f>"2022/2023"</f>
        <v>2022/2023</v>
      </c>
      <c r="AF141">
        <v>2024</v>
      </c>
      <c r="AG141" t="str">
        <f>""</f>
        <v/>
      </c>
      <c r="AH141" t="str">
        <f>""</f>
        <v/>
      </c>
      <c r="AI141" t="str">
        <f>""</f>
        <v/>
      </c>
      <c r="AJ141" t="str">
        <f>""</f>
        <v/>
      </c>
      <c r="AK141" t="str">
        <f>""</f>
        <v/>
      </c>
      <c r="AL141">
        <v>56</v>
      </c>
      <c r="AM141" t="str">
        <f>""</f>
        <v/>
      </c>
      <c r="AN141" t="str">
        <f>""</f>
        <v/>
      </c>
      <c r="AO141" t="str">
        <f>"Lycée Hélène Boucher"</f>
        <v>Lycée Hélène Boucher</v>
      </c>
      <c r="AP141" t="str">
        <f>"THIONVILLE"</f>
        <v>THIONVILLE</v>
      </c>
      <c r="AQ141" t="str">
        <f>"Nancy-Metz"</f>
        <v>Nancy-Metz</v>
      </c>
    </row>
    <row r="142" spans="1:43" x14ac:dyDescent="0.25">
      <c r="A142" t="str">
        <f t="shared" si="26"/>
        <v>1A,1A Maths,1A Ing,T00000</v>
      </c>
      <c r="B142" t="str">
        <f>"ID-BELLA"</f>
        <v>ID-BELLA</v>
      </c>
      <c r="C142" t="str">
        <f>"Sara"</f>
        <v>Sara</v>
      </c>
      <c r="D142" t="str">
        <f>"024-2758"</f>
        <v>024-2758</v>
      </c>
      <c r="E142" t="str">
        <f>"233419724AK"</f>
        <v>233419724AK</v>
      </c>
      <c r="F142" t="str">
        <f t="shared" si="28"/>
        <v>0352480F</v>
      </c>
      <c r="G142" t="str">
        <f t="shared" si="29"/>
        <v>O</v>
      </c>
      <c r="H142">
        <v>10</v>
      </c>
      <c r="I142">
        <v>2004</v>
      </c>
      <c r="J142">
        <v>2</v>
      </c>
      <c r="K142">
        <v>1</v>
      </c>
      <c r="L142">
        <v>0</v>
      </c>
      <c r="M142">
        <v>2022</v>
      </c>
      <c r="N142" t="str">
        <f t="shared" si="33"/>
        <v>D</v>
      </c>
      <c r="O142" t="str">
        <f>"D"</f>
        <v>D</v>
      </c>
      <c r="P142">
        <v>0</v>
      </c>
      <c r="Q142">
        <v>350</v>
      </c>
      <c r="R142">
        <v>100</v>
      </c>
      <c r="S142" t="str">
        <f>""</f>
        <v/>
      </c>
      <c r="T142">
        <v>100</v>
      </c>
      <c r="U142" t="str">
        <f>""</f>
        <v/>
      </c>
      <c r="V142" t="str">
        <f>""</f>
        <v/>
      </c>
      <c r="W142">
        <v>0</v>
      </c>
      <c r="X142">
        <v>0</v>
      </c>
      <c r="Y142">
        <v>6000577</v>
      </c>
      <c r="Z142">
        <v>1</v>
      </c>
      <c r="AA142">
        <v>27</v>
      </c>
      <c r="AB142" t="str">
        <f>""</f>
        <v/>
      </c>
      <c r="AC142" t="str">
        <f>""</f>
        <v/>
      </c>
      <c r="AD142" t="str">
        <f>""</f>
        <v/>
      </c>
      <c r="AE142">
        <v>2024</v>
      </c>
      <c r="AF142">
        <v>2024</v>
      </c>
      <c r="AG142" t="str">
        <f>""</f>
        <v/>
      </c>
      <c r="AH142" t="str">
        <f>""</f>
        <v/>
      </c>
      <c r="AI142" t="str">
        <f>""</f>
        <v/>
      </c>
      <c r="AJ142" t="str">
        <f>""</f>
        <v/>
      </c>
      <c r="AK142" t="str">
        <f>""</f>
        <v/>
      </c>
      <c r="AL142">
        <v>0</v>
      </c>
      <c r="AM142" t="str">
        <f>""</f>
        <v/>
      </c>
      <c r="AN142" t="str">
        <f>""</f>
        <v/>
      </c>
      <c r="AO142" t="str">
        <f>"Alhanane 2"</f>
        <v>Alhanane 2</v>
      </c>
      <c r="AP142" t="str">
        <f>"AGADIR"</f>
        <v>AGADIR</v>
      </c>
      <c r="AQ142" t="str">
        <f>"Etranger"</f>
        <v>Etranger</v>
      </c>
    </row>
    <row r="143" spans="1:43" x14ac:dyDescent="0.25">
      <c r="A143" t="str">
        <f t="shared" si="26"/>
        <v>1A,1A Maths,1A Ing,T00000</v>
      </c>
      <c r="B143" t="str">
        <f>"JEAN"</f>
        <v>JEAN</v>
      </c>
      <c r="C143" t="str">
        <f>"Victor"</f>
        <v>Victor</v>
      </c>
      <c r="D143" t="str">
        <f>"024-2726"</f>
        <v>024-2726</v>
      </c>
      <c r="E143" t="str">
        <f>"070199575AE"</f>
        <v>070199575AE</v>
      </c>
      <c r="F143" t="str">
        <f t="shared" si="28"/>
        <v>0352480F</v>
      </c>
      <c r="G143" t="str">
        <f t="shared" si="29"/>
        <v>O</v>
      </c>
      <c r="H143">
        <v>10</v>
      </c>
      <c r="I143">
        <v>2004</v>
      </c>
      <c r="J143">
        <v>1</v>
      </c>
      <c r="K143" t="str">
        <f>"NBGE"</f>
        <v>NBGE</v>
      </c>
      <c r="L143">
        <v>14</v>
      </c>
      <c r="M143">
        <v>2022</v>
      </c>
      <c r="N143" t="str">
        <f t="shared" si="33"/>
        <v>D</v>
      </c>
      <c r="O143" t="str">
        <f>"A"</f>
        <v>A</v>
      </c>
      <c r="P143">
        <v>0</v>
      </c>
      <c r="Q143">
        <v>100</v>
      </c>
      <c r="R143">
        <v>100</v>
      </c>
      <c r="S143">
        <v>35170</v>
      </c>
      <c r="T143">
        <v>100</v>
      </c>
      <c r="U143">
        <v>35170</v>
      </c>
      <c r="V143" t="str">
        <f>""</f>
        <v/>
      </c>
      <c r="W143">
        <v>37</v>
      </c>
      <c r="X143">
        <v>0</v>
      </c>
      <c r="Y143">
        <v>6000577</v>
      </c>
      <c r="Z143">
        <v>1</v>
      </c>
      <c r="AA143">
        <v>27</v>
      </c>
      <c r="AB143" t="str">
        <f>""</f>
        <v/>
      </c>
      <c r="AC143" t="str">
        <f>""</f>
        <v/>
      </c>
      <c r="AD143" t="str">
        <f>""</f>
        <v/>
      </c>
      <c r="AE143">
        <v>2022</v>
      </c>
      <c r="AF143">
        <v>2024</v>
      </c>
      <c r="AG143" t="str">
        <f t="shared" ref="AG143:AH145" si="34">"Bruz"</f>
        <v>Bruz</v>
      </c>
      <c r="AH143" t="str">
        <f t="shared" si="34"/>
        <v>Bruz</v>
      </c>
      <c r="AI143" t="str">
        <f>""</f>
        <v/>
      </c>
      <c r="AJ143" t="str">
        <f>""</f>
        <v/>
      </c>
      <c r="AK143" t="str">
        <f>""</f>
        <v/>
      </c>
      <c r="AL143">
        <v>37</v>
      </c>
      <c r="AM143" t="str">
        <f>""</f>
        <v/>
      </c>
      <c r="AN143" t="str">
        <f>""</f>
        <v/>
      </c>
      <c r="AO143" t="str">
        <f>"Harteloire"</f>
        <v>Harteloire</v>
      </c>
      <c r="AP143" t="str">
        <f>"BREST"</f>
        <v>BREST</v>
      </c>
      <c r="AQ143" t="str">
        <f>"Rennes"</f>
        <v>Rennes</v>
      </c>
    </row>
    <row r="144" spans="1:43" x14ac:dyDescent="0.25">
      <c r="A144" t="str">
        <f t="shared" si="26"/>
        <v>1A,1A Maths,1A Ing,T00000</v>
      </c>
      <c r="B144" t="str">
        <f>"LE ROY"</f>
        <v>LE ROY</v>
      </c>
      <c r="C144" t="str">
        <f>"Matteo"</f>
        <v>Matteo</v>
      </c>
      <c r="D144" t="str">
        <f>"024-2719"</f>
        <v>024-2719</v>
      </c>
      <c r="E144" t="str">
        <f>"101004527CB"</f>
        <v>101004527CB</v>
      </c>
      <c r="F144" t="str">
        <f t="shared" si="28"/>
        <v>0352480F</v>
      </c>
      <c r="G144" t="str">
        <f t="shared" si="29"/>
        <v>O</v>
      </c>
      <c r="H144">
        <v>10</v>
      </c>
      <c r="I144">
        <v>2004</v>
      </c>
      <c r="J144">
        <v>1</v>
      </c>
      <c r="K144" t="str">
        <f>""</f>
        <v/>
      </c>
      <c r="L144">
        <v>22</v>
      </c>
      <c r="M144">
        <v>2022</v>
      </c>
      <c r="N144" t="str">
        <f t="shared" si="33"/>
        <v>D</v>
      </c>
      <c r="O144" t="str">
        <f t="shared" ref="O144:O150" si="35">"D"</f>
        <v>D</v>
      </c>
      <c r="P144">
        <v>0</v>
      </c>
      <c r="Q144">
        <v>100</v>
      </c>
      <c r="R144">
        <v>100</v>
      </c>
      <c r="S144">
        <v>35170</v>
      </c>
      <c r="T144">
        <v>100</v>
      </c>
      <c r="U144">
        <v>35170</v>
      </c>
      <c r="V144" t="str">
        <f>""</f>
        <v/>
      </c>
      <c r="W144">
        <v>37</v>
      </c>
      <c r="X144">
        <v>0</v>
      </c>
      <c r="Y144">
        <v>6000577</v>
      </c>
      <c r="Z144">
        <v>1</v>
      </c>
      <c r="AA144">
        <v>27</v>
      </c>
      <c r="AB144" t="str">
        <f>""</f>
        <v/>
      </c>
      <c r="AC144" t="str">
        <f>""</f>
        <v/>
      </c>
      <c r="AD144" t="str">
        <f>""</f>
        <v/>
      </c>
      <c r="AE144">
        <v>2022</v>
      </c>
      <c r="AF144">
        <v>2024</v>
      </c>
      <c r="AG144" t="str">
        <f t="shared" si="34"/>
        <v>Bruz</v>
      </c>
      <c r="AH144" t="str">
        <f t="shared" si="34"/>
        <v>Bruz</v>
      </c>
      <c r="AI144" t="str">
        <f>""</f>
        <v/>
      </c>
      <c r="AJ144" t="str">
        <f>""</f>
        <v/>
      </c>
      <c r="AK144" t="str">
        <f>""</f>
        <v/>
      </c>
      <c r="AL144">
        <v>85</v>
      </c>
      <c r="AM144" t="str">
        <f>""</f>
        <v/>
      </c>
      <c r="AN144" t="str">
        <f>""</f>
        <v/>
      </c>
      <c r="AO144" t="str">
        <f>"Jean Giraudoux"</f>
        <v>Jean Giraudoux</v>
      </c>
      <c r="AP144" t="str">
        <f>"BELLAC"</f>
        <v>BELLAC</v>
      </c>
      <c r="AQ144" t="str">
        <f>"Limoges"</f>
        <v>Limoges</v>
      </c>
    </row>
    <row r="145" spans="1:43" x14ac:dyDescent="0.25">
      <c r="A145" t="str">
        <f t="shared" si="26"/>
        <v>1A,1A Maths,1A Ing,T00000</v>
      </c>
      <c r="B145" t="str">
        <f>"MARTINEZ-GUTMANN"</f>
        <v>MARTINEZ-GUTMANN</v>
      </c>
      <c r="C145" t="str">
        <f>"Ilona"</f>
        <v>Ilona</v>
      </c>
      <c r="D145" t="str">
        <f>"024-2780"</f>
        <v>024-2780</v>
      </c>
      <c r="E145" t="str">
        <f>"070404679FF"</f>
        <v>070404679FF</v>
      </c>
      <c r="F145" t="str">
        <f t="shared" si="28"/>
        <v>0352480F</v>
      </c>
      <c r="G145" t="str">
        <f t="shared" si="29"/>
        <v>O</v>
      </c>
      <c r="H145">
        <v>10</v>
      </c>
      <c r="I145">
        <v>2004</v>
      </c>
      <c r="J145">
        <v>2</v>
      </c>
      <c r="K145" t="str">
        <f>"NBGE"</f>
        <v>NBGE</v>
      </c>
      <c r="L145">
        <v>2</v>
      </c>
      <c r="M145">
        <v>2022</v>
      </c>
      <c r="N145" t="str">
        <f t="shared" si="33"/>
        <v>D</v>
      </c>
      <c r="O145" t="str">
        <f t="shared" si="35"/>
        <v>D</v>
      </c>
      <c r="P145">
        <v>0</v>
      </c>
      <c r="Q145">
        <v>100</v>
      </c>
      <c r="R145">
        <v>100</v>
      </c>
      <c r="S145">
        <v>35170</v>
      </c>
      <c r="T145">
        <v>100</v>
      </c>
      <c r="U145">
        <v>35170</v>
      </c>
      <c r="V145" t="str">
        <f>""</f>
        <v/>
      </c>
      <c r="W145">
        <v>21</v>
      </c>
      <c r="X145">
        <v>0</v>
      </c>
      <c r="Y145">
        <v>6000577</v>
      </c>
      <c r="Z145">
        <v>1</v>
      </c>
      <c r="AA145">
        <v>27</v>
      </c>
      <c r="AB145" t="str">
        <f>""</f>
        <v/>
      </c>
      <c r="AC145" t="str">
        <f>""</f>
        <v/>
      </c>
      <c r="AD145" t="str">
        <f>""</f>
        <v/>
      </c>
      <c r="AE145">
        <v>2022</v>
      </c>
      <c r="AF145">
        <v>2024</v>
      </c>
      <c r="AG145" t="str">
        <f t="shared" si="34"/>
        <v>Bruz</v>
      </c>
      <c r="AH145" t="str">
        <f t="shared" si="34"/>
        <v>Bruz</v>
      </c>
      <c r="AI145" t="str">
        <f>""</f>
        <v/>
      </c>
      <c r="AJ145" t="str">
        <f>""</f>
        <v/>
      </c>
      <c r="AK145" t="str">
        <f>""</f>
        <v/>
      </c>
      <c r="AL145">
        <v>37</v>
      </c>
      <c r="AM145" t="str">
        <f>""</f>
        <v/>
      </c>
      <c r="AN145" t="str">
        <f>""</f>
        <v/>
      </c>
      <c r="AO145" t="str">
        <f>"Lucie Aubrac"</f>
        <v>Lucie Aubrac</v>
      </c>
      <c r="AP145" t="str">
        <f>"BOLLÈNE"</f>
        <v>BOLLÈNE</v>
      </c>
      <c r="AQ145" t="str">
        <f>"Aix-Marseille"</f>
        <v>Aix-Marseille</v>
      </c>
    </row>
    <row r="146" spans="1:43" x14ac:dyDescent="0.25">
      <c r="A146" t="str">
        <f t="shared" si="26"/>
        <v>1A,1A Maths,1A Ing,T00000</v>
      </c>
      <c r="B146" t="str">
        <f>"MELAOUHIA"</f>
        <v>MELAOUHIA</v>
      </c>
      <c r="C146" t="str">
        <f>"Rayan"</f>
        <v>Rayan</v>
      </c>
      <c r="D146" t="str">
        <f>"024-2818"</f>
        <v>024-2818</v>
      </c>
      <c r="E146" t="str">
        <f>"213330537BB"</f>
        <v>213330537BB</v>
      </c>
      <c r="F146" t="str">
        <f t="shared" si="28"/>
        <v>0352480F</v>
      </c>
      <c r="G146" t="str">
        <f t="shared" si="29"/>
        <v>O</v>
      </c>
      <c r="H146">
        <v>10</v>
      </c>
      <c r="I146">
        <v>2004</v>
      </c>
      <c r="J146">
        <v>1</v>
      </c>
      <c r="K146" t="str">
        <f>"C"</f>
        <v>C</v>
      </c>
      <c r="L146">
        <v>0</v>
      </c>
      <c r="M146">
        <v>2022</v>
      </c>
      <c r="N146" t="str">
        <f t="shared" si="33"/>
        <v>D</v>
      </c>
      <c r="O146" t="str">
        <f t="shared" si="35"/>
        <v>D</v>
      </c>
      <c r="P146">
        <v>0</v>
      </c>
      <c r="Q146">
        <v>351</v>
      </c>
      <c r="R146">
        <v>100</v>
      </c>
      <c r="S146">
        <v>35000</v>
      </c>
      <c r="T146">
        <v>100</v>
      </c>
      <c r="U146">
        <v>35000</v>
      </c>
      <c r="V146" t="str">
        <f>""</f>
        <v/>
      </c>
      <c r="W146">
        <v>37</v>
      </c>
      <c r="X146">
        <v>0</v>
      </c>
      <c r="Y146">
        <v>6000577</v>
      </c>
      <c r="Z146">
        <v>1</v>
      </c>
      <c r="AA146">
        <v>27</v>
      </c>
      <c r="AB146" t="str">
        <f>""</f>
        <v/>
      </c>
      <c r="AC146" t="str">
        <f>""</f>
        <v/>
      </c>
      <c r="AD146" t="str">
        <f>""</f>
        <v/>
      </c>
      <c r="AE146">
        <v>2024</v>
      </c>
      <c r="AF146">
        <v>2024</v>
      </c>
      <c r="AG146" t="str">
        <f>"Rennes"</f>
        <v>Rennes</v>
      </c>
      <c r="AH146" t="str">
        <f>"Rennes"</f>
        <v>Rennes</v>
      </c>
      <c r="AI146" t="str">
        <f>""</f>
        <v/>
      </c>
      <c r="AJ146" t="str">
        <f>""</f>
        <v/>
      </c>
      <c r="AK146" t="str">
        <f>""</f>
        <v/>
      </c>
      <c r="AL146">
        <v>33</v>
      </c>
      <c r="AM146" t="str">
        <f>""</f>
        <v/>
      </c>
      <c r="AN146" t="str">
        <f>""</f>
        <v/>
      </c>
      <c r="AO146" t="str">
        <f>"Lycée pilote de l'Ariana"</f>
        <v>Lycée pilote de l'Ariana</v>
      </c>
      <c r="AP146" t="str">
        <f>"ARIANA"</f>
        <v>ARIANA</v>
      </c>
      <c r="AQ146" t="str">
        <f>"Etranger"</f>
        <v>Etranger</v>
      </c>
    </row>
    <row r="147" spans="1:43" x14ac:dyDescent="0.25">
      <c r="A147" t="str">
        <f t="shared" si="26"/>
        <v>1A,1A Maths,1A Ing,T00000</v>
      </c>
      <c r="B147" t="str">
        <f>"MEROT"</f>
        <v>MEROT</v>
      </c>
      <c r="C147" t="str">
        <f>"Eliott"</f>
        <v>Eliott</v>
      </c>
      <c r="D147" t="str">
        <f>"024-2761"</f>
        <v>024-2761</v>
      </c>
      <c r="E147" t="str">
        <f>"153193400FJ"</f>
        <v>153193400FJ</v>
      </c>
      <c r="F147" t="str">
        <f t="shared" si="28"/>
        <v>0352480F</v>
      </c>
      <c r="G147" t="str">
        <f t="shared" si="29"/>
        <v>O</v>
      </c>
      <c r="H147">
        <v>10</v>
      </c>
      <c r="I147">
        <v>2007</v>
      </c>
      <c r="J147">
        <v>1</v>
      </c>
      <c r="K147" t="str">
        <f t="shared" ref="K147:K161" si="36">"NBGE"</f>
        <v>NBGE</v>
      </c>
      <c r="L147">
        <v>17</v>
      </c>
      <c r="M147">
        <v>2022</v>
      </c>
      <c r="N147" t="str">
        <f t="shared" si="33"/>
        <v>D</v>
      </c>
      <c r="O147" t="str">
        <f t="shared" si="35"/>
        <v>D</v>
      </c>
      <c r="P147">
        <v>0</v>
      </c>
      <c r="Q147">
        <v>100</v>
      </c>
      <c r="R147">
        <v>100</v>
      </c>
      <c r="S147">
        <v>72300</v>
      </c>
      <c r="T147">
        <v>100</v>
      </c>
      <c r="U147">
        <v>72300</v>
      </c>
      <c r="V147" t="str">
        <f>""</f>
        <v/>
      </c>
      <c r="W147">
        <v>67</v>
      </c>
      <c r="X147">
        <v>0</v>
      </c>
      <c r="Y147">
        <v>6000577</v>
      </c>
      <c r="Z147">
        <v>1</v>
      </c>
      <c r="AA147">
        <v>27</v>
      </c>
      <c r="AB147" t="str">
        <f>""</f>
        <v/>
      </c>
      <c r="AC147" t="str">
        <f>""</f>
        <v/>
      </c>
      <c r="AD147" t="str">
        <f>""</f>
        <v/>
      </c>
      <c r="AE147">
        <v>2022</v>
      </c>
      <c r="AF147">
        <v>2024</v>
      </c>
      <c r="AG147" t="str">
        <f>"Juigné sur Sarthe"</f>
        <v>Juigné sur Sarthe</v>
      </c>
      <c r="AH147" t="str">
        <f>"Juigné sur Sarthe"</f>
        <v>Juigné sur Sarthe</v>
      </c>
      <c r="AI147" t="str">
        <f>""</f>
        <v/>
      </c>
      <c r="AJ147" t="str">
        <f>""</f>
        <v/>
      </c>
      <c r="AK147" t="str">
        <f>""</f>
        <v/>
      </c>
      <c r="AL147">
        <v>48</v>
      </c>
      <c r="AM147" t="str">
        <f>""</f>
        <v/>
      </c>
      <c r="AN147" t="str">
        <f>""</f>
        <v/>
      </c>
      <c r="AO147" t="str">
        <f>"Lycée polyvalent Sainte-Anne de Sablé-sur-Sarthe"</f>
        <v>Lycée polyvalent Sainte-Anne de Sablé-sur-Sarthe</v>
      </c>
      <c r="AP147" t="str">
        <f>"SABLÉ-SUR-SARTHE"</f>
        <v>SABLÉ-SUR-SARTHE</v>
      </c>
      <c r="AQ147" t="str">
        <f>"Nantes"</f>
        <v>Nantes</v>
      </c>
    </row>
    <row r="148" spans="1:43" x14ac:dyDescent="0.25">
      <c r="A148" t="str">
        <f t="shared" si="26"/>
        <v>1A,1A Maths,1A Ing,T00000</v>
      </c>
      <c r="B148" t="str">
        <f>"MINOC"</f>
        <v>MINOC</v>
      </c>
      <c r="C148" t="str">
        <f>"Ivann"</f>
        <v>Ivann</v>
      </c>
      <c r="D148" t="str">
        <f>"024-2751"</f>
        <v>024-2751</v>
      </c>
      <c r="E148" t="str">
        <f>"070557950EE"</f>
        <v>070557950EE</v>
      </c>
      <c r="F148" t="str">
        <f t="shared" si="28"/>
        <v>0352480F</v>
      </c>
      <c r="G148" t="str">
        <f t="shared" si="29"/>
        <v>O</v>
      </c>
      <c r="H148">
        <v>10</v>
      </c>
      <c r="I148">
        <v>2004</v>
      </c>
      <c r="J148">
        <v>1</v>
      </c>
      <c r="K148" t="str">
        <f t="shared" si="36"/>
        <v>NBGE</v>
      </c>
      <c r="L148">
        <v>25</v>
      </c>
      <c r="M148">
        <v>2022</v>
      </c>
      <c r="N148" t="str">
        <f t="shared" si="33"/>
        <v>D</v>
      </c>
      <c r="O148" t="str">
        <f t="shared" si="35"/>
        <v>D</v>
      </c>
      <c r="P148">
        <v>0</v>
      </c>
      <c r="Q148">
        <v>100</v>
      </c>
      <c r="R148">
        <v>100</v>
      </c>
      <c r="S148">
        <v>35170</v>
      </c>
      <c r="T148">
        <v>100</v>
      </c>
      <c r="U148">
        <v>35170</v>
      </c>
      <c r="V148" t="str">
        <f>""</f>
        <v/>
      </c>
      <c r="W148">
        <v>43</v>
      </c>
      <c r="X148">
        <v>0</v>
      </c>
      <c r="Y148">
        <v>6000577</v>
      </c>
      <c r="Z148">
        <v>1</v>
      </c>
      <c r="AA148">
        <v>27</v>
      </c>
      <c r="AB148" t="str">
        <f>""</f>
        <v/>
      </c>
      <c r="AC148" t="str">
        <f>""</f>
        <v/>
      </c>
      <c r="AD148" t="str">
        <f>""</f>
        <v/>
      </c>
      <c r="AE148">
        <v>2022</v>
      </c>
      <c r="AF148">
        <v>2024</v>
      </c>
      <c r="AG148" t="str">
        <f t="shared" ref="AG148:AH150" si="37">"Bruz"</f>
        <v>Bruz</v>
      </c>
      <c r="AH148" t="str">
        <f t="shared" si="37"/>
        <v>Bruz</v>
      </c>
      <c r="AI148" t="str">
        <f>""</f>
        <v/>
      </c>
      <c r="AJ148" t="str">
        <f>""</f>
        <v/>
      </c>
      <c r="AK148" t="str">
        <f>""</f>
        <v/>
      </c>
      <c r="AL148">
        <v>43</v>
      </c>
      <c r="AM148" t="str">
        <f>""</f>
        <v/>
      </c>
      <c r="AN148" t="str">
        <f>""</f>
        <v/>
      </c>
      <c r="AO148" t="str">
        <f>"Alexandre Dumas"</f>
        <v>Alexandre Dumas</v>
      </c>
      <c r="AP148" t="str">
        <f>"SAINT-CLOUD"</f>
        <v>SAINT-CLOUD</v>
      </c>
      <c r="AQ148" t="str">
        <f>"Versailles"</f>
        <v>Versailles</v>
      </c>
    </row>
    <row r="149" spans="1:43" x14ac:dyDescent="0.25">
      <c r="A149" t="str">
        <f t="shared" si="26"/>
        <v>1A,1A Maths,1A Ing,T00000</v>
      </c>
      <c r="B149" t="str">
        <f>"NEJI"</f>
        <v>NEJI</v>
      </c>
      <c r="C149" t="str">
        <f>"Mehdi"</f>
        <v>Mehdi</v>
      </c>
      <c r="D149" t="str">
        <f>"024-2784"</f>
        <v>024-2784</v>
      </c>
      <c r="E149" t="str">
        <f>"213277501JF"</f>
        <v>213277501JF</v>
      </c>
      <c r="F149" t="str">
        <f t="shared" si="28"/>
        <v>0352480F</v>
      </c>
      <c r="G149" t="str">
        <f t="shared" si="29"/>
        <v>O</v>
      </c>
      <c r="H149">
        <v>10</v>
      </c>
      <c r="I149">
        <v>2005</v>
      </c>
      <c r="J149">
        <v>1</v>
      </c>
      <c r="K149" t="str">
        <f t="shared" si="36"/>
        <v>NBGE</v>
      </c>
      <c r="L149">
        <v>0</v>
      </c>
      <c r="M149">
        <v>2022</v>
      </c>
      <c r="N149" t="str">
        <f t="shared" si="33"/>
        <v>D</v>
      </c>
      <c r="O149" t="str">
        <f t="shared" si="35"/>
        <v>D</v>
      </c>
      <c r="P149">
        <v>0</v>
      </c>
      <c r="Q149">
        <v>351</v>
      </c>
      <c r="R149">
        <v>100</v>
      </c>
      <c r="S149">
        <v>35170</v>
      </c>
      <c r="T149">
        <v>100</v>
      </c>
      <c r="U149">
        <v>35170</v>
      </c>
      <c r="V149" t="str">
        <f>""</f>
        <v/>
      </c>
      <c r="W149">
        <v>74</v>
      </c>
      <c r="X149">
        <v>0</v>
      </c>
      <c r="Y149">
        <v>6000577</v>
      </c>
      <c r="Z149">
        <v>1</v>
      </c>
      <c r="AA149">
        <v>27</v>
      </c>
      <c r="AB149" t="str">
        <f>""</f>
        <v/>
      </c>
      <c r="AC149" t="str">
        <f>""</f>
        <v/>
      </c>
      <c r="AD149" t="str">
        <f>""</f>
        <v/>
      </c>
      <c r="AE149">
        <v>2024</v>
      </c>
      <c r="AF149">
        <v>2024</v>
      </c>
      <c r="AG149" t="str">
        <f t="shared" si="37"/>
        <v>Bruz</v>
      </c>
      <c r="AH149" t="str">
        <f t="shared" si="37"/>
        <v>Bruz</v>
      </c>
      <c r="AI149" t="str">
        <f>""</f>
        <v/>
      </c>
      <c r="AJ149" t="str">
        <f>""</f>
        <v/>
      </c>
      <c r="AK149" t="str">
        <f>""</f>
        <v/>
      </c>
      <c r="AL149">
        <v>74</v>
      </c>
      <c r="AM149" t="str">
        <f>""</f>
        <v/>
      </c>
      <c r="AN149" t="str">
        <f>""</f>
        <v/>
      </c>
      <c r="AO149" t="str">
        <f>""</f>
        <v/>
      </c>
      <c r="AP149" t="str">
        <f>""</f>
        <v/>
      </c>
      <c r="AQ149" t="str">
        <f>"Etranger"</f>
        <v>Etranger</v>
      </c>
    </row>
    <row r="150" spans="1:43" x14ac:dyDescent="0.25">
      <c r="A150" t="str">
        <f t="shared" si="26"/>
        <v>1A,1A Maths,1A Ing,T00000</v>
      </c>
      <c r="B150" t="str">
        <f>"ROUX"</f>
        <v>ROUX</v>
      </c>
      <c r="C150" t="str">
        <f>"Louis"</f>
        <v>Louis</v>
      </c>
      <c r="D150" t="str">
        <f>"024-2739"</f>
        <v>024-2739</v>
      </c>
      <c r="E150" t="str">
        <f>"153285090DD"</f>
        <v>153285090DD</v>
      </c>
      <c r="F150" t="str">
        <f t="shared" si="28"/>
        <v>0352480F</v>
      </c>
      <c r="G150" t="str">
        <f t="shared" si="29"/>
        <v>O</v>
      </c>
      <c r="H150">
        <v>10</v>
      </c>
      <c r="I150">
        <v>2005</v>
      </c>
      <c r="J150">
        <v>1</v>
      </c>
      <c r="K150" t="str">
        <f t="shared" si="36"/>
        <v>NBGE</v>
      </c>
      <c r="L150">
        <v>2</v>
      </c>
      <c r="M150">
        <v>2022</v>
      </c>
      <c r="N150" t="str">
        <f t="shared" si="33"/>
        <v>D</v>
      </c>
      <c r="O150" t="str">
        <f t="shared" si="35"/>
        <v>D</v>
      </c>
      <c r="P150">
        <v>0</v>
      </c>
      <c r="Q150">
        <v>100</v>
      </c>
      <c r="R150">
        <v>100</v>
      </c>
      <c r="S150">
        <v>35170</v>
      </c>
      <c r="T150">
        <v>100</v>
      </c>
      <c r="U150">
        <v>35170</v>
      </c>
      <c r="V150" t="str">
        <f>"2024-2025 : Bourse au mérite GENES : 900 EUR"</f>
        <v>2024-2025 : Bourse au mérite GENES : 900 EUR</v>
      </c>
      <c r="W150">
        <v>55</v>
      </c>
      <c r="X150">
        <v>0</v>
      </c>
      <c r="Y150">
        <v>6000577</v>
      </c>
      <c r="Z150">
        <v>1</v>
      </c>
      <c r="AA150">
        <v>27</v>
      </c>
      <c r="AB150" t="str">
        <f>""</f>
        <v/>
      </c>
      <c r="AC150" t="str">
        <f>""</f>
        <v/>
      </c>
      <c r="AD150" t="str">
        <f>""</f>
        <v/>
      </c>
      <c r="AE150">
        <v>2022</v>
      </c>
      <c r="AF150">
        <v>2024</v>
      </c>
      <c r="AG150" t="str">
        <f t="shared" si="37"/>
        <v>Bruz</v>
      </c>
      <c r="AH150" t="str">
        <f t="shared" si="37"/>
        <v>Bruz</v>
      </c>
      <c r="AI150" t="str">
        <f>""</f>
        <v/>
      </c>
      <c r="AJ150" t="str">
        <f>""</f>
        <v/>
      </c>
      <c r="AK150" t="str">
        <f>""</f>
        <v/>
      </c>
      <c r="AL150">
        <v>55</v>
      </c>
      <c r="AM150" t="str">
        <f>""</f>
        <v/>
      </c>
      <c r="AN150" t="str">
        <f>""</f>
        <v/>
      </c>
      <c r="AO150" t="str">
        <f>"Lycée Joliot-Curie"</f>
        <v>Lycée Joliot-Curie</v>
      </c>
      <c r="AP150" t="str">
        <f>"AUBAGNE"</f>
        <v>AUBAGNE</v>
      </c>
      <c r="AQ150" t="str">
        <f>"Aix-Marseille"</f>
        <v>Aix-Marseille</v>
      </c>
    </row>
    <row r="151" spans="1:43" x14ac:dyDescent="0.25">
      <c r="A151" t="str">
        <f t="shared" si="26"/>
        <v>1A,1A Maths,1A Ing,T00000</v>
      </c>
      <c r="B151" t="str">
        <f>"RUSTENHOLZ"</f>
        <v>RUSTENHOLZ</v>
      </c>
      <c r="C151" t="str">
        <f>"Antoine"</f>
        <v>Antoine</v>
      </c>
      <c r="D151" t="str">
        <f>"024-2750"</f>
        <v>024-2750</v>
      </c>
      <c r="E151" t="str">
        <f>"070543813BK"</f>
        <v>070543813BK</v>
      </c>
      <c r="F151" t="str">
        <f t="shared" si="28"/>
        <v>0352480F</v>
      </c>
      <c r="G151" t="str">
        <f t="shared" si="29"/>
        <v>O</v>
      </c>
      <c r="H151">
        <v>10</v>
      </c>
      <c r="I151">
        <v>2003</v>
      </c>
      <c r="J151">
        <v>1</v>
      </c>
      <c r="K151" t="str">
        <f t="shared" si="36"/>
        <v>NBGE</v>
      </c>
      <c r="L151">
        <v>19</v>
      </c>
      <c r="M151">
        <v>2021</v>
      </c>
      <c r="N151" t="str">
        <f t="shared" si="33"/>
        <v>D</v>
      </c>
      <c r="O151" t="str">
        <f>"A"</f>
        <v>A</v>
      </c>
      <c r="P151">
        <v>0</v>
      </c>
      <c r="Q151">
        <v>100</v>
      </c>
      <c r="R151">
        <v>100</v>
      </c>
      <c r="S151">
        <v>35000</v>
      </c>
      <c r="T151">
        <v>100</v>
      </c>
      <c r="U151">
        <v>35000</v>
      </c>
      <c r="V151" t="str">
        <f>""</f>
        <v/>
      </c>
      <c r="W151">
        <v>75</v>
      </c>
      <c r="X151">
        <v>0</v>
      </c>
      <c r="Y151">
        <v>6000577</v>
      </c>
      <c r="Z151">
        <v>1</v>
      </c>
      <c r="AA151">
        <v>27</v>
      </c>
      <c r="AB151" t="str">
        <f>""</f>
        <v/>
      </c>
      <c r="AC151" t="str">
        <f>""</f>
        <v/>
      </c>
      <c r="AD151" t="str">
        <f>""</f>
        <v/>
      </c>
      <c r="AE151">
        <v>2021</v>
      </c>
      <c r="AF151">
        <v>2024</v>
      </c>
      <c r="AG151" t="str">
        <f>"Rennes"</f>
        <v>Rennes</v>
      </c>
      <c r="AH151" t="str">
        <f>"Rennes"</f>
        <v>Rennes</v>
      </c>
      <c r="AI151" t="str">
        <f>""</f>
        <v/>
      </c>
      <c r="AJ151" t="str">
        <f>""</f>
        <v/>
      </c>
      <c r="AK151" t="str">
        <f>""</f>
        <v/>
      </c>
      <c r="AL151">
        <v>75</v>
      </c>
      <c r="AM151" t="str">
        <f>""</f>
        <v/>
      </c>
      <c r="AN151" t="str">
        <f>""</f>
        <v/>
      </c>
      <c r="AO151" t="str">
        <f>"Lycée Clémenceau"</f>
        <v>Lycée Clémenceau</v>
      </c>
      <c r="AP151" t="str">
        <f>"REIMS"</f>
        <v>REIMS</v>
      </c>
      <c r="AQ151" t="str">
        <f>"Reims"</f>
        <v>Reims</v>
      </c>
    </row>
    <row r="152" spans="1:43" x14ac:dyDescent="0.25">
      <c r="A152" t="str">
        <f t="shared" si="26"/>
        <v>1A,1A Maths,1A Ing,T00000</v>
      </c>
      <c r="B152" t="str">
        <f>"SERVANT"</f>
        <v>SERVANT</v>
      </c>
      <c r="C152" t="str">
        <f>"Lucas"</f>
        <v>Lucas</v>
      </c>
      <c r="D152" t="str">
        <f>"024-2734"</f>
        <v>024-2734</v>
      </c>
      <c r="E152" t="str">
        <f>"071149100BC"</f>
        <v>071149100BC</v>
      </c>
      <c r="F152" t="str">
        <f t="shared" si="28"/>
        <v>0352480F</v>
      </c>
      <c r="G152" t="str">
        <f t="shared" si="29"/>
        <v>O</v>
      </c>
      <c r="H152">
        <v>10</v>
      </c>
      <c r="I152">
        <v>2004</v>
      </c>
      <c r="J152">
        <v>1</v>
      </c>
      <c r="K152" t="str">
        <f t="shared" si="36"/>
        <v>NBGE</v>
      </c>
      <c r="L152">
        <v>4</v>
      </c>
      <c r="M152">
        <v>2022</v>
      </c>
      <c r="N152" t="str">
        <f t="shared" si="33"/>
        <v>D</v>
      </c>
      <c r="O152" t="str">
        <f>"D"</f>
        <v>D</v>
      </c>
      <c r="P152">
        <v>0</v>
      </c>
      <c r="Q152">
        <v>100</v>
      </c>
      <c r="R152">
        <v>100</v>
      </c>
      <c r="S152">
        <v>35170</v>
      </c>
      <c r="T152">
        <v>100</v>
      </c>
      <c r="U152">
        <v>35170</v>
      </c>
      <c r="V152" t="str">
        <f>""</f>
        <v/>
      </c>
      <c r="W152">
        <v>52</v>
      </c>
      <c r="X152">
        <v>0</v>
      </c>
      <c r="Y152">
        <v>6000577</v>
      </c>
      <c r="Z152">
        <v>1</v>
      </c>
      <c r="AA152">
        <v>27</v>
      </c>
      <c r="AB152" t="str">
        <f>""</f>
        <v/>
      </c>
      <c r="AC152" t="str">
        <f>""</f>
        <v/>
      </c>
      <c r="AD152" t="str">
        <f>""</f>
        <v/>
      </c>
      <c r="AE152">
        <v>2022</v>
      </c>
      <c r="AF152">
        <v>2024</v>
      </c>
      <c r="AG152" t="str">
        <f>"Bruz"</f>
        <v>Bruz</v>
      </c>
      <c r="AH152" t="str">
        <f>"Bruz"</f>
        <v>Bruz</v>
      </c>
      <c r="AI152" t="str">
        <f>""</f>
        <v/>
      </c>
      <c r="AJ152" t="str">
        <f>""</f>
        <v/>
      </c>
      <c r="AK152" t="str">
        <f>""</f>
        <v/>
      </c>
      <c r="AL152">
        <v>34</v>
      </c>
      <c r="AM152" t="str">
        <f>""</f>
        <v/>
      </c>
      <c r="AN152" t="str">
        <f>""</f>
        <v/>
      </c>
      <c r="AO152" t="str">
        <f>"LYCEE MAX LINDER"</f>
        <v>LYCEE MAX LINDER</v>
      </c>
      <c r="AP152" t="str">
        <f>"LIBOURNE"</f>
        <v>LIBOURNE</v>
      </c>
      <c r="AQ152" t="str">
        <f>"Bordeaux"</f>
        <v>Bordeaux</v>
      </c>
    </row>
    <row r="153" spans="1:43" x14ac:dyDescent="0.25">
      <c r="A153" t="str">
        <f t="shared" si="26"/>
        <v>1A,1A Maths,1A Ing,T00000</v>
      </c>
      <c r="B153" t="str">
        <f>"VERGUET"</f>
        <v>VERGUET</v>
      </c>
      <c r="C153" t="str">
        <f>"Mathis"</f>
        <v>Mathis</v>
      </c>
      <c r="D153" t="str">
        <f>"024-2747"</f>
        <v>024-2747</v>
      </c>
      <c r="E153" t="str">
        <f>"071245813AJ"</f>
        <v>071245813AJ</v>
      </c>
      <c r="F153" t="str">
        <f t="shared" si="28"/>
        <v>0352480F</v>
      </c>
      <c r="G153" t="str">
        <f t="shared" si="29"/>
        <v>O</v>
      </c>
      <c r="H153">
        <v>10</v>
      </c>
      <c r="I153">
        <v>2004</v>
      </c>
      <c r="J153">
        <v>1</v>
      </c>
      <c r="K153" t="str">
        <f t="shared" si="36"/>
        <v>NBGE</v>
      </c>
      <c r="L153">
        <v>3</v>
      </c>
      <c r="M153">
        <v>2022</v>
      </c>
      <c r="N153" t="str">
        <f>""</f>
        <v/>
      </c>
      <c r="O153" t="str">
        <f>"A"</f>
        <v>A</v>
      </c>
      <c r="P153">
        <v>0</v>
      </c>
      <c r="Q153">
        <v>100</v>
      </c>
      <c r="R153">
        <v>100</v>
      </c>
      <c r="S153">
        <v>35580</v>
      </c>
      <c r="T153">
        <v>100</v>
      </c>
      <c r="U153">
        <v>35580</v>
      </c>
      <c r="V153" t="str">
        <f>""</f>
        <v/>
      </c>
      <c r="W153">
        <v>53</v>
      </c>
      <c r="X153">
        <v>0</v>
      </c>
      <c r="Y153">
        <v>6000577</v>
      </c>
      <c r="Z153">
        <v>1</v>
      </c>
      <c r="AA153">
        <v>27</v>
      </c>
      <c r="AB153" t="str">
        <f>""</f>
        <v/>
      </c>
      <c r="AC153" t="str">
        <f>""</f>
        <v/>
      </c>
      <c r="AD153" t="str">
        <f>""</f>
        <v/>
      </c>
      <c r="AE153">
        <v>2022</v>
      </c>
      <c r="AF153">
        <v>2024</v>
      </c>
      <c r="AG153" t="str">
        <f>"Guichen"</f>
        <v>Guichen</v>
      </c>
      <c r="AH153" t="str">
        <f>"Guichen"</f>
        <v>Guichen</v>
      </c>
      <c r="AI153" t="str">
        <f>""</f>
        <v/>
      </c>
      <c r="AJ153" t="str">
        <f>""</f>
        <v/>
      </c>
      <c r="AK153" t="str">
        <f>""</f>
        <v/>
      </c>
      <c r="AL153">
        <v>43</v>
      </c>
      <c r="AM153" t="str">
        <f>""</f>
        <v/>
      </c>
      <c r="AN153" t="str">
        <f>""</f>
        <v/>
      </c>
      <c r="AO153" t="str">
        <f>"Jules Haag"</f>
        <v>Jules Haag</v>
      </c>
      <c r="AP153" t="str">
        <f>"BESANÇON"</f>
        <v>BESANÇON</v>
      </c>
      <c r="AQ153" t="str">
        <f>"Besançon"</f>
        <v>Besançon</v>
      </c>
    </row>
    <row r="154" spans="1:43" x14ac:dyDescent="0.25">
      <c r="A154" t="str">
        <f t="shared" ref="A154:A189" si="38">"1A,1A Maths,1A Ing,T02650"</f>
        <v>1A,1A Maths,1A Ing,T02650</v>
      </c>
      <c r="B154" t="str">
        <f>"BARDOU"</f>
        <v>BARDOU</v>
      </c>
      <c r="C154" t="str">
        <f>"Laura"</f>
        <v>Laura</v>
      </c>
      <c r="D154" t="str">
        <f>"024-2728"</f>
        <v>024-2728</v>
      </c>
      <c r="E154" t="str">
        <f>"070391760HD"</f>
        <v>070391760HD</v>
      </c>
      <c r="F154" t="str">
        <f t="shared" si="28"/>
        <v>0352480F</v>
      </c>
      <c r="G154" t="str">
        <f t="shared" si="29"/>
        <v>O</v>
      </c>
      <c r="H154">
        <v>10</v>
      </c>
      <c r="I154">
        <v>2004</v>
      </c>
      <c r="J154">
        <v>2</v>
      </c>
      <c r="K154" t="str">
        <f t="shared" si="36"/>
        <v>NBGE</v>
      </c>
      <c r="L154">
        <v>16</v>
      </c>
      <c r="M154">
        <v>2022</v>
      </c>
      <c r="N154" t="str">
        <f>"D"</f>
        <v>D</v>
      </c>
      <c r="O154" t="str">
        <f>"A"</f>
        <v>A</v>
      </c>
      <c r="P154">
        <v>0</v>
      </c>
      <c r="Q154">
        <v>100</v>
      </c>
      <c r="R154">
        <v>100</v>
      </c>
      <c r="S154">
        <v>35170</v>
      </c>
      <c r="T154">
        <v>100</v>
      </c>
      <c r="U154">
        <v>35170</v>
      </c>
      <c r="V154" t="str">
        <f>""</f>
        <v/>
      </c>
      <c r="W154">
        <v>38</v>
      </c>
      <c r="X154">
        <v>0</v>
      </c>
      <c r="Y154">
        <v>6000577</v>
      </c>
      <c r="Z154">
        <v>1</v>
      </c>
      <c r="AA154">
        <v>27</v>
      </c>
      <c r="AB154" t="str">
        <f>""</f>
        <v/>
      </c>
      <c r="AC154" t="str">
        <f>""</f>
        <v/>
      </c>
      <c r="AD154" t="str">
        <f>""</f>
        <v/>
      </c>
      <c r="AE154">
        <v>2022</v>
      </c>
      <c r="AF154">
        <v>2024</v>
      </c>
      <c r="AG154" t="str">
        <f>"BRUZ"</f>
        <v>BRUZ</v>
      </c>
      <c r="AH154" t="str">
        <f>"BRUZ"</f>
        <v>BRUZ</v>
      </c>
      <c r="AI154" t="str">
        <f>""</f>
        <v/>
      </c>
      <c r="AJ154" t="str">
        <f>""</f>
        <v/>
      </c>
      <c r="AK154" t="str">
        <f>""</f>
        <v/>
      </c>
      <c r="AL154">
        <v>38</v>
      </c>
      <c r="AM154" t="str">
        <f>""</f>
        <v/>
      </c>
      <c r="AN154" t="str">
        <f>""</f>
        <v/>
      </c>
      <c r="AO154" t="str">
        <f>"La Borde Basse"</f>
        <v>La Borde Basse</v>
      </c>
      <c r="AP154" t="str">
        <f>"CASTRES"</f>
        <v>CASTRES</v>
      </c>
      <c r="AQ154" t="str">
        <f>"Toulouse"</f>
        <v>Toulouse</v>
      </c>
    </row>
    <row r="155" spans="1:43" x14ac:dyDescent="0.25">
      <c r="A155" t="str">
        <f t="shared" si="38"/>
        <v>1A,1A Maths,1A Ing,T02650</v>
      </c>
      <c r="B155" t="str">
        <f>"BEAUCAMP"</f>
        <v>BEAUCAMP</v>
      </c>
      <c r="C155" t="str">
        <f>"Sarah"</f>
        <v>Sarah</v>
      </c>
      <c r="D155" t="str">
        <f>"024-2819"</f>
        <v>024-2819</v>
      </c>
      <c r="E155" t="str">
        <f>"153255032CB"</f>
        <v>153255032CB</v>
      </c>
      <c r="F155" t="str">
        <f t="shared" si="28"/>
        <v>0352480F</v>
      </c>
      <c r="G155" t="str">
        <f t="shared" si="29"/>
        <v>O</v>
      </c>
      <c r="H155">
        <v>10</v>
      </c>
      <c r="I155">
        <v>2005</v>
      </c>
      <c r="J155">
        <v>2</v>
      </c>
      <c r="K155" t="str">
        <f t="shared" si="36"/>
        <v>NBGE</v>
      </c>
      <c r="L155">
        <v>21</v>
      </c>
      <c r="M155">
        <v>2022</v>
      </c>
      <c r="N155" t="str">
        <f>"D"</f>
        <v>D</v>
      </c>
      <c r="O155" t="str">
        <f>"D"</f>
        <v>D</v>
      </c>
      <c r="P155">
        <v>0</v>
      </c>
      <c r="Q155">
        <v>100</v>
      </c>
      <c r="R155">
        <v>100</v>
      </c>
      <c r="S155">
        <v>76920</v>
      </c>
      <c r="T155">
        <v>100</v>
      </c>
      <c r="U155">
        <v>76920</v>
      </c>
      <c r="V155" t="str">
        <f>""</f>
        <v/>
      </c>
      <c r="W155">
        <v>38</v>
      </c>
      <c r="X155">
        <v>0</v>
      </c>
      <c r="Y155">
        <v>6000577</v>
      </c>
      <c r="Z155">
        <v>1</v>
      </c>
      <c r="AA155">
        <v>27</v>
      </c>
      <c r="AB155" t="str">
        <f>""</f>
        <v/>
      </c>
      <c r="AC155" t="str">
        <f>""</f>
        <v/>
      </c>
      <c r="AD155" t="str">
        <f>""</f>
        <v/>
      </c>
      <c r="AE155">
        <v>2022</v>
      </c>
      <c r="AF155">
        <v>2024</v>
      </c>
      <c r="AG155" t="str">
        <f>"Amfreville-la-mi-voie"</f>
        <v>Amfreville-la-mi-voie</v>
      </c>
      <c r="AH155" t="str">
        <f>"Amfreville-la-mi-voie"</f>
        <v>Amfreville-la-mi-voie</v>
      </c>
      <c r="AI155" t="str">
        <f>""</f>
        <v/>
      </c>
      <c r="AJ155" t="str">
        <f>""</f>
        <v/>
      </c>
      <c r="AK155" t="str">
        <f>""</f>
        <v/>
      </c>
      <c r="AL155">
        <v>38</v>
      </c>
      <c r="AM155" t="str">
        <f>""</f>
        <v/>
      </c>
      <c r="AN155" t="str">
        <f>""</f>
        <v/>
      </c>
      <c r="AO155" t="str">
        <f>"La providence nicolas barré"</f>
        <v>La providence nicolas barré</v>
      </c>
      <c r="AP155" t="str">
        <f>"LE MESNIL ESNARD"</f>
        <v>LE MESNIL ESNARD</v>
      </c>
      <c r="AQ155" t="str">
        <f>"Normandie"</f>
        <v>Normandie</v>
      </c>
    </row>
    <row r="156" spans="1:43" x14ac:dyDescent="0.25">
      <c r="A156" t="str">
        <f t="shared" si="38"/>
        <v>1A,1A Maths,1A Ing,T02650</v>
      </c>
      <c r="B156" t="str">
        <f>"BÉNICHOU"</f>
        <v>BÉNICHOU</v>
      </c>
      <c r="C156" t="str">
        <f>"Raphaël"</f>
        <v>Raphaël</v>
      </c>
      <c r="D156" t="str">
        <f>"024-2760"</f>
        <v>024-2760</v>
      </c>
      <c r="E156" t="str">
        <f>"070840133DE"</f>
        <v>070840133DE</v>
      </c>
      <c r="F156" t="str">
        <f t="shared" si="28"/>
        <v>0352480F</v>
      </c>
      <c r="G156" t="str">
        <f t="shared" si="29"/>
        <v>O</v>
      </c>
      <c r="H156">
        <v>10</v>
      </c>
      <c r="I156">
        <v>2004</v>
      </c>
      <c r="J156">
        <v>1</v>
      </c>
      <c r="K156" t="str">
        <f t="shared" si="36"/>
        <v>NBGE</v>
      </c>
      <c r="L156">
        <v>1</v>
      </c>
      <c r="M156">
        <v>2022</v>
      </c>
      <c r="N156" t="str">
        <f>"D"</f>
        <v>D</v>
      </c>
      <c r="O156" t="str">
        <f>"D"</f>
        <v>D</v>
      </c>
      <c r="P156">
        <v>0</v>
      </c>
      <c r="Q156">
        <v>100</v>
      </c>
      <c r="R156">
        <v>100</v>
      </c>
      <c r="S156">
        <v>35170</v>
      </c>
      <c r="T156">
        <v>100</v>
      </c>
      <c r="U156">
        <v>35170</v>
      </c>
      <c r="V156" t="str">
        <f>""</f>
        <v/>
      </c>
      <c r="W156">
        <v>34</v>
      </c>
      <c r="X156">
        <v>0</v>
      </c>
      <c r="Y156">
        <v>6000577</v>
      </c>
      <c r="Z156">
        <v>1</v>
      </c>
      <c r="AA156">
        <v>27</v>
      </c>
      <c r="AB156" t="str">
        <f>""</f>
        <v/>
      </c>
      <c r="AC156" t="str">
        <f>""</f>
        <v/>
      </c>
      <c r="AD156" t="str">
        <f>""</f>
        <v/>
      </c>
      <c r="AE156">
        <v>2022</v>
      </c>
      <c r="AF156">
        <v>2024</v>
      </c>
      <c r="AG156" t="str">
        <f>"Bruz"</f>
        <v>Bruz</v>
      </c>
      <c r="AH156" t="str">
        <f>"Bruz"</f>
        <v>Bruz</v>
      </c>
      <c r="AI156" t="str">
        <f>""</f>
        <v/>
      </c>
      <c r="AJ156" t="str">
        <f>""</f>
        <v/>
      </c>
      <c r="AK156" t="str">
        <f>""</f>
        <v/>
      </c>
      <c r="AL156">
        <v>34</v>
      </c>
      <c r="AM156" t="str">
        <f>""</f>
        <v/>
      </c>
      <c r="AN156" t="str">
        <f>""</f>
        <v/>
      </c>
      <c r="AO156" t="str">
        <f>"Camille Sée"</f>
        <v>Camille Sée</v>
      </c>
      <c r="AP156" t="str">
        <f>"PARIS"</f>
        <v>PARIS</v>
      </c>
      <c r="AQ156" t="str">
        <f>"Paris"</f>
        <v>Paris</v>
      </c>
    </row>
    <row r="157" spans="1:43" x14ac:dyDescent="0.25">
      <c r="A157" t="str">
        <f t="shared" si="38"/>
        <v>1A,1A Maths,1A Ing,T02650</v>
      </c>
      <c r="B157" t="str">
        <f>"BERTAUD"</f>
        <v>BERTAUD</v>
      </c>
      <c r="C157" t="str">
        <f>"François"</f>
        <v>François</v>
      </c>
      <c r="D157" t="str">
        <f>"024-2718"</f>
        <v>024-2718</v>
      </c>
      <c r="E157" t="str">
        <f>"100685657FC"</f>
        <v>100685657FC</v>
      </c>
      <c r="F157" t="str">
        <f t="shared" si="28"/>
        <v>0352480F</v>
      </c>
      <c r="G157" t="str">
        <f t="shared" si="29"/>
        <v>O</v>
      </c>
      <c r="H157">
        <v>10</v>
      </c>
      <c r="I157">
        <v>2003</v>
      </c>
      <c r="J157">
        <v>1</v>
      </c>
      <c r="K157" t="str">
        <f t="shared" si="36"/>
        <v>NBGE</v>
      </c>
      <c r="L157">
        <v>4</v>
      </c>
      <c r="M157">
        <v>2021</v>
      </c>
      <c r="N157" t="str">
        <f>"D"</f>
        <v>D</v>
      </c>
      <c r="O157" t="str">
        <f>"D"</f>
        <v>D</v>
      </c>
      <c r="P157">
        <v>0</v>
      </c>
      <c r="Q157">
        <v>100</v>
      </c>
      <c r="R157">
        <v>100</v>
      </c>
      <c r="S157">
        <v>35136</v>
      </c>
      <c r="T157">
        <v>100</v>
      </c>
      <c r="U157">
        <v>35136</v>
      </c>
      <c r="V157" t="str">
        <f>""</f>
        <v/>
      </c>
      <c r="W157">
        <v>34</v>
      </c>
      <c r="X157">
        <v>0</v>
      </c>
      <c r="Y157">
        <v>6000577</v>
      </c>
      <c r="Z157">
        <v>1</v>
      </c>
      <c r="AA157">
        <v>27</v>
      </c>
      <c r="AB157" t="str">
        <f>""</f>
        <v/>
      </c>
      <c r="AC157" t="str">
        <f>""</f>
        <v/>
      </c>
      <c r="AD157" t="str">
        <f>""</f>
        <v/>
      </c>
      <c r="AE157">
        <v>2021</v>
      </c>
      <c r="AF157">
        <v>2024</v>
      </c>
      <c r="AG157" t="str">
        <f>"Saint-Jacques-de-la-Lande"</f>
        <v>Saint-Jacques-de-la-Lande</v>
      </c>
      <c r="AH157" t="str">
        <f>"Saint-Jacques-de-la-Lande"</f>
        <v>Saint-Jacques-de-la-Lande</v>
      </c>
      <c r="AI157" t="str">
        <f>""</f>
        <v/>
      </c>
      <c r="AJ157" t="str">
        <f>""</f>
        <v/>
      </c>
      <c r="AK157" t="str">
        <f>""</f>
        <v/>
      </c>
      <c r="AL157">
        <v>53</v>
      </c>
      <c r="AM157" t="str">
        <f>""</f>
        <v/>
      </c>
      <c r="AN157" t="str">
        <f>""</f>
        <v/>
      </c>
      <c r="AO157" t="str">
        <f>"Bertran de Born"</f>
        <v>Bertran de Born</v>
      </c>
      <c r="AP157" t="str">
        <f>"PÉRIGUEUX"</f>
        <v>PÉRIGUEUX</v>
      </c>
      <c r="AQ157" t="str">
        <f>"Bordeaux"</f>
        <v>Bordeaux</v>
      </c>
    </row>
    <row r="158" spans="1:43" x14ac:dyDescent="0.25">
      <c r="A158" t="str">
        <f t="shared" si="38"/>
        <v>1A,1A Maths,1A Ing,T02650</v>
      </c>
      <c r="B158" t="str">
        <f>"BOIRAL"</f>
        <v>BOIRAL</v>
      </c>
      <c r="C158" t="str">
        <f>"Quentin"</f>
        <v>Quentin</v>
      </c>
      <c r="D158" t="str">
        <f>"024-2725"</f>
        <v>024-2725</v>
      </c>
      <c r="E158" t="str">
        <f>"153038599EH"</f>
        <v>153038599EH</v>
      </c>
      <c r="F158" t="str">
        <f t="shared" si="28"/>
        <v>0352480F</v>
      </c>
      <c r="G158" t="str">
        <f t="shared" si="29"/>
        <v>O</v>
      </c>
      <c r="H158">
        <v>10</v>
      </c>
      <c r="I158">
        <v>2005</v>
      </c>
      <c r="J158">
        <v>1</v>
      </c>
      <c r="K158" t="str">
        <f t="shared" si="36"/>
        <v>NBGE</v>
      </c>
      <c r="L158">
        <v>25</v>
      </c>
      <c r="M158">
        <v>2022</v>
      </c>
      <c r="N158" t="str">
        <f>"D"</f>
        <v>D</v>
      </c>
      <c r="O158" t="str">
        <f>"D"</f>
        <v>D</v>
      </c>
      <c r="P158">
        <v>0</v>
      </c>
      <c r="Q158">
        <v>100</v>
      </c>
      <c r="R158">
        <v>100</v>
      </c>
      <c r="S158">
        <v>35131</v>
      </c>
      <c r="T158">
        <v>100</v>
      </c>
      <c r="U158">
        <v>35131</v>
      </c>
      <c r="V158" t="str">
        <f>""</f>
        <v/>
      </c>
      <c r="W158">
        <v>38</v>
      </c>
      <c r="X158">
        <v>0</v>
      </c>
      <c r="Y158">
        <v>6000577</v>
      </c>
      <c r="Z158">
        <v>1</v>
      </c>
      <c r="AA158">
        <v>27</v>
      </c>
      <c r="AB158" t="str">
        <f>""</f>
        <v/>
      </c>
      <c r="AC158" t="str">
        <f>""</f>
        <v/>
      </c>
      <c r="AD158" t="str">
        <f>""</f>
        <v/>
      </c>
      <c r="AE158">
        <v>2022</v>
      </c>
      <c r="AF158">
        <v>2024</v>
      </c>
      <c r="AG158" t="str">
        <f>"Chatres-de-Bretagne"</f>
        <v>Chatres-de-Bretagne</v>
      </c>
      <c r="AH158" t="str">
        <f>"Chatres-de-Bretagne"</f>
        <v>Chatres-de-Bretagne</v>
      </c>
      <c r="AI158" t="str">
        <f>""</f>
        <v/>
      </c>
      <c r="AJ158" t="str">
        <f>""</f>
        <v/>
      </c>
      <c r="AK158" t="str">
        <f>""</f>
        <v/>
      </c>
      <c r="AL158">
        <v>48</v>
      </c>
      <c r="AM158" t="str">
        <f>""</f>
        <v/>
      </c>
      <c r="AN158" t="str">
        <f>""</f>
        <v/>
      </c>
      <c r="AO158" t="str">
        <f>"Lycée Viollet-Le-Duc"</f>
        <v>Lycée Viollet-Le-Duc</v>
      </c>
      <c r="AP158" t="str">
        <f>"VILLIERS-SAINT-FRÉDÉRIC"</f>
        <v>VILLIERS-SAINT-FRÉDÉRIC</v>
      </c>
      <c r="AQ158" t="str">
        <f>"Versailles"</f>
        <v>Versailles</v>
      </c>
    </row>
    <row r="159" spans="1:43" x14ac:dyDescent="0.25">
      <c r="A159" t="str">
        <f t="shared" si="38"/>
        <v>1A,1A Maths,1A Ing,T02650</v>
      </c>
      <c r="B159" t="str">
        <f>"BURON"</f>
        <v>BURON</v>
      </c>
      <c r="C159" t="str">
        <f>"Adrien"</f>
        <v>Adrien</v>
      </c>
      <c r="D159" t="str">
        <f>"024-2663"</f>
        <v>024-2663</v>
      </c>
      <c r="E159" t="str">
        <f>"080410357CE"</f>
        <v>080410357CE</v>
      </c>
      <c r="F159" t="str">
        <f t="shared" si="28"/>
        <v>0352480F</v>
      </c>
      <c r="G159" t="str">
        <f t="shared" si="29"/>
        <v>O</v>
      </c>
      <c r="H159">
        <v>10</v>
      </c>
      <c r="I159">
        <v>2003</v>
      </c>
      <c r="J159">
        <v>1</v>
      </c>
      <c r="K159" t="str">
        <f t="shared" si="36"/>
        <v>NBGE</v>
      </c>
      <c r="L159">
        <v>14</v>
      </c>
      <c r="M159">
        <v>2021</v>
      </c>
      <c r="N159" t="str">
        <f>"H"</f>
        <v>H</v>
      </c>
      <c r="O159" t="str">
        <f>"N"</f>
        <v>N</v>
      </c>
      <c r="P159">
        <v>0</v>
      </c>
      <c r="Q159">
        <v>100</v>
      </c>
      <c r="R159">
        <v>100</v>
      </c>
      <c r="S159">
        <v>35500</v>
      </c>
      <c r="T159">
        <v>100</v>
      </c>
      <c r="U159">
        <v>35500</v>
      </c>
      <c r="V159" t="str">
        <f>""</f>
        <v/>
      </c>
      <c r="W159">
        <v>33</v>
      </c>
      <c r="X159">
        <v>0</v>
      </c>
      <c r="Y159">
        <v>6000577</v>
      </c>
      <c r="Z159">
        <v>1</v>
      </c>
      <c r="AA159">
        <v>27</v>
      </c>
      <c r="AB159" t="str">
        <f>""</f>
        <v/>
      </c>
      <c r="AC159" t="str">
        <f>""</f>
        <v/>
      </c>
      <c r="AD159" t="str">
        <f>""</f>
        <v/>
      </c>
      <c r="AE159">
        <v>2021</v>
      </c>
      <c r="AF159">
        <v>2024</v>
      </c>
      <c r="AG159" t="str">
        <f>"Vitré"</f>
        <v>Vitré</v>
      </c>
      <c r="AH159" t="str">
        <f>"Vitré"</f>
        <v>Vitré</v>
      </c>
      <c r="AI159" t="str">
        <f>""</f>
        <v/>
      </c>
      <c r="AJ159" t="str">
        <f>""</f>
        <v/>
      </c>
      <c r="AK159" t="str">
        <f>""</f>
        <v/>
      </c>
      <c r="AL159">
        <v>34</v>
      </c>
      <c r="AM159" t="str">
        <f>""</f>
        <v/>
      </c>
      <c r="AN159" t="str">
        <f>""</f>
        <v/>
      </c>
      <c r="AO159" t="str">
        <f>"Jeanne d'Arc"</f>
        <v>Jeanne d'Arc</v>
      </c>
      <c r="AP159" t="str">
        <f>"VITRÉ"</f>
        <v>VITRÉ</v>
      </c>
      <c r="AQ159" t="str">
        <f>"Rennes"</f>
        <v>Rennes</v>
      </c>
    </row>
    <row r="160" spans="1:43" x14ac:dyDescent="0.25">
      <c r="A160" t="str">
        <f t="shared" si="38"/>
        <v>1A,1A Maths,1A Ing,T02650</v>
      </c>
      <c r="B160" t="str">
        <f>"COCHET GARSIOT"</f>
        <v>COCHET GARSIOT</v>
      </c>
      <c r="C160" t="str">
        <f>"Justin"</f>
        <v>Justin</v>
      </c>
      <c r="D160" t="str">
        <f>"024-2749"</f>
        <v>024-2749</v>
      </c>
      <c r="E160" t="str">
        <f>"153147368BF"</f>
        <v>153147368BF</v>
      </c>
      <c r="F160" t="str">
        <f t="shared" si="28"/>
        <v>0352480F</v>
      </c>
      <c r="G160" t="str">
        <f t="shared" si="29"/>
        <v>O</v>
      </c>
      <c r="H160">
        <v>10</v>
      </c>
      <c r="I160">
        <v>2005</v>
      </c>
      <c r="J160">
        <v>1</v>
      </c>
      <c r="K160" t="str">
        <f t="shared" si="36"/>
        <v>NBGE</v>
      </c>
      <c r="L160">
        <v>8</v>
      </c>
      <c r="M160">
        <v>2022</v>
      </c>
      <c r="N160" t="str">
        <f>"D"</f>
        <v>D</v>
      </c>
      <c r="O160" t="str">
        <f>"D"</f>
        <v>D</v>
      </c>
      <c r="P160">
        <v>0</v>
      </c>
      <c r="Q160">
        <v>100</v>
      </c>
      <c r="R160">
        <v>100</v>
      </c>
      <c r="S160">
        <v>35170</v>
      </c>
      <c r="T160">
        <v>100</v>
      </c>
      <c r="U160">
        <v>35170</v>
      </c>
      <c r="V160" t="str">
        <f>""</f>
        <v/>
      </c>
      <c r="W160">
        <v>38</v>
      </c>
      <c r="X160">
        <v>0</v>
      </c>
      <c r="Y160">
        <v>6000577</v>
      </c>
      <c r="Z160">
        <v>1</v>
      </c>
      <c r="AA160">
        <v>27</v>
      </c>
      <c r="AB160" t="str">
        <f>""</f>
        <v/>
      </c>
      <c r="AC160" t="str">
        <f>""</f>
        <v/>
      </c>
      <c r="AD160" t="str">
        <f>""</f>
        <v/>
      </c>
      <c r="AE160">
        <v>2022</v>
      </c>
      <c r="AF160">
        <v>2024</v>
      </c>
      <c r="AG160" t="str">
        <f>"BRUZ"</f>
        <v>BRUZ</v>
      </c>
      <c r="AH160" t="str">
        <f>"BRUZ"</f>
        <v>BRUZ</v>
      </c>
      <c r="AI160" t="str">
        <f>""</f>
        <v/>
      </c>
      <c r="AJ160" t="str">
        <f>""</f>
        <v/>
      </c>
      <c r="AK160" t="str">
        <f>""</f>
        <v/>
      </c>
      <c r="AL160">
        <v>43</v>
      </c>
      <c r="AM160" t="str">
        <f>""</f>
        <v/>
      </c>
      <c r="AN160" t="str">
        <f>""</f>
        <v/>
      </c>
      <c r="AO160" t="str">
        <f>"Lycée L'Oiselet"</f>
        <v>Lycée L'Oiselet</v>
      </c>
      <c r="AP160" t="str">
        <f>"BOURGOIN-JALLIEU"</f>
        <v>BOURGOIN-JALLIEU</v>
      </c>
      <c r="AQ160" t="str">
        <f>"Grenoble"</f>
        <v>Grenoble</v>
      </c>
    </row>
    <row r="161" spans="1:43" x14ac:dyDescent="0.25">
      <c r="A161" t="str">
        <f t="shared" si="38"/>
        <v>1A,1A Maths,1A Ing,T02650</v>
      </c>
      <c r="B161" t="str">
        <f>"DIETTE"</f>
        <v>DIETTE</v>
      </c>
      <c r="C161" t="str">
        <f>"Noé"</f>
        <v>Noé</v>
      </c>
      <c r="D161" t="str">
        <f>"024-2776"</f>
        <v>024-2776</v>
      </c>
      <c r="E161" t="str">
        <f>"060985087HE"</f>
        <v>060985087HE</v>
      </c>
      <c r="F161" t="str">
        <f t="shared" si="28"/>
        <v>0352480F</v>
      </c>
      <c r="G161" t="str">
        <f t="shared" si="29"/>
        <v>O</v>
      </c>
      <c r="H161">
        <v>10</v>
      </c>
      <c r="I161">
        <v>2004</v>
      </c>
      <c r="J161">
        <v>1</v>
      </c>
      <c r="K161" t="str">
        <f t="shared" si="36"/>
        <v>NBGE</v>
      </c>
      <c r="L161">
        <v>16</v>
      </c>
      <c r="M161">
        <v>2022</v>
      </c>
      <c r="N161" t="str">
        <f>"D"</f>
        <v>D</v>
      </c>
      <c r="O161" t="str">
        <f>"D"</f>
        <v>D</v>
      </c>
      <c r="P161">
        <v>0</v>
      </c>
      <c r="Q161">
        <v>100</v>
      </c>
      <c r="R161">
        <v>100</v>
      </c>
      <c r="S161">
        <v>35131</v>
      </c>
      <c r="T161">
        <v>100</v>
      </c>
      <c r="U161">
        <v>35131</v>
      </c>
      <c r="V161" t="str">
        <f>""</f>
        <v/>
      </c>
      <c r="W161">
        <v>38</v>
      </c>
      <c r="X161">
        <v>0</v>
      </c>
      <c r="Y161">
        <v>6000577</v>
      </c>
      <c r="Z161">
        <v>1</v>
      </c>
      <c r="AA161">
        <v>27</v>
      </c>
      <c r="AB161" t="str">
        <f>""</f>
        <v/>
      </c>
      <c r="AC161" t="str">
        <f>""</f>
        <v/>
      </c>
      <c r="AD161" t="str">
        <f>""</f>
        <v/>
      </c>
      <c r="AE161">
        <v>2022</v>
      </c>
      <c r="AF161">
        <v>2024</v>
      </c>
      <c r="AG161" t="str">
        <f>"Chartres-de-Bretagne"</f>
        <v>Chartres-de-Bretagne</v>
      </c>
      <c r="AH161" t="str">
        <f>"Chartres-de-Bretagne"</f>
        <v>Chartres-de-Bretagne</v>
      </c>
      <c r="AI161" t="str">
        <f>""</f>
        <v/>
      </c>
      <c r="AJ161" t="str">
        <f>""</f>
        <v/>
      </c>
      <c r="AK161" t="str">
        <f>""</f>
        <v/>
      </c>
      <c r="AL161">
        <v>33</v>
      </c>
      <c r="AM161" t="str">
        <f>""</f>
        <v/>
      </c>
      <c r="AN161" t="str">
        <f>""</f>
        <v/>
      </c>
      <c r="AO161" t="str">
        <f>"Clémence Royer"</f>
        <v>Clémence Royer</v>
      </c>
      <c r="AP161" t="str">
        <f>"FONSORBES"</f>
        <v>FONSORBES</v>
      </c>
      <c r="AQ161" t="str">
        <f>"Toulouse"</f>
        <v>Toulouse</v>
      </c>
    </row>
    <row r="162" spans="1:43" x14ac:dyDescent="0.25">
      <c r="A162" t="str">
        <f t="shared" si="38"/>
        <v>1A,1A Maths,1A Ing,T02650</v>
      </c>
      <c r="B162" t="str">
        <f>"DJEBROUN"</f>
        <v>DJEBROUN</v>
      </c>
      <c r="C162" t="str">
        <f>"Louisa"</f>
        <v>Louisa</v>
      </c>
      <c r="D162" t="str">
        <f>"024-2643"</f>
        <v>024-2643</v>
      </c>
      <c r="E162" t="str">
        <f>"050154133AJ"</f>
        <v>050154133AJ</v>
      </c>
      <c r="F162" t="str">
        <f t="shared" si="28"/>
        <v>0352480F</v>
      </c>
      <c r="G162" t="str">
        <f t="shared" si="29"/>
        <v>O</v>
      </c>
      <c r="H162">
        <v>10</v>
      </c>
      <c r="I162">
        <v>2001</v>
      </c>
      <c r="J162">
        <v>2</v>
      </c>
      <c r="K162" t="str">
        <f>"S"</f>
        <v>S</v>
      </c>
      <c r="L162">
        <v>24</v>
      </c>
      <c r="M162">
        <v>2019</v>
      </c>
      <c r="N162" t="str">
        <f>"H"</f>
        <v>H</v>
      </c>
      <c r="O162" t="str">
        <f>"N"</f>
        <v>N</v>
      </c>
      <c r="P162">
        <v>0</v>
      </c>
      <c r="Q162">
        <v>100</v>
      </c>
      <c r="R162">
        <v>100</v>
      </c>
      <c r="S162">
        <v>35170</v>
      </c>
      <c r="T162">
        <v>100</v>
      </c>
      <c r="U162">
        <v>35170</v>
      </c>
      <c r="V162" t="str">
        <f>""</f>
        <v/>
      </c>
      <c r="W162">
        <v>34</v>
      </c>
      <c r="X162">
        <v>0</v>
      </c>
      <c r="Y162">
        <v>6000577</v>
      </c>
      <c r="Z162">
        <v>1</v>
      </c>
      <c r="AA162">
        <v>27</v>
      </c>
      <c r="AB162" t="str">
        <f>""</f>
        <v/>
      </c>
      <c r="AC162" t="str">
        <f>""</f>
        <v/>
      </c>
      <c r="AD162" t="str">
        <f>""</f>
        <v/>
      </c>
      <c r="AE162">
        <v>2019</v>
      </c>
      <c r="AF162">
        <v>2024</v>
      </c>
      <c r="AG162" t="str">
        <f>"Bruz"</f>
        <v>Bruz</v>
      </c>
      <c r="AH162" t="str">
        <f>"Bruz"</f>
        <v>Bruz</v>
      </c>
      <c r="AI162" t="str">
        <f>""</f>
        <v/>
      </c>
      <c r="AJ162" t="str">
        <f>""</f>
        <v/>
      </c>
      <c r="AK162" t="str">
        <f>""</f>
        <v/>
      </c>
      <c r="AL162">
        <v>31</v>
      </c>
      <c r="AM162" t="str">
        <f>""</f>
        <v/>
      </c>
      <c r="AN162" t="str">
        <f>""</f>
        <v/>
      </c>
      <c r="AO162" t="str">
        <f>"Lycée Notre Dame des Missions saint pierre"</f>
        <v>Lycée Notre Dame des Missions saint pierre</v>
      </c>
      <c r="AP162" t="str">
        <f>"CHARENTON LE PONT"</f>
        <v>CHARENTON LE PONT</v>
      </c>
      <c r="AQ162" t="str">
        <f>"Créteil"</f>
        <v>Créteil</v>
      </c>
    </row>
    <row r="163" spans="1:43" x14ac:dyDescent="0.25">
      <c r="A163" t="str">
        <f t="shared" si="38"/>
        <v>1A,1A Maths,1A Ing,T02650</v>
      </c>
      <c r="B163" t="str">
        <f>"FALL"</f>
        <v>FALL</v>
      </c>
      <c r="C163" t="str">
        <f>"Elhadji"</f>
        <v>Elhadji</v>
      </c>
      <c r="D163" t="str">
        <f>"024-2754"</f>
        <v>024-2754</v>
      </c>
      <c r="E163" t="str">
        <f>"223068890HA"</f>
        <v>223068890HA</v>
      </c>
      <c r="F163" t="str">
        <f t="shared" si="28"/>
        <v>0352480F</v>
      </c>
      <c r="G163" t="str">
        <f t="shared" si="29"/>
        <v>O</v>
      </c>
      <c r="H163">
        <v>10</v>
      </c>
      <c r="I163">
        <v>2005</v>
      </c>
      <c r="J163">
        <v>1</v>
      </c>
      <c r="K163" t="str">
        <f>"C"</f>
        <v>C</v>
      </c>
      <c r="L163">
        <v>0</v>
      </c>
      <c r="M163">
        <v>2022</v>
      </c>
      <c r="N163" t="str">
        <f t="shared" ref="N163:O167" si="39">"D"</f>
        <v>D</v>
      </c>
      <c r="O163" t="str">
        <f t="shared" si="39"/>
        <v>D</v>
      </c>
      <c r="P163">
        <v>0</v>
      </c>
      <c r="Q163">
        <v>341</v>
      </c>
      <c r="R163">
        <v>100</v>
      </c>
      <c r="S163" t="str">
        <f>"Renne"</f>
        <v>Renne</v>
      </c>
      <c r="T163">
        <v>100</v>
      </c>
      <c r="U163" t="str">
        <f>"Renne"</f>
        <v>Renne</v>
      </c>
      <c r="V163" t="str">
        <f>""</f>
        <v/>
      </c>
      <c r="W163">
        <v>37</v>
      </c>
      <c r="X163">
        <v>0</v>
      </c>
      <c r="Y163">
        <v>6000577</v>
      </c>
      <c r="Z163">
        <v>1</v>
      </c>
      <c r="AA163">
        <v>27</v>
      </c>
      <c r="AB163" t="str">
        <f>""</f>
        <v/>
      </c>
      <c r="AC163" t="str">
        <f>""</f>
        <v/>
      </c>
      <c r="AD163" t="str">
        <f>""</f>
        <v/>
      </c>
      <c r="AE163">
        <v>2022</v>
      </c>
      <c r="AF163">
        <v>2024</v>
      </c>
      <c r="AG163">
        <v>35200</v>
      </c>
      <c r="AH163">
        <v>35200</v>
      </c>
      <c r="AI163" t="str">
        <f>""</f>
        <v/>
      </c>
      <c r="AJ163" t="str">
        <f>""</f>
        <v/>
      </c>
      <c r="AK163" t="str">
        <f>""</f>
        <v/>
      </c>
      <c r="AL163">
        <v>37</v>
      </c>
      <c r="AM163" t="str">
        <f>""</f>
        <v/>
      </c>
      <c r="AN163" t="str">
        <f>""</f>
        <v/>
      </c>
      <c r="AO163" t="str">
        <f>"Institution Sainte Jeanne D'arc"</f>
        <v>Institution Sainte Jeanne D'arc</v>
      </c>
      <c r="AP163" t="str">
        <f>"DAKAR"</f>
        <v>DAKAR</v>
      </c>
      <c r="AQ163" t="str">
        <f>"Etranger"</f>
        <v>Etranger</v>
      </c>
    </row>
    <row r="164" spans="1:43" x14ac:dyDescent="0.25">
      <c r="A164" t="str">
        <f t="shared" si="38"/>
        <v>1A,1A Maths,1A Ing,T02650</v>
      </c>
      <c r="B164" t="str">
        <f>"FERRARA"</f>
        <v>FERRARA</v>
      </c>
      <c r="C164" t="str">
        <f>"Ugo"</f>
        <v>Ugo</v>
      </c>
      <c r="D164" t="str">
        <f>"024-2746"</f>
        <v>024-2746</v>
      </c>
      <c r="E164" t="str">
        <f>"070373406KE"</f>
        <v>070373406KE</v>
      </c>
      <c r="F164" t="str">
        <f t="shared" si="28"/>
        <v>0352480F</v>
      </c>
      <c r="G164" t="str">
        <f t="shared" si="29"/>
        <v>O</v>
      </c>
      <c r="H164">
        <v>10</v>
      </c>
      <c r="I164">
        <v>2003</v>
      </c>
      <c r="J164">
        <v>1</v>
      </c>
      <c r="K164" t="str">
        <f>"NBGE"</f>
        <v>NBGE</v>
      </c>
      <c r="L164">
        <v>15</v>
      </c>
      <c r="M164">
        <v>2021</v>
      </c>
      <c r="N164" t="str">
        <f t="shared" si="39"/>
        <v>D</v>
      </c>
      <c r="O164" t="str">
        <f t="shared" si="39"/>
        <v>D</v>
      </c>
      <c r="P164">
        <v>0</v>
      </c>
      <c r="Q164">
        <v>100</v>
      </c>
      <c r="R164">
        <v>100</v>
      </c>
      <c r="S164">
        <v>35170</v>
      </c>
      <c r="T164">
        <v>100</v>
      </c>
      <c r="U164">
        <v>35170</v>
      </c>
      <c r="V164" t="str">
        <f>""</f>
        <v/>
      </c>
      <c r="W164">
        <v>38</v>
      </c>
      <c r="X164">
        <v>0</v>
      </c>
      <c r="Y164">
        <v>6000577</v>
      </c>
      <c r="Z164">
        <v>1</v>
      </c>
      <c r="AA164">
        <v>27</v>
      </c>
      <c r="AB164" t="str">
        <f>""</f>
        <v/>
      </c>
      <c r="AC164" t="str">
        <f>""</f>
        <v/>
      </c>
      <c r="AD164" t="str">
        <f>""</f>
        <v/>
      </c>
      <c r="AE164">
        <v>2021</v>
      </c>
      <c r="AF164">
        <v>2024</v>
      </c>
      <c r="AG164" t="str">
        <f>"Bruz"</f>
        <v>Bruz</v>
      </c>
      <c r="AH164" t="str">
        <f>"Bruz"</f>
        <v>Bruz</v>
      </c>
      <c r="AI164" t="str">
        <f>""</f>
        <v/>
      </c>
      <c r="AJ164" t="str">
        <f>""</f>
        <v/>
      </c>
      <c r="AK164" t="str">
        <f>""</f>
        <v/>
      </c>
      <c r="AL164">
        <v>43</v>
      </c>
      <c r="AM164" t="str">
        <f>""</f>
        <v/>
      </c>
      <c r="AN164" t="str">
        <f>""</f>
        <v/>
      </c>
      <c r="AO164" t="str">
        <f>"Don Bosco Landser"</f>
        <v>Don Bosco Landser</v>
      </c>
      <c r="AP164" t="str">
        <f>"LANDSER"</f>
        <v>LANDSER</v>
      </c>
      <c r="AQ164" t="str">
        <f>"Strasbourg"</f>
        <v>Strasbourg</v>
      </c>
    </row>
    <row r="165" spans="1:43" x14ac:dyDescent="0.25">
      <c r="A165" t="str">
        <f t="shared" si="38"/>
        <v>1A,1A Maths,1A Ing,T02650</v>
      </c>
      <c r="B165" t="str">
        <f>"GASOWSKI"</f>
        <v>GASOWSKI</v>
      </c>
      <c r="C165" t="str">
        <f>"Alexandre"</f>
        <v>Alexandre</v>
      </c>
      <c r="D165" t="str">
        <f>"024-2731"</f>
        <v>024-2731</v>
      </c>
      <c r="E165" t="str">
        <f>"100832772JG"</f>
        <v>100832772JG</v>
      </c>
      <c r="F165" t="str">
        <f t="shared" si="28"/>
        <v>0352480F</v>
      </c>
      <c r="G165" t="str">
        <f t="shared" si="29"/>
        <v>O</v>
      </c>
      <c r="H165">
        <v>10</v>
      </c>
      <c r="I165">
        <v>2003</v>
      </c>
      <c r="J165">
        <v>1</v>
      </c>
      <c r="K165" t="str">
        <f>"NBGE"</f>
        <v>NBGE</v>
      </c>
      <c r="L165">
        <v>25</v>
      </c>
      <c r="M165">
        <v>2021</v>
      </c>
      <c r="N165" t="str">
        <f t="shared" si="39"/>
        <v>D</v>
      </c>
      <c r="O165" t="str">
        <f t="shared" si="39"/>
        <v>D</v>
      </c>
      <c r="P165">
        <v>0</v>
      </c>
      <c r="Q165">
        <v>100</v>
      </c>
      <c r="R165">
        <v>100</v>
      </c>
      <c r="S165">
        <v>35136</v>
      </c>
      <c r="T165">
        <v>100</v>
      </c>
      <c r="U165">
        <v>35136</v>
      </c>
      <c r="V165" t="str">
        <f>""</f>
        <v/>
      </c>
      <c r="W165">
        <v>37</v>
      </c>
      <c r="X165">
        <v>0</v>
      </c>
      <c r="Y165">
        <v>6000577</v>
      </c>
      <c r="Z165">
        <v>1</v>
      </c>
      <c r="AA165">
        <v>27</v>
      </c>
      <c r="AB165" t="str">
        <f>""</f>
        <v/>
      </c>
      <c r="AC165" t="str">
        <f>""</f>
        <v/>
      </c>
      <c r="AD165" t="str">
        <f>""</f>
        <v/>
      </c>
      <c r="AE165">
        <v>2021</v>
      </c>
      <c r="AF165">
        <v>2024</v>
      </c>
      <c r="AG165" t="str">
        <f>"Saint-Jacques-de-la-Lande"</f>
        <v>Saint-Jacques-de-la-Lande</v>
      </c>
      <c r="AH165" t="str">
        <f>"Saint-Jacques-de-la-Lande"</f>
        <v>Saint-Jacques-de-la-Lande</v>
      </c>
      <c r="AI165" t="str">
        <f>""</f>
        <v/>
      </c>
      <c r="AJ165" t="str">
        <f>""</f>
        <v/>
      </c>
      <c r="AK165" t="str">
        <f>""</f>
        <v/>
      </c>
      <c r="AL165">
        <v>37</v>
      </c>
      <c r="AM165" t="str">
        <f>""</f>
        <v/>
      </c>
      <c r="AN165" t="str">
        <f>""</f>
        <v/>
      </c>
      <c r="AO165" t="str">
        <f>"Sainte Marie"</f>
        <v>Sainte Marie</v>
      </c>
      <c r="AP165" t="str">
        <f>"ANTONY"</f>
        <v>ANTONY</v>
      </c>
      <c r="AQ165" t="str">
        <f>"Versailles"</f>
        <v>Versailles</v>
      </c>
    </row>
    <row r="166" spans="1:43" x14ac:dyDescent="0.25">
      <c r="A166" t="str">
        <f t="shared" si="38"/>
        <v>1A,1A Maths,1A Ing,T02650</v>
      </c>
      <c r="B166" t="str">
        <f>"GRANDHAYE"</f>
        <v>GRANDHAYE</v>
      </c>
      <c r="C166" t="str">
        <f>"Néo"</f>
        <v>Néo</v>
      </c>
      <c r="D166" t="str">
        <f>"024-2829"</f>
        <v>024-2829</v>
      </c>
      <c r="E166" t="str">
        <f>"071566402AE"</f>
        <v>071566402AE</v>
      </c>
      <c r="F166" t="str">
        <f t="shared" si="28"/>
        <v>0352480F</v>
      </c>
      <c r="G166" t="str">
        <f t="shared" si="29"/>
        <v>O</v>
      </c>
      <c r="H166">
        <v>10</v>
      </c>
      <c r="I166">
        <v>2004</v>
      </c>
      <c r="J166">
        <v>1</v>
      </c>
      <c r="K166" t="str">
        <f>"NBGE"</f>
        <v>NBGE</v>
      </c>
      <c r="L166">
        <v>15</v>
      </c>
      <c r="M166">
        <v>2022</v>
      </c>
      <c r="N166" t="str">
        <f t="shared" si="39"/>
        <v>D</v>
      </c>
      <c r="O166" t="str">
        <f t="shared" si="39"/>
        <v>D</v>
      </c>
      <c r="P166">
        <v>0</v>
      </c>
      <c r="Q166">
        <v>100</v>
      </c>
      <c r="R166">
        <v>100</v>
      </c>
      <c r="S166">
        <v>35170</v>
      </c>
      <c r="T166">
        <v>100</v>
      </c>
      <c r="U166">
        <v>35170</v>
      </c>
      <c r="V166" t="str">
        <f>""</f>
        <v/>
      </c>
      <c r="W166">
        <v>38</v>
      </c>
      <c r="X166">
        <v>0</v>
      </c>
      <c r="Y166">
        <v>6000577</v>
      </c>
      <c r="Z166">
        <v>1</v>
      </c>
      <c r="AA166">
        <v>27</v>
      </c>
      <c r="AB166" t="str">
        <f>""</f>
        <v/>
      </c>
      <c r="AC166" t="str">
        <f>""</f>
        <v/>
      </c>
      <c r="AD166" t="str">
        <f>""</f>
        <v/>
      </c>
      <c r="AE166">
        <v>2022</v>
      </c>
      <c r="AF166">
        <v>2024</v>
      </c>
      <c r="AG166" t="str">
        <f>"Bruz"</f>
        <v>Bruz</v>
      </c>
      <c r="AH166" t="str">
        <f>"Bruz"</f>
        <v>Bruz</v>
      </c>
      <c r="AI166" t="str">
        <f>""</f>
        <v/>
      </c>
      <c r="AJ166" t="str">
        <f>""</f>
        <v/>
      </c>
      <c r="AK166" t="str">
        <f>""</f>
        <v/>
      </c>
      <c r="AL166">
        <v>33</v>
      </c>
      <c r="AM166" t="str">
        <f>""</f>
        <v/>
      </c>
      <c r="AN166" t="str">
        <f>""</f>
        <v/>
      </c>
      <c r="AO166" t="str">
        <f>"Louis Marchal"</f>
        <v>Louis Marchal</v>
      </c>
      <c r="AP166" t="str">
        <f>"MOSLHEIM"</f>
        <v>MOSLHEIM</v>
      </c>
      <c r="AQ166" t="str">
        <f>"Strasbourg"</f>
        <v>Strasbourg</v>
      </c>
    </row>
    <row r="167" spans="1:43" x14ac:dyDescent="0.25">
      <c r="A167" t="str">
        <f t="shared" si="38"/>
        <v>1A,1A Maths,1A Ing,T02650</v>
      </c>
      <c r="B167" t="str">
        <f>"GRASS"</f>
        <v>GRASS</v>
      </c>
      <c r="C167" t="str">
        <f>"Benjamin"</f>
        <v>Benjamin</v>
      </c>
      <c r="D167" t="str">
        <f>"024-2721"</f>
        <v>024-2721</v>
      </c>
      <c r="E167" t="str">
        <f>"070188697BJ"</f>
        <v>070188697BJ</v>
      </c>
      <c r="F167" t="str">
        <f t="shared" si="28"/>
        <v>0352480F</v>
      </c>
      <c r="G167" t="str">
        <f t="shared" si="29"/>
        <v>O</v>
      </c>
      <c r="H167">
        <v>10</v>
      </c>
      <c r="I167">
        <v>2004</v>
      </c>
      <c r="J167">
        <v>1</v>
      </c>
      <c r="K167" t="str">
        <f>"NBGE"</f>
        <v>NBGE</v>
      </c>
      <c r="L167">
        <v>15</v>
      </c>
      <c r="M167">
        <v>2022</v>
      </c>
      <c r="N167" t="str">
        <f t="shared" si="39"/>
        <v>D</v>
      </c>
      <c r="O167" t="str">
        <f t="shared" si="39"/>
        <v>D</v>
      </c>
      <c r="P167">
        <v>0</v>
      </c>
      <c r="Q167">
        <v>100</v>
      </c>
      <c r="R167">
        <v>100</v>
      </c>
      <c r="S167">
        <v>35170</v>
      </c>
      <c r="T167">
        <v>100</v>
      </c>
      <c r="U167">
        <v>35170</v>
      </c>
      <c r="V167" t="str">
        <f>""</f>
        <v/>
      </c>
      <c r="W167">
        <v>54</v>
      </c>
      <c r="X167">
        <v>0</v>
      </c>
      <c r="Y167">
        <v>6000577</v>
      </c>
      <c r="Z167">
        <v>1</v>
      </c>
      <c r="AA167">
        <v>27</v>
      </c>
      <c r="AB167" t="str">
        <f>""</f>
        <v/>
      </c>
      <c r="AC167" t="str">
        <f>""</f>
        <v/>
      </c>
      <c r="AD167" t="str">
        <f>""</f>
        <v/>
      </c>
      <c r="AE167">
        <v>2022</v>
      </c>
      <c r="AF167">
        <v>2024</v>
      </c>
      <c r="AG167" t="str">
        <f>"BRUZ"</f>
        <v>BRUZ</v>
      </c>
      <c r="AH167" t="str">
        <f>"BRUZ"</f>
        <v>BRUZ</v>
      </c>
      <c r="AI167" t="str">
        <f>""</f>
        <v/>
      </c>
      <c r="AJ167" t="str">
        <f>""</f>
        <v/>
      </c>
      <c r="AK167" t="str">
        <f>""</f>
        <v/>
      </c>
      <c r="AL167">
        <v>43</v>
      </c>
      <c r="AM167" t="str">
        <f>""</f>
        <v/>
      </c>
      <c r="AN167" t="str">
        <f>""</f>
        <v/>
      </c>
      <c r="AO167" t="str">
        <f>"LYCEE SCHWEITZER"</f>
        <v>LYCEE SCHWEITZER</v>
      </c>
      <c r="AP167" t="str">
        <f>"MULHOUSE"</f>
        <v>MULHOUSE</v>
      </c>
      <c r="AQ167" t="str">
        <f>"Strasbourg"</f>
        <v>Strasbourg</v>
      </c>
    </row>
    <row r="168" spans="1:43" x14ac:dyDescent="0.25">
      <c r="A168" t="str">
        <f t="shared" si="38"/>
        <v>1A,1A Maths,1A Ing,T02650</v>
      </c>
      <c r="B168" t="str">
        <f>"GUEPIN"</f>
        <v>GUEPIN</v>
      </c>
      <c r="C168" t="str">
        <f>"Loïc"</f>
        <v>Loïc</v>
      </c>
      <c r="D168" t="str">
        <f>"024-2745"</f>
        <v>024-2745</v>
      </c>
      <c r="E168" t="str">
        <f>"153080101GB"</f>
        <v>153080101GB</v>
      </c>
      <c r="F168" t="str">
        <f t="shared" si="28"/>
        <v>0352480F</v>
      </c>
      <c r="G168" t="str">
        <f t="shared" si="29"/>
        <v>O</v>
      </c>
      <c r="H168">
        <v>10</v>
      </c>
      <c r="I168">
        <v>2005</v>
      </c>
      <c r="J168">
        <v>1</v>
      </c>
      <c r="K168" t="str">
        <f>"NBGE"</f>
        <v>NBGE</v>
      </c>
      <c r="L168">
        <v>24</v>
      </c>
      <c r="M168">
        <v>2022</v>
      </c>
      <c r="N168" t="str">
        <f>"D"</f>
        <v>D</v>
      </c>
      <c r="O168" t="str">
        <f>"A"</f>
        <v>A</v>
      </c>
      <c r="P168">
        <v>0</v>
      </c>
      <c r="Q168">
        <v>100</v>
      </c>
      <c r="R168">
        <v>100</v>
      </c>
      <c r="S168">
        <v>35131</v>
      </c>
      <c r="T168">
        <v>100</v>
      </c>
      <c r="U168">
        <v>35131</v>
      </c>
      <c r="V168" t="str">
        <f>""</f>
        <v/>
      </c>
      <c r="W168">
        <v>34</v>
      </c>
      <c r="X168">
        <v>0</v>
      </c>
      <c r="Y168">
        <v>6000577</v>
      </c>
      <c r="Z168">
        <v>1</v>
      </c>
      <c r="AA168">
        <v>27</v>
      </c>
      <c r="AB168" t="str">
        <f>""</f>
        <v/>
      </c>
      <c r="AC168" t="str">
        <f>""</f>
        <v/>
      </c>
      <c r="AD168" t="str">
        <f>""</f>
        <v/>
      </c>
      <c r="AE168">
        <v>2022</v>
      </c>
      <c r="AF168">
        <v>2024</v>
      </c>
      <c r="AG168" t="str">
        <f>"Chartres-de-Bretagne"</f>
        <v>Chartres-de-Bretagne</v>
      </c>
      <c r="AH168" t="str">
        <f>"Chartres-de-Bretagne"</f>
        <v>Chartres-de-Bretagne</v>
      </c>
      <c r="AI168" t="str">
        <f>""</f>
        <v/>
      </c>
      <c r="AJ168" t="str">
        <f>""</f>
        <v/>
      </c>
      <c r="AK168" t="str">
        <f>""</f>
        <v/>
      </c>
      <c r="AL168">
        <v>38</v>
      </c>
      <c r="AM168" t="str">
        <f>""</f>
        <v/>
      </c>
      <c r="AN168" t="str">
        <f>""</f>
        <v/>
      </c>
      <c r="AO168" t="str">
        <f>"Lycée Saint-Laurent la paix Notre Dame"</f>
        <v>Lycée Saint-Laurent la paix Notre Dame</v>
      </c>
      <c r="AP168" t="str">
        <f>"LAGNY-SUR-MARNE"</f>
        <v>LAGNY-SUR-MARNE</v>
      </c>
      <c r="AQ168" t="str">
        <f>"Créteil"</f>
        <v>Créteil</v>
      </c>
    </row>
    <row r="169" spans="1:43" x14ac:dyDescent="0.25">
      <c r="A169" t="str">
        <f t="shared" si="38"/>
        <v>1A,1A Maths,1A Ing,T02650</v>
      </c>
      <c r="B169" t="str">
        <f>"GUERIMAND"</f>
        <v>GUERIMAND</v>
      </c>
      <c r="C169" t="str">
        <f>"Matthieu"</f>
        <v>Matthieu</v>
      </c>
      <c r="D169" t="str">
        <f>"023-2547"</f>
        <v>023-2547</v>
      </c>
      <c r="E169" t="str">
        <f>"070252257KA"</f>
        <v>070252257KA</v>
      </c>
      <c r="F169" t="str">
        <f t="shared" si="28"/>
        <v>0352480F</v>
      </c>
      <c r="G169" t="str">
        <f t="shared" si="29"/>
        <v>O</v>
      </c>
      <c r="H169">
        <v>10</v>
      </c>
      <c r="I169">
        <v>2003</v>
      </c>
      <c r="J169">
        <v>1</v>
      </c>
      <c r="K169" t="str">
        <f>"S"</f>
        <v>S</v>
      </c>
      <c r="L169">
        <v>23</v>
      </c>
      <c r="M169">
        <v>2021</v>
      </c>
      <c r="N169" t="str">
        <f>"E"</f>
        <v>E</v>
      </c>
      <c r="O169" t="str">
        <f>"A"</f>
        <v>A</v>
      </c>
      <c r="P169">
        <v>0</v>
      </c>
      <c r="Q169">
        <v>100</v>
      </c>
      <c r="R169">
        <v>100</v>
      </c>
      <c r="S169">
        <v>35136</v>
      </c>
      <c r="T169">
        <v>100</v>
      </c>
      <c r="U169">
        <v>35136</v>
      </c>
      <c r="V169" t="str">
        <f>"TOEIC 1A le 24/05/20024 805"</f>
        <v>TOEIC 1A le 24/05/20024 805</v>
      </c>
      <c r="W169">
        <v>34</v>
      </c>
      <c r="X169">
        <v>0</v>
      </c>
      <c r="Y169">
        <v>6000577</v>
      </c>
      <c r="Z169">
        <v>1</v>
      </c>
      <c r="AA169">
        <v>27</v>
      </c>
      <c r="AB169" t="str">
        <f>""</f>
        <v/>
      </c>
      <c r="AC169" t="str">
        <f>""</f>
        <v/>
      </c>
      <c r="AD169" t="str">
        <f>""</f>
        <v/>
      </c>
      <c r="AE169">
        <v>2021</v>
      </c>
      <c r="AF169">
        <v>2023</v>
      </c>
      <c r="AG169" t="str">
        <f>"Saint-Jacques-de-la-Lande"</f>
        <v>Saint-Jacques-de-la-Lande</v>
      </c>
      <c r="AH169" t="str">
        <f>"Saint-Jacques-de-la-Lande"</f>
        <v>Saint-Jacques-de-la-Lande</v>
      </c>
      <c r="AI169" t="str">
        <f>""</f>
        <v/>
      </c>
      <c r="AJ169" t="str">
        <f>""</f>
        <v/>
      </c>
      <c r="AK169" t="str">
        <f>""</f>
        <v/>
      </c>
      <c r="AL169">
        <v>33</v>
      </c>
      <c r="AM169" t="str">
        <f>""</f>
        <v/>
      </c>
      <c r="AN169" t="str">
        <f>""</f>
        <v/>
      </c>
      <c r="AO169" t="str">
        <f>"Don Bosco"</f>
        <v>Don Bosco</v>
      </c>
      <c r="AP169" t="str">
        <f>"NICE"</f>
        <v>NICE</v>
      </c>
      <c r="AQ169" t="str">
        <f>"Nice"</f>
        <v>Nice</v>
      </c>
    </row>
    <row r="170" spans="1:43" x14ac:dyDescent="0.25">
      <c r="A170" t="str">
        <f t="shared" si="38"/>
        <v>1A,1A Maths,1A Ing,T02650</v>
      </c>
      <c r="B170" t="str">
        <f>"HULAIN"</f>
        <v>HULAIN</v>
      </c>
      <c r="C170" t="str">
        <f>"Batiste"</f>
        <v>Batiste</v>
      </c>
      <c r="D170" t="str">
        <f>"024-2748"</f>
        <v>024-2748</v>
      </c>
      <c r="E170" t="str">
        <f>"080894535HA"</f>
        <v>080894535HA</v>
      </c>
      <c r="F170" t="str">
        <f t="shared" si="28"/>
        <v>0352480F</v>
      </c>
      <c r="G170" t="str">
        <f t="shared" si="29"/>
        <v>O</v>
      </c>
      <c r="H170">
        <v>10</v>
      </c>
      <c r="I170">
        <v>2004</v>
      </c>
      <c r="J170">
        <v>1</v>
      </c>
      <c r="K170" t="str">
        <f t="shared" ref="K170:K186" si="40">"NBGE"</f>
        <v>NBGE</v>
      </c>
      <c r="L170">
        <v>8</v>
      </c>
      <c r="M170">
        <v>2022</v>
      </c>
      <c r="N170" t="str">
        <f t="shared" ref="N170:N179" si="41">"D"</f>
        <v>D</v>
      </c>
      <c r="O170" t="str">
        <f>"A"</f>
        <v>A</v>
      </c>
      <c r="P170">
        <v>0</v>
      </c>
      <c r="Q170">
        <v>100</v>
      </c>
      <c r="R170">
        <v>100</v>
      </c>
      <c r="S170">
        <v>35170</v>
      </c>
      <c r="T170">
        <v>100</v>
      </c>
      <c r="U170">
        <v>35170</v>
      </c>
      <c r="V170" t="str">
        <f>""</f>
        <v/>
      </c>
      <c r="W170">
        <v>46</v>
      </c>
      <c r="X170">
        <v>0</v>
      </c>
      <c r="Y170">
        <v>6000577</v>
      </c>
      <c r="Z170">
        <v>1</v>
      </c>
      <c r="AA170">
        <v>27</v>
      </c>
      <c r="AB170" t="str">
        <f>""</f>
        <v/>
      </c>
      <c r="AC170" t="str">
        <f>""</f>
        <v/>
      </c>
      <c r="AD170" t="str">
        <f>""</f>
        <v/>
      </c>
      <c r="AE170">
        <v>2022</v>
      </c>
      <c r="AF170">
        <v>2024</v>
      </c>
      <c r="AG170" t="str">
        <f>"Bruz"</f>
        <v>Bruz</v>
      </c>
      <c r="AH170" t="str">
        <f>"Bruz"</f>
        <v>Bruz</v>
      </c>
      <c r="AI170" t="str">
        <f>""</f>
        <v/>
      </c>
      <c r="AJ170" t="str">
        <f>""</f>
        <v/>
      </c>
      <c r="AK170" t="str">
        <f>""</f>
        <v/>
      </c>
      <c r="AL170">
        <v>38</v>
      </c>
      <c r="AM170" t="str">
        <f>""</f>
        <v/>
      </c>
      <c r="AN170" t="str">
        <f>""</f>
        <v/>
      </c>
      <c r="AO170" t="str">
        <f>"Lycée l'Oiselet"</f>
        <v>Lycée l'Oiselet</v>
      </c>
      <c r="AP170" t="str">
        <f>"BOURGOIN-JALLIEU"</f>
        <v>BOURGOIN-JALLIEU</v>
      </c>
      <c r="AQ170" t="str">
        <f>"Grenoble"</f>
        <v>Grenoble</v>
      </c>
    </row>
    <row r="171" spans="1:43" x14ac:dyDescent="0.25">
      <c r="A171" t="str">
        <f t="shared" si="38"/>
        <v>1A,1A Maths,1A Ing,T02650</v>
      </c>
      <c r="B171" t="str">
        <f>"KERMABON"</f>
        <v>KERMABON</v>
      </c>
      <c r="C171" t="str">
        <f>"Cléo"</f>
        <v>Cléo</v>
      </c>
      <c r="D171" t="str">
        <f>"024-2773"</f>
        <v>024-2773</v>
      </c>
      <c r="E171" t="str">
        <f>"153027477BE"</f>
        <v>153027477BE</v>
      </c>
      <c r="F171" t="str">
        <f t="shared" si="28"/>
        <v>0352480F</v>
      </c>
      <c r="G171" t="str">
        <f t="shared" si="29"/>
        <v>O</v>
      </c>
      <c r="H171">
        <v>10</v>
      </c>
      <c r="I171">
        <v>2004</v>
      </c>
      <c r="J171">
        <v>2</v>
      </c>
      <c r="K171" t="str">
        <f t="shared" si="40"/>
        <v>NBGE</v>
      </c>
      <c r="L171">
        <v>24</v>
      </c>
      <c r="M171">
        <v>2022</v>
      </c>
      <c r="N171" t="str">
        <f t="shared" si="41"/>
        <v>D</v>
      </c>
      <c r="O171" t="str">
        <f>"D"</f>
        <v>D</v>
      </c>
      <c r="P171">
        <v>0</v>
      </c>
      <c r="Q171">
        <v>100</v>
      </c>
      <c r="R171">
        <v>100</v>
      </c>
      <c r="S171">
        <v>35100</v>
      </c>
      <c r="T171">
        <v>100</v>
      </c>
      <c r="U171">
        <v>35100</v>
      </c>
      <c r="V171" t="str">
        <f>""</f>
        <v/>
      </c>
      <c r="W171">
        <v>37</v>
      </c>
      <c r="X171">
        <v>0</v>
      </c>
      <c r="Y171">
        <v>6000577</v>
      </c>
      <c r="Z171">
        <v>1</v>
      </c>
      <c r="AA171">
        <v>27</v>
      </c>
      <c r="AB171" t="str">
        <f>""</f>
        <v/>
      </c>
      <c r="AC171" t="str">
        <f>""</f>
        <v/>
      </c>
      <c r="AD171" t="str">
        <f>""</f>
        <v/>
      </c>
      <c r="AE171">
        <v>2022</v>
      </c>
      <c r="AF171">
        <v>2024</v>
      </c>
      <c r="AG171" t="str">
        <f>"Rennes"</f>
        <v>Rennes</v>
      </c>
      <c r="AH171" t="str">
        <f>"Rennes"</f>
        <v>Rennes</v>
      </c>
      <c r="AI171" t="str">
        <f>""</f>
        <v/>
      </c>
      <c r="AJ171" t="str">
        <f>""</f>
        <v/>
      </c>
      <c r="AK171" t="str">
        <f>""</f>
        <v/>
      </c>
      <c r="AL171">
        <v>31</v>
      </c>
      <c r="AM171" t="str">
        <f>""</f>
        <v/>
      </c>
      <c r="AN171" t="str">
        <f>""</f>
        <v/>
      </c>
      <c r="AO171" t="str">
        <f>"Hector Berlioz"</f>
        <v>Hector Berlioz</v>
      </c>
      <c r="AP171" t="str">
        <f>"VINCENNES"</f>
        <v>VINCENNES</v>
      </c>
      <c r="AQ171" t="str">
        <f>"Créteil"</f>
        <v>Créteil</v>
      </c>
    </row>
    <row r="172" spans="1:43" x14ac:dyDescent="0.25">
      <c r="A172" t="str">
        <f t="shared" si="38"/>
        <v>1A,1A Maths,1A Ing,T02650</v>
      </c>
      <c r="B172" t="str">
        <f>"LABINSKY"</f>
        <v>LABINSKY</v>
      </c>
      <c r="C172" t="str">
        <f>"Mayténa"</f>
        <v>Mayténa</v>
      </c>
      <c r="D172" t="str">
        <f>"024-2744"</f>
        <v>024-2744</v>
      </c>
      <c r="E172" t="str">
        <f>"060286699GC"</f>
        <v>060286699GC</v>
      </c>
      <c r="F172" t="str">
        <f t="shared" si="28"/>
        <v>0352480F</v>
      </c>
      <c r="G172" t="str">
        <f t="shared" si="29"/>
        <v>O</v>
      </c>
      <c r="H172">
        <v>10</v>
      </c>
      <c r="I172">
        <v>2003</v>
      </c>
      <c r="J172">
        <v>2</v>
      </c>
      <c r="K172" t="str">
        <f t="shared" si="40"/>
        <v>NBGE</v>
      </c>
      <c r="L172">
        <v>13</v>
      </c>
      <c r="M172">
        <v>2021</v>
      </c>
      <c r="N172" t="str">
        <f t="shared" si="41"/>
        <v>D</v>
      </c>
      <c r="O172" t="str">
        <f>"A"</f>
        <v>A</v>
      </c>
      <c r="P172">
        <v>0</v>
      </c>
      <c r="Q172">
        <v>100</v>
      </c>
      <c r="R172">
        <v>100</v>
      </c>
      <c r="S172">
        <v>35170</v>
      </c>
      <c r="T172">
        <v>100</v>
      </c>
      <c r="U172">
        <v>35170</v>
      </c>
      <c r="V172" t="str">
        <f>""</f>
        <v/>
      </c>
      <c r="W172">
        <v>53</v>
      </c>
      <c r="X172">
        <v>0</v>
      </c>
      <c r="Y172">
        <v>6000577</v>
      </c>
      <c r="Z172">
        <v>1</v>
      </c>
      <c r="AA172">
        <v>27</v>
      </c>
      <c r="AB172" t="str">
        <f>""</f>
        <v/>
      </c>
      <c r="AC172" t="str">
        <f>""</f>
        <v/>
      </c>
      <c r="AD172" t="str">
        <f>""</f>
        <v/>
      </c>
      <c r="AE172">
        <v>2021</v>
      </c>
      <c r="AF172">
        <v>2024</v>
      </c>
      <c r="AG172" t="str">
        <f>""</f>
        <v/>
      </c>
      <c r="AH172" t="str">
        <f>""</f>
        <v/>
      </c>
      <c r="AI172" t="str">
        <f>""</f>
        <v/>
      </c>
      <c r="AJ172" t="str">
        <f>""</f>
        <v/>
      </c>
      <c r="AK172" t="str">
        <f>""</f>
        <v/>
      </c>
      <c r="AL172">
        <v>37</v>
      </c>
      <c r="AM172" t="str">
        <f>""</f>
        <v/>
      </c>
      <c r="AN172" t="str">
        <f>""</f>
        <v/>
      </c>
      <c r="AO172" t="str">
        <f>"Camille Guérin"</f>
        <v>Camille Guérin</v>
      </c>
      <c r="AP172" t="str">
        <f>"POITIERS"</f>
        <v>POITIERS</v>
      </c>
      <c r="AQ172" t="str">
        <f>"Poitiers"</f>
        <v>Poitiers</v>
      </c>
    </row>
    <row r="173" spans="1:43" x14ac:dyDescent="0.25">
      <c r="A173" t="str">
        <f t="shared" si="38"/>
        <v>1A,1A Maths,1A Ing,T02650</v>
      </c>
      <c r="B173" t="str">
        <f>"LAPORTE"</f>
        <v>LAPORTE</v>
      </c>
      <c r="C173" t="str">
        <f>"Adam"</f>
        <v>Adam</v>
      </c>
      <c r="D173" t="str">
        <f>"024-2774"</f>
        <v>024-2774</v>
      </c>
      <c r="E173" t="str">
        <f>"070260400KF"</f>
        <v>070260400KF</v>
      </c>
      <c r="F173" t="str">
        <f t="shared" si="28"/>
        <v>0352480F</v>
      </c>
      <c r="G173" t="str">
        <f t="shared" si="29"/>
        <v>O</v>
      </c>
      <c r="H173">
        <v>10</v>
      </c>
      <c r="I173">
        <v>2004</v>
      </c>
      <c r="J173">
        <v>1</v>
      </c>
      <c r="K173" t="str">
        <f t="shared" si="40"/>
        <v>NBGE</v>
      </c>
      <c r="L173">
        <v>25</v>
      </c>
      <c r="M173">
        <v>2022</v>
      </c>
      <c r="N173" t="str">
        <f t="shared" si="41"/>
        <v>D</v>
      </c>
      <c r="O173" t="str">
        <f>"D"</f>
        <v>D</v>
      </c>
      <c r="P173">
        <v>0</v>
      </c>
      <c r="Q173">
        <v>100</v>
      </c>
      <c r="R173">
        <v>100</v>
      </c>
      <c r="S173">
        <v>35170</v>
      </c>
      <c r="T173">
        <v>100</v>
      </c>
      <c r="U173">
        <v>35170</v>
      </c>
      <c r="V173" t="str">
        <f>""</f>
        <v/>
      </c>
      <c r="W173">
        <v>38</v>
      </c>
      <c r="X173">
        <v>0</v>
      </c>
      <c r="Y173">
        <v>6000577</v>
      </c>
      <c r="Z173">
        <v>1</v>
      </c>
      <c r="AA173">
        <v>27</v>
      </c>
      <c r="AB173" t="str">
        <f>""</f>
        <v/>
      </c>
      <c r="AC173" t="str">
        <f>""</f>
        <v/>
      </c>
      <c r="AD173" t="str">
        <f>""</f>
        <v/>
      </c>
      <c r="AE173">
        <v>2022</v>
      </c>
      <c r="AF173">
        <v>2024</v>
      </c>
      <c r="AG173" t="str">
        <f>"BRUZ"</f>
        <v>BRUZ</v>
      </c>
      <c r="AH173" t="str">
        <f>"BRUZ"</f>
        <v>BRUZ</v>
      </c>
      <c r="AI173" t="str">
        <f>""</f>
        <v/>
      </c>
      <c r="AJ173" t="str">
        <f>""</f>
        <v/>
      </c>
      <c r="AK173" t="str">
        <f>""</f>
        <v/>
      </c>
      <c r="AL173">
        <v>31</v>
      </c>
      <c r="AM173" t="str">
        <f>""</f>
        <v/>
      </c>
      <c r="AN173" t="str">
        <f>""</f>
        <v/>
      </c>
      <c r="AO173" t="str">
        <f>"Essouriau"</f>
        <v>Essouriau</v>
      </c>
      <c r="AP173" t="str">
        <f>"LES ULIS"</f>
        <v>LES ULIS</v>
      </c>
      <c r="AQ173" t="str">
        <f>"Versailles"</f>
        <v>Versailles</v>
      </c>
    </row>
    <row r="174" spans="1:43" x14ac:dyDescent="0.25">
      <c r="A174" t="str">
        <f t="shared" si="38"/>
        <v>1A,1A Maths,1A Ing,T02650</v>
      </c>
      <c r="B174" t="str">
        <f>"LAVIEC"</f>
        <v>LAVIEC</v>
      </c>
      <c r="C174" t="str">
        <f>"Elsa"</f>
        <v>Elsa</v>
      </c>
      <c r="D174" t="str">
        <f>"024-2743"</f>
        <v>024-2743</v>
      </c>
      <c r="E174" t="str">
        <f>"070064582HA"</f>
        <v>070064582HA</v>
      </c>
      <c r="F174" t="str">
        <f t="shared" si="28"/>
        <v>0352480F</v>
      </c>
      <c r="G174" t="str">
        <f t="shared" si="29"/>
        <v>O</v>
      </c>
      <c r="H174">
        <v>10</v>
      </c>
      <c r="I174">
        <v>2004</v>
      </c>
      <c r="J174">
        <v>2</v>
      </c>
      <c r="K174" t="str">
        <f t="shared" si="40"/>
        <v>NBGE</v>
      </c>
      <c r="L174">
        <v>13</v>
      </c>
      <c r="M174">
        <v>2022</v>
      </c>
      <c r="N174" t="str">
        <f t="shared" si="41"/>
        <v>D</v>
      </c>
      <c r="O174" t="str">
        <f>"D"</f>
        <v>D</v>
      </c>
      <c r="P174">
        <v>0</v>
      </c>
      <c r="Q174">
        <v>100</v>
      </c>
      <c r="R174">
        <v>100</v>
      </c>
      <c r="S174">
        <v>35170</v>
      </c>
      <c r="T174">
        <v>100</v>
      </c>
      <c r="U174">
        <v>35170</v>
      </c>
      <c r="V174" t="str">
        <f>""</f>
        <v/>
      </c>
      <c r="W174">
        <v>99</v>
      </c>
      <c r="X174">
        <v>0</v>
      </c>
      <c r="Y174">
        <v>6000577</v>
      </c>
      <c r="Z174">
        <v>1</v>
      </c>
      <c r="AA174">
        <v>27</v>
      </c>
      <c r="AB174" t="str">
        <f>""</f>
        <v/>
      </c>
      <c r="AC174" t="str">
        <f>""</f>
        <v/>
      </c>
      <c r="AD174" t="str">
        <f>""</f>
        <v/>
      </c>
      <c r="AE174">
        <v>2022</v>
      </c>
      <c r="AF174">
        <v>2024</v>
      </c>
      <c r="AG174" t="str">
        <f>"Bruz"</f>
        <v>Bruz</v>
      </c>
      <c r="AH174" t="str">
        <f>"Bruz"</f>
        <v>Bruz</v>
      </c>
      <c r="AI174" t="str">
        <f>""</f>
        <v/>
      </c>
      <c r="AJ174" t="str">
        <f>""</f>
        <v/>
      </c>
      <c r="AK174" t="str">
        <f>""</f>
        <v/>
      </c>
      <c r="AL174">
        <v>37</v>
      </c>
      <c r="AM174" t="str">
        <f>""</f>
        <v/>
      </c>
      <c r="AN174" t="str">
        <f>""</f>
        <v/>
      </c>
      <c r="AO174" t="str">
        <f>"Lycée Saint André"</f>
        <v>Lycée Saint André</v>
      </c>
      <c r="AP174" t="str">
        <f>"NIORT"</f>
        <v>NIORT</v>
      </c>
      <c r="AQ174" t="str">
        <f>"Poitiers"</f>
        <v>Poitiers</v>
      </c>
    </row>
    <row r="175" spans="1:43" x14ac:dyDescent="0.25">
      <c r="A175" t="str">
        <f t="shared" si="38"/>
        <v>1A,1A Maths,1A Ing,T02650</v>
      </c>
      <c r="B175" t="str">
        <f>"MICHEL"</f>
        <v>MICHEL</v>
      </c>
      <c r="C175" t="str">
        <f>"Nil"</f>
        <v>Nil</v>
      </c>
      <c r="D175" t="str">
        <f>"024-2724"</f>
        <v>024-2724</v>
      </c>
      <c r="E175" t="str">
        <f>"071735564BA"</f>
        <v>071735564BA</v>
      </c>
      <c r="F175" t="str">
        <f t="shared" si="28"/>
        <v>0352480F</v>
      </c>
      <c r="G175" t="str">
        <f t="shared" si="29"/>
        <v>O</v>
      </c>
      <c r="H175">
        <v>10</v>
      </c>
      <c r="I175">
        <v>2004</v>
      </c>
      <c r="J175">
        <v>1</v>
      </c>
      <c r="K175" t="str">
        <f t="shared" si="40"/>
        <v>NBGE</v>
      </c>
      <c r="L175">
        <v>5</v>
      </c>
      <c r="M175">
        <v>2022</v>
      </c>
      <c r="N175" t="str">
        <f t="shared" si="41"/>
        <v>D</v>
      </c>
      <c r="O175" t="str">
        <f>"A"</f>
        <v>A</v>
      </c>
      <c r="P175">
        <v>0</v>
      </c>
      <c r="Q175">
        <v>100</v>
      </c>
      <c r="R175">
        <v>100</v>
      </c>
      <c r="S175">
        <v>14860</v>
      </c>
      <c r="T175">
        <v>100</v>
      </c>
      <c r="U175">
        <v>14860</v>
      </c>
      <c r="V175" t="str">
        <f>""</f>
        <v/>
      </c>
      <c r="W175">
        <v>38</v>
      </c>
      <c r="X175">
        <v>0</v>
      </c>
      <c r="Y175">
        <v>6000577</v>
      </c>
      <c r="Z175">
        <v>1</v>
      </c>
      <c r="AA175">
        <v>27</v>
      </c>
      <c r="AB175" t="str">
        <f>""</f>
        <v/>
      </c>
      <c r="AC175" t="str">
        <f>""</f>
        <v/>
      </c>
      <c r="AD175" t="str">
        <f>""</f>
        <v/>
      </c>
      <c r="AE175">
        <v>2022</v>
      </c>
      <c r="AF175">
        <v>2024</v>
      </c>
      <c r="AG175" t="str">
        <f>""</f>
        <v/>
      </c>
      <c r="AH175" t="str">
        <f>""</f>
        <v/>
      </c>
      <c r="AI175" t="str">
        <f>""</f>
        <v/>
      </c>
      <c r="AJ175" t="str">
        <f>""</f>
        <v/>
      </c>
      <c r="AK175" t="str">
        <f>""</f>
        <v/>
      </c>
      <c r="AL175">
        <v>37</v>
      </c>
      <c r="AM175" t="str">
        <f>""</f>
        <v/>
      </c>
      <c r="AN175" t="str">
        <f>""</f>
        <v/>
      </c>
      <c r="AO175" t="str">
        <f>"Dumont D'urville"</f>
        <v>Dumont D'urville</v>
      </c>
      <c r="AP175" t="str">
        <f>"CAEN"</f>
        <v>CAEN</v>
      </c>
      <c r="AQ175" t="str">
        <f>"Caen"</f>
        <v>Caen</v>
      </c>
    </row>
    <row r="176" spans="1:43" x14ac:dyDescent="0.25">
      <c r="A176" t="str">
        <f t="shared" si="38"/>
        <v>1A,1A Maths,1A Ing,T02650</v>
      </c>
      <c r="B176" t="str">
        <f>"NACEUR"</f>
        <v>NACEUR</v>
      </c>
      <c r="C176" t="str">
        <f>"Paul-Armand"</f>
        <v>Paul-Armand</v>
      </c>
      <c r="D176" t="str">
        <f>"024-2727"</f>
        <v>024-2727</v>
      </c>
      <c r="E176" t="str">
        <f>"072117629CJ"</f>
        <v>072117629CJ</v>
      </c>
      <c r="F176" t="str">
        <f t="shared" si="28"/>
        <v>0352480F</v>
      </c>
      <c r="G176" t="str">
        <f t="shared" si="29"/>
        <v>O</v>
      </c>
      <c r="H176">
        <v>10</v>
      </c>
      <c r="I176">
        <v>2003</v>
      </c>
      <c r="J176">
        <v>1</v>
      </c>
      <c r="K176" t="str">
        <f t="shared" si="40"/>
        <v>NBGE</v>
      </c>
      <c r="L176">
        <v>28</v>
      </c>
      <c r="M176">
        <v>2021</v>
      </c>
      <c r="N176" t="str">
        <f t="shared" si="41"/>
        <v>D</v>
      </c>
      <c r="O176" t="str">
        <f>"A"</f>
        <v>A</v>
      </c>
      <c r="P176">
        <v>0</v>
      </c>
      <c r="Q176">
        <v>100</v>
      </c>
      <c r="R176">
        <v>100</v>
      </c>
      <c r="S176">
        <v>35000</v>
      </c>
      <c r="T176">
        <v>100</v>
      </c>
      <c r="U176">
        <v>35000</v>
      </c>
      <c r="V176" t="str">
        <f>""</f>
        <v/>
      </c>
      <c r="W176">
        <v>45</v>
      </c>
      <c r="X176">
        <v>0</v>
      </c>
      <c r="Y176">
        <v>6000577</v>
      </c>
      <c r="Z176">
        <v>1</v>
      </c>
      <c r="AA176">
        <v>27</v>
      </c>
      <c r="AB176" t="str">
        <f>""</f>
        <v/>
      </c>
      <c r="AC176" t="str">
        <f>""</f>
        <v/>
      </c>
      <c r="AD176" t="str">
        <f>""</f>
        <v/>
      </c>
      <c r="AE176">
        <v>2021</v>
      </c>
      <c r="AF176">
        <v>2024</v>
      </c>
      <c r="AG176" t="str">
        <f>"Rennes"</f>
        <v>Rennes</v>
      </c>
      <c r="AH176" t="str">
        <f>"Rennes"</f>
        <v>Rennes</v>
      </c>
      <c r="AI176" t="str">
        <f>""</f>
        <v/>
      </c>
      <c r="AJ176" t="str">
        <f>""</f>
        <v/>
      </c>
      <c r="AK176" t="str">
        <f>""</f>
        <v/>
      </c>
      <c r="AL176">
        <v>34</v>
      </c>
      <c r="AM176" t="str">
        <f>""</f>
        <v/>
      </c>
      <c r="AN176" t="str">
        <f>""</f>
        <v/>
      </c>
      <c r="AO176" t="str">
        <f>"Lycée Stella Matutina"</f>
        <v>Lycée Stella Matutina</v>
      </c>
      <c r="AP176" t="str">
        <f>"SAINT LEU"</f>
        <v>SAINT LEU</v>
      </c>
      <c r="AQ176" t="str">
        <f>"La Réunion"</f>
        <v>La Réunion</v>
      </c>
    </row>
    <row r="177" spans="1:43" x14ac:dyDescent="0.25">
      <c r="A177" t="str">
        <f t="shared" si="38"/>
        <v>1A,1A Maths,1A Ing,T02650</v>
      </c>
      <c r="B177" t="str">
        <f>"NAPOLITANO"</f>
        <v>NAPOLITANO</v>
      </c>
      <c r="C177" t="str">
        <f>"Joé"</f>
        <v>Joé</v>
      </c>
      <c r="D177" t="str">
        <f>"024-2781"</f>
        <v>024-2781</v>
      </c>
      <c r="E177" t="str">
        <f>"153158832KE"</f>
        <v>153158832KE</v>
      </c>
      <c r="F177" t="str">
        <f t="shared" si="28"/>
        <v>0352480F</v>
      </c>
      <c r="G177" t="str">
        <f t="shared" si="29"/>
        <v>O</v>
      </c>
      <c r="H177">
        <v>10</v>
      </c>
      <c r="I177">
        <v>2005</v>
      </c>
      <c r="J177">
        <v>1</v>
      </c>
      <c r="K177" t="str">
        <f t="shared" si="40"/>
        <v>NBGE</v>
      </c>
      <c r="L177">
        <v>8</v>
      </c>
      <c r="M177">
        <v>2022</v>
      </c>
      <c r="N177" t="str">
        <f t="shared" si="41"/>
        <v>D</v>
      </c>
      <c r="O177" t="str">
        <f>"D"</f>
        <v>D</v>
      </c>
      <c r="P177">
        <v>0</v>
      </c>
      <c r="Q177">
        <v>100</v>
      </c>
      <c r="R177">
        <v>100</v>
      </c>
      <c r="S177" t="str">
        <f>""</f>
        <v/>
      </c>
      <c r="T177">
        <v>100</v>
      </c>
      <c r="U177" t="str">
        <f>""</f>
        <v/>
      </c>
      <c r="V177" t="str">
        <f>""</f>
        <v/>
      </c>
      <c r="W177">
        <v>74</v>
      </c>
      <c r="X177">
        <v>0</v>
      </c>
      <c r="Y177">
        <v>6000577</v>
      </c>
      <c r="Z177">
        <v>1</v>
      </c>
      <c r="AA177">
        <v>27</v>
      </c>
      <c r="AB177" t="str">
        <f>""</f>
        <v/>
      </c>
      <c r="AC177" t="str">
        <f>""</f>
        <v/>
      </c>
      <c r="AD177" t="str">
        <f>""</f>
        <v/>
      </c>
      <c r="AE177">
        <v>2022</v>
      </c>
      <c r="AF177">
        <v>2024</v>
      </c>
      <c r="AG177" t="str">
        <f>""</f>
        <v/>
      </c>
      <c r="AH177" t="str">
        <f>""</f>
        <v/>
      </c>
      <c r="AI177" t="str">
        <f>""</f>
        <v/>
      </c>
      <c r="AJ177" t="str">
        <f>""</f>
        <v/>
      </c>
      <c r="AK177" t="str">
        <f>""</f>
        <v/>
      </c>
      <c r="AL177">
        <v>34</v>
      </c>
      <c r="AM177" t="str">
        <f>""</f>
        <v/>
      </c>
      <c r="AN177" t="str">
        <f>""</f>
        <v/>
      </c>
      <c r="AO177" t="str">
        <f>"Lycée Marcel Gimond"</f>
        <v>Lycée Marcel Gimond</v>
      </c>
      <c r="AP177" t="str">
        <f>"AUBENAS"</f>
        <v>AUBENAS</v>
      </c>
      <c r="AQ177" t="str">
        <f>"Grenoble"</f>
        <v>Grenoble</v>
      </c>
    </row>
    <row r="178" spans="1:43" x14ac:dyDescent="0.25">
      <c r="A178" t="str">
        <f t="shared" si="38"/>
        <v>1A,1A Maths,1A Ing,T02650</v>
      </c>
      <c r="B178" t="str">
        <f>"NEVEU"</f>
        <v>NEVEU</v>
      </c>
      <c r="C178" t="str">
        <f>"Jasmin"</f>
        <v>Jasmin</v>
      </c>
      <c r="D178" t="str">
        <f>"024-2812"</f>
        <v>024-2812</v>
      </c>
      <c r="E178" t="str">
        <f>"080295277GC"</f>
        <v>080295277GC</v>
      </c>
      <c r="F178" t="str">
        <f t="shared" si="28"/>
        <v>0352480F</v>
      </c>
      <c r="G178" t="str">
        <f t="shared" si="29"/>
        <v>O</v>
      </c>
      <c r="H178">
        <v>10</v>
      </c>
      <c r="I178">
        <v>2004</v>
      </c>
      <c r="J178">
        <v>1</v>
      </c>
      <c r="K178" t="str">
        <f t="shared" si="40"/>
        <v>NBGE</v>
      </c>
      <c r="L178">
        <v>18</v>
      </c>
      <c r="M178">
        <v>2022</v>
      </c>
      <c r="N178" t="str">
        <f t="shared" si="41"/>
        <v>D</v>
      </c>
      <c r="O178" t="str">
        <f>"D"</f>
        <v>D</v>
      </c>
      <c r="P178">
        <v>0</v>
      </c>
      <c r="Q178">
        <v>100</v>
      </c>
      <c r="R178">
        <v>100</v>
      </c>
      <c r="S178">
        <v>35170</v>
      </c>
      <c r="T178">
        <v>100</v>
      </c>
      <c r="U178">
        <v>35170</v>
      </c>
      <c r="V178" t="str">
        <f>""</f>
        <v/>
      </c>
      <c r="W178">
        <v>42</v>
      </c>
      <c r="X178">
        <v>0</v>
      </c>
      <c r="Y178">
        <v>6000577</v>
      </c>
      <c r="Z178">
        <v>1</v>
      </c>
      <c r="AA178">
        <v>27</v>
      </c>
      <c r="AB178" t="str">
        <f>""</f>
        <v/>
      </c>
      <c r="AC178" t="str">
        <f>""</f>
        <v/>
      </c>
      <c r="AD178" t="str">
        <f>""</f>
        <v/>
      </c>
      <c r="AE178">
        <v>2022</v>
      </c>
      <c r="AF178">
        <v>2024</v>
      </c>
      <c r="AG178" t="str">
        <f>"Bruz"</f>
        <v>Bruz</v>
      </c>
      <c r="AH178" t="str">
        <f>"Bruz"</f>
        <v>Bruz</v>
      </c>
      <c r="AI178" t="str">
        <f>""</f>
        <v/>
      </c>
      <c r="AJ178" t="str">
        <f>""</f>
        <v/>
      </c>
      <c r="AK178" t="str">
        <f>""</f>
        <v/>
      </c>
      <c r="AL178">
        <v>42</v>
      </c>
      <c r="AM178" t="str">
        <f>""</f>
        <v/>
      </c>
      <c r="AN178" t="str">
        <f>""</f>
        <v/>
      </c>
      <c r="AO178" t="str">
        <f>"Charles Péguy"</f>
        <v>Charles Péguy</v>
      </c>
      <c r="AP178" t="str">
        <f>"ORLÉANS"</f>
        <v>ORLÉANS</v>
      </c>
      <c r="AQ178" t="str">
        <f>"Orléans-Tours"</f>
        <v>Orléans-Tours</v>
      </c>
    </row>
    <row r="179" spans="1:43" x14ac:dyDescent="0.25">
      <c r="A179" t="str">
        <f t="shared" si="38"/>
        <v>1A,1A Maths,1A Ing,T02650</v>
      </c>
      <c r="B179" t="str">
        <f>"OLIVIERO"</f>
        <v>OLIVIERO</v>
      </c>
      <c r="C179" t="str">
        <f>"Justine"</f>
        <v>Justine</v>
      </c>
      <c r="D179" t="str">
        <f>"024-2768"</f>
        <v>024-2768</v>
      </c>
      <c r="E179" t="str">
        <f>"071657349ED"</f>
        <v>071657349ED</v>
      </c>
      <c r="F179" t="str">
        <f t="shared" si="28"/>
        <v>0352480F</v>
      </c>
      <c r="G179" t="str">
        <f t="shared" si="29"/>
        <v>O</v>
      </c>
      <c r="H179">
        <v>10</v>
      </c>
      <c r="I179">
        <v>2004</v>
      </c>
      <c r="J179">
        <v>2</v>
      </c>
      <c r="K179" t="str">
        <f t="shared" si="40"/>
        <v>NBGE</v>
      </c>
      <c r="L179">
        <v>14</v>
      </c>
      <c r="M179">
        <v>2022</v>
      </c>
      <c r="N179" t="str">
        <f t="shared" si="41"/>
        <v>D</v>
      </c>
      <c r="O179" t="str">
        <f>"D"</f>
        <v>D</v>
      </c>
      <c r="P179">
        <v>0</v>
      </c>
      <c r="Q179">
        <v>100</v>
      </c>
      <c r="R179">
        <v>100</v>
      </c>
      <c r="S179">
        <v>35170</v>
      </c>
      <c r="T179">
        <v>100</v>
      </c>
      <c r="U179">
        <v>35170</v>
      </c>
      <c r="V179" t="str">
        <f>""</f>
        <v/>
      </c>
      <c r="W179">
        <v>10</v>
      </c>
      <c r="X179">
        <v>0</v>
      </c>
      <c r="Y179">
        <v>6000577</v>
      </c>
      <c r="Z179">
        <v>1</v>
      </c>
      <c r="AA179">
        <v>27</v>
      </c>
      <c r="AB179" t="str">
        <f>""</f>
        <v/>
      </c>
      <c r="AC179" t="str">
        <f>""</f>
        <v/>
      </c>
      <c r="AD179" t="str">
        <f>""</f>
        <v/>
      </c>
      <c r="AE179">
        <v>2022</v>
      </c>
      <c r="AF179">
        <v>2024</v>
      </c>
      <c r="AG179" t="str">
        <f>"Bruz"</f>
        <v>Bruz</v>
      </c>
      <c r="AH179" t="str">
        <f>"Bruz"</f>
        <v>Bruz</v>
      </c>
      <c r="AI179" t="str">
        <f>""</f>
        <v/>
      </c>
      <c r="AJ179" t="str">
        <f>""</f>
        <v/>
      </c>
      <c r="AK179" t="str">
        <f>""</f>
        <v/>
      </c>
      <c r="AL179">
        <v>10</v>
      </c>
      <c r="AM179" t="str">
        <f>""</f>
        <v/>
      </c>
      <c r="AN179" t="str">
        <f>""</f>
        <v/>
      </c>
      <c r="AO179" t="str">
        <f>"Sainte Anne"</f>
        <v>Sainte Anne</v>
      </c>
      <c r="AP179" t="str">
        <f>"SAINTE ANNE D'AURAY"</f>
        <v>SAINTE ANNE D'AURAY</v>
      </c>
      <c r="AQ179" t="str">
        <f>"Rennes"</f>
        <v>Rennes</v>
      </c>
    </row>
    <row r="180" spans="1:43" x14ac:dyDescent="0.25">
      <c r="A180" t="str">
        <f t="shared" si="38"/>
        <v>1A,1A Maths,1A Ing,T02650</v>
      </c>
      <c r="B180" t="str">
        <f>"PELLE"</f>
        <v>PELLE</v>
      </c>
      <c r="C180" t="str">
        <f>"Maïwenn"</f>
        <v>Maïwenn</v>
      </c>
      <c r="D180" t="str">
        <f>"024-2649"</f>
        <v>024-2649</v>
      </c>
      <c r="E180" t="str">
        <f>"071251789EG"</f>
        <v>071251789EG</v>
      </c>
      <c r="F180" t="str">
        <f t="shared" si="28"/>
        <v>0352480F</v>
      </c>
      <c r="G180" t="str">
        <f t="shared" si="29"/>
        <v>O</v>
      </c>
      <c r="H180">
        <v>10</v>
      </c>
      <c r="I180">
        <v>2003</v>
      </c>
      <c r="J180">
        <v>2</v>
      </c>
      <c r="K180" t="str">
        <f t="shared" si="40"/>
        <v>NBGE</v>
      </c>
      <c r="L180">
        <v>14</v>
      </c>
      <c r="M180">
        <v>2021</v>
      </c>
      <c r="N180" t="str">
        <f>"H"</f>
        <v>H</v>
      </c>
      <c r="O180" t="str">
        <f>"N"</f>
        <v>N</v>
      </c>
      <c r="P180">
        <v>0</v>
      </c>
      <c r="Q180">
        <v>100</v>
      </c>
      <c r="R180">
        <v>100</v>
      </c>
      <c r="S180">
        <v>35000</v>
      </c>
      <c r="T180">
        <v>100</v>
      </c>
      <c r="U180">
        <v>35000</v>
      </c>
      <c r="V180" t="str">
        <f>""</f>
        <v/>
      </c>
      <c r="W180">
        <v>54</v>
      </c>
      <c r="X180">
        <v>0</v>
      </c>
      <c r="Y180">
        <v>6000577</v>
      </c>
      <c r="Z180">
        <v>1</v>
      </c>
      <c r="AA180">
        <v>27</v>
      </c>
      <c r="AB180" t="str">
        <f>""</f>
        <v/>
      </c>
      <c r="AC180" t="str">
        <f>""</f>
        <v/>
      </c>
      <c r="AD180" t="str">
        <f>""</f>
        <v/>
      </c>
      <c r="AE180">
        <v>2021</v>
      </c>
      <c r="AF180">
        <v>2024</v>
      </c>
      <c r="AG180" t="str">
        <f>"Rennes"</f>
        <v>Rennes</v>
      </c>
      <c r="AH180" t="str">
        <f>"Rennes"</f>
        <v>Rennes</v>
      </c>
      <c r="AI180" t="str">
        <f>""</f>
        <v/>
      </c>
      <c r="AJ180" t="str">
        <f>""</f>
        <v/>
      </c>
      <c r="AK180" t="str">
        <f>""</f>
        <v/>
      </c>
      <c r="AL180">
        <v>38</v>
      </c>
      <c r="AM180" t="str">
        <f>""</f>
        <v/>
      </c>
      <c r="AN180" t="str">
        <f>""</f>
        <v/>
      </c>
      <c r="AO180" t="str">
        <f>"Lycée Joseph Loth"</f>
        <v>Lycée Joseph Loth</v>
      </c>
      <c r="AP180" t="str">
        <f>"PONTIVY"</f>
        <v>PONTIVY</v>
      </c>
      <c r="AQ180" t="str">
        <f>"Rennes"</f>
        <v>Rennes</v>
      </c>
    </row>
    <row r="181" spans="1:43" x14ac:dyDescent="0.25">
      <c r="A181" t="str">
        <f t="shared" si="38"/>
        <v>1A,1A Maths,1A Ing,T02650</v>
      </c>
      <c r="B181" t="str">
        <f>"PINSARD"</f>
        <v>PINSARD</v>
      </c>
      <c r="C181" t="str">
        <f>"Clémence"</f>
        <v>Clémence</v>
      </c>
      <c r="D181" t="str">
        <f>"024-2733"</f>
        <v>024-2733</v>
      </c>
      <c r="E181" t="str">
        <f>"070444834FJ"</f>
        <v>070444834FJ</v>
      </c>
      <c r="F181" t="str">
        <f t="shared" si="28"/>
        <v>0352480F</v>
      </c>
      <c r="G181" t="str">
        <f t="shared" si="29"/>
        <v>O</v>
      </c>
      <c r="H181">
        <v>10</v>
      </c>
      <c r="I181">
        <v>2004</v>
      </c>
      <c r="J181">
        <v>2</v>
      </c>
      <c r="K181" t="str">
        <f t="shared" si="40"/>
        <v>NBGE</v>
      </c>
      <c r="L181">
        <v>14</v>
      </c>
      <c r="M181">
        <v>2022</v>
      </c>
      <c r="N181" t="str">
        <f>"D"</f>
        <v>D</v>
      </c>
      <c r="O181" t="str">
        <f>"D"</f>
        <v>D</v>
      </c>
      <c r="P181">
        <v>0</v>
      </c>
      <c r="Q181">
        <v>100</v>
      </c>
      <c r="R181">
        <v>100</v>
      </c>
      <c r="S181">
        <v>35230</v>
      </c>
      <c r="T181">
        <v>100</v>
      </c>
      <c r="U181">
        <v>35230</v>
      </c>
      <c r="V181" t="str">
        <f>""</f>
        <v/>
      </c>
      <c r="W181">
        <v>46</v>
      </c>
      <c r="X181">
        <v>0</v>
      </c>
      <c r="Y181">
        <v>6000577</v>
      </c>
      <c r="Z181">
        <v>1</v>
      </c>
      <c r="AA181">
        <v>27</v>
      </c>
      <c r="AB181" t="str">
        <f>""</f>
        <v/>
      </c>
      <c r="AC181" t="str">
        <f>""</f>
        <v/>
      </c>
      <c r="AD181" t="str">
        <f>""</f>
        <v/>
      </c>
      <c r="AE181">
        <v>2022</v>
      </c>
      <c r="AF181">
        <v>2024</v>
      </c>
      <c r="AG181" t="str">
        <f>"Noyal Chatillon sur Seiche"</f>
        <v>Noyal Chatillon sur Seiche</v>
      </c>
      <c r="AH181" t="str">
        <f>"Noyal Chatillon sur Seiche"</f>
        <v>Noyal Chatillon sur Seiche</v>
      </c>
      <c r="AI181" t="str">
        <f>""</f>
        <v/>
      </c>
      <c r="AJ181" t="str">
        <f>""</f>
        <v/>
      </c>
      <c r="AK181" t="str">
        <f>""</f>
        <v/>
      </c>
      <c r="AL181">
        <v>37</v>
      </c>
      <c r="AM181" t="str">
        <f>""</f>
        <v/>
      </c>
      <c r="AN181" t="str">
        <f>""</f>
        <v/>
      </c>
      <c r="AO181" t="str">
        <f>"Lycée Bréquigny"</f>
        <v>Lycée Bréquigny</v>
      </c>
      <c r="AP181" t="str">
        <f>"RENNES"</f>
        <v>RENNES</v>
      </c>
      <c r="AQ181" t="str">
        <f>"Rennes"</f>
        <v>Rennes</v>
      </c>
    </row>
    <row r="182" spans="1:43" x14ac:dyDescent="0.25">
      <c r="A182" t="str">
        <f t="shared" si="38"/>
        <v>1A,1A Maths,1A Ing,T02650</v>
      </c>
      <c r="B182" t="str">
        <f>"ROCHÉ"</f>
        <v>ROCHÉ</v>
      </c>
      <c r="C182" t="str">
        <f>"Emma"</f>
        <v>Emma</v>
      </c>
      <c r="D182" t="str">
        <f>"024-2742"</f>
        <v>024-2742</v>
      </c>
      <c r="E182" t="str">
        <f>"071733892DD"</f>
        <v>071733892DD</v>
      </c>
      <c r="F182" t="str">
        <f t="shared" si="28"/>
        <v>0352480F</v>
      </c>
      <c r="G182" t="str">
        <f t="shared" si="29"/>
        <v>O</v>
      </c>
      <c r="H182">
        <v>10</v>
      </c>
      <c r="I182">
        <v>2004</v>
      </c>
      <c r="J182">
        <v>2</v>
      </c>
      <c r="K182" t="str">
        <f t="shared" si="40"/>
        <v>NBGE</v>
      </c>
      <c r="L182">
        <v>24</v>
      </c>
      <c r="M182">
        <v>2022</v>
      </c>
      <c r="N182" t="str">
        <f>""</f>
        <v/>
      </c>
      <c r="O182" t="str">
        <f>"A"</f>
        <v>A</v>
      </c>
      <c r="P182">
        <v>0</v>
      </c>
      <c r="Q182">
        <v>100</v>
      </c>
      <c r="R182">
        <v>100</v>
      </c>
      <c r="S182">
        <v>94210</v>
      </c>
      <c r="T182">
        <v>100</v>
      </c>
      <c r="U182">
        <v>94210</v>
      </c>
      <c r="V182" t="str">
        <f>""</f>
        <v/>
      </c>
      <c r="W182">
        <v>99</v>
      </c>
      <c r="X182">
        <v>0</v>
      </c>
      <c r="Y182">
        <v>6000577</v>
      </c>
      <c r="Z182">
        <v>1</v>
      </c>
      <c r="AA182">
        <v>27</v>
      </c>
      <c r="AB182" t="str">
        <f>""</f>
        <v/>
      </c>
      <c r="AC182" t="str">
        <f>""</f>
        <v/>
      </c>
      <c r="AD182" t="str">
        <f>""</f>
        <v/>
      </c>
      <c r="AE182">
        <v>2022</v>
      </c>
      <c r="AF182">
        <v>2024</v>
      </c>
      <c r="AG182" t="str">
        <f>"La Varenne Saint Hilaire"</f>
        <v>La Varenne Saint Hilaire</v>
      </c>
      <c r="AH182" t="str">
        <f>"La Varenne Saint Hilaire"</f>
        <v>La Varenne Saint Hilaire</v>
      </c>
      <c r="AI182" t="str">
        <f>""</f>
        <v/>
      </c>
      <c r="AJ182" t="str">
        <f>""</f>
        <v/>
      </c>
      <c r="AK182" t="str">
        <f>""</f>
        <v/>
      </c>
      <c r="AL182">
        <v>33</v>
      </c>
      <c r="AM182" t="str">
        <f>""</f>
        <v/>
      </c>
      <c r="AN182" t="str">
        <f>""</f>
        <v/>
      </c>
      <c r="AO182" t="str">
        <f>"Lycée François Mansart"</f>
        <v>Lycée François Mansart</v>
      </c>
      <c r="AP182" t="str">
        <f>"SAINT-MAUR-DES-FOSSÉS"</f>
        <v>SAINT-MAUR-DES-FOSSÉS</v>
      </c>
      <c r="AQ182" t="str">
        <f>"Créteil"</f>
        <v>Créteil</v>
      </c>
    </row>
    <row r="183" spans="1:43" x14ac:dyDescent="0.25">
      <c r="A183" t="str">
        <f t="shared" si="38"/>
        <v>1A,1A Maths,1A Ing,T02650</v>
      </c>
      <c r="B183" t="str">
        <f>"ROZÉ"</f>
        <v>ROZÉ</v>
      </c>
      <c r="C183" t="str">
        <f>"Marceau"</f>
        <v>Marceau</v>
      </c>
      <c r="D183" t="str">
        <f>"024-2722"</f>
        <v>024-2722</v>
      </c>
      <c r="E183" t="str">
        <f>"080227165JA"</f>
        <v>080227165JA</v>
      </c>
      <c r="F183" t="str">
        <f t="shared" si="28"/>
        <v>0352480F</v>
      </c>
      <c r="G183" t="str">
        <f t="shared" si="29"/>
        <v>O</v>
      </c>
      <c r="H183">
        <v>10</v>
      </c>
      <c r="I183">
        <v>2004</v>
      </c>
      <c r="J183">
        <v>1</v>
      </c>
      <c r="K183" t="str">
        <f t="shared" si="40"/>
        <v>NBGE</v>
      </c>
      <c r="L183">
        <v>17</v>
      </c>
      <c r="M183">
        <v>2022</v>
      </c>
      <c r="N183" t="str">
        <f t="shared" ref="N183:O186" si="42">"D"</f>
        <v>D</v>
      </c>
      <c r="O183" t="str">
        <f t="shared" si="42"/>
        <v>D</v>
      </c>
      <c r="P183">
        <v>0</v>
      </c>
      <c r="Q183">
        <v>100</v>
      </c>
      <c r="R183">
        <v>100</v>
      </c>
      <c r="S183" t="str">
        <f>""</f>
        <v/>
      </c>
      <c r="T183">
        <v>100</v>
      </c>
      <c r="U183" t="str">
        <f>""</f>
        <v/>
      </c>
      <c r="V183" t="str">
        <f>""</f>
        <v/>
      </c>
      <c r="W183">
        <v>37</v>
      </c>
      <c r="X183">
        <v>0</v>
      </c>
      <c r="Y183">
        <v>6000577</v>
      </c>
      <c r="Z183">
        <v>1</v>
      </c>
      <c r="AA183">
        <v>27</v>
      </c>
      <c r="AB183" t="str">
        <f>""</f>
        <v/>
      </c>
      <c r="AC183" t="str">
        <f>""</f>
        <v/>
      </c>
      <c r="AD183" t="str">
        <f>""</f>
        <v/>
      </c>
      <c r="AE183">
        <v>2022</v>
      </c>
      <c r="AF183">
        <v>2024</v>
      </c>
      <c r="AG183" t="str">
        <f>""</f>
        <v/>
      </c>
      <c r="AH183" t="str">
        <f>""</f>
        <v/>
      </c>
      <c r="AI183" t="str">
        <f>""</f>
        <v/>
      </c>
      <c r="AJ183" t="str">
        <f>""</f>
        <v/>
      </c>
      <c r="AK183" t="str">
        <f>""</f>
        <v/>
      </c>
      <c r="AL183">
        <v>43</v>
      </c>
      <c r="AM183" t="str">
        <f>""</f>
        <v/>
      </c>
      <c r="AN183" t="str">
        <f>""</f>
        <v/>
      </c>
      <c r="AO183" t="str">
        <f>"Saint Martin"</f>
        <v>Saint Martin</v>
      </c>
      <c r="AP183" t="str">
        <f>"ANGERS"</f>
        <v>ANGERS</v>
      </c>
      <c r="AQ183" t="str">
        <f>"Nantes"</f>
        <v>Nantes</v>
      </c>
    </row>
    <row r="184" spans="1:43" x14ac:dyDescent="0.25">
      <c r="A184" t="str">
        <f t="shared" si="38"/>
        <v>1A,1A Maths,1A Ing,T02650</v>
      </c>
      <c r="B184" t="str">
        <f>"SAIGNAT"</f>
        <v>SAIGNAT</v>
      </c>
      <c r="C184" t="str">
        <f>"Aliaume"</f>
        <v>Aliaume</v>
      </c>
      <c r="D184" t="str">
        <f>"024-2730"</f>
        <v>024-2730</v>
      </c>
      <c r="E184" t="str">
        <f>"153173177AJ"</f>
        <v>153173177AJ</v>
      </c>
      <c r="F184" t="str">
        <f t="shared" si="28"/>
        <v>0352480F</v>
      </c>
      <c r="G184" t="str">
        <f t="shared" si="29"/>
        <v>O</v>
      </c>
      <c r="H184">
        <v>10</v>
      </c>
      <c r="I184">
        <v>2004</v>
      </c>
      <c r="J184">
        <v>1</v>
      </c>
      <c r="K184" t="str">
        <f t="shared" si="40"/>
        <v>NBGE</v>
      </c>
      <c r="L184">
        <v>12</v>
      </c>
      <c r="M184">
        <v>2022</v>
      </c>
      <c r="N184" t="str">
        <f t="shared" si="42"/>
        <v>D</v>
      </c>
      <c r="O184" t="str">
        <f t="shared" si="42"/>
        <v>D</v>
      </c>
      <c r="P184">
        <v>0</v>
      </c>
      <c r="Q184">
        <v>100</v>
      </c>
      <c r="R184">
        <v>100</v>
      </c>
      <c r="S184">
        <v>35170</v>
      </c>
      <c r="T184">
        <v>100</v>
      </c>
      <c r="U184">
        <v>35170</v>
      </c>
      <c r="V184" t="str">
        <f>""</f>
        <v/>
      </c>
      <c r="W184">
        <v>38</v>
      </c>
      <c r="X184">
        <v>0</v>
      </c>
      <c r="Y184">
        <v>6000577</v>
      </c>
      <c r="Z184">
        <v>1</v>
      </c>
      <c r="AA184">
        <v>27</v>
      </c>
      <c r="AB184" t="str">
        <f>""</f>
        <v/>
      </c>
      <c r="AC184" t="str">
        <f>""</f>
        <v/>
      </c>
      <c r="AD184" t="str">
        <f>""</f>
        <v/>
      </c>
      <c r="AE184">
        <v>2022</v>
      </c>
      <c r="AF184">
        <v>2024</v>
      </c>
      <c r="AG184" t="str">
        <f>"Bruz"</f>
        <v>Bruz</v>
      </c>
      <c r="AH184" t="str">
        <f>"Bruz"</f>
        <v>Bruz</v>
      </c>
      <c r="AI184" t="str">
        <f>""</f>
        <v/>
      </c>
      <c r="AJ184" t="str">
        <f>""</f>
        <v/>
      </c>
      <c r="AK184" t="str">
        <f>""</f>
        <v/>
      </c>
      <c r="AL184">
        <v>38</v>
      </c>
      <c r="AM184" t="str">
        <f>""</f>
        <v/>
      </c>
      <c r="AN184" t="str">
        <f>""</f>
        <v/>
      </c>
      <c r="AO184" t="str">
        <f>"Lycée Jean-Victor Poncelet"</f>
        <v>Lycée Jean-Victor Poncelet</v>
      </c>
      <c r="AP184" t="str">
        <f>"SAINT-AVOLD"</f>
        <v>SAINT-AVOLD</v>
      </c>
      <c r="AQ184" t="str">
        <f>"Nancy-Metz"</f>
        <v>Nancy-Metz</v>
      </c>
    </row>
    <row r="185" spans="1:43" x14ac:dyDescent="0.25">
      <c r="A185" t="str">
        <f t="shared" si="38"/>
        <v>1A,1A Maths,1A Ing,T02650</v>
      </c>
      <c r="B185" t="str">
        <f>"SEGHAIER"</f>
        <v>SEGHAIER</v>
      </c>
      <c r="C185" t="str">
        <f>"Aziz"</f>
        <v>Aziz</v>
      </c>
      <c r="D185" t="str">
        <f>"024-2753"</f>
        <v>024-2753</v>
      </c>
      <c r="E185" t="str">
        <f>"143345334AF"</f>
        <v>143345334AF</v>
      </c>
      <c r="F185" t="str">
        <f t="shared" si="28"/>
        <v>0352480F</v>
      </c>
      <c r="G185" t="str">
        <f t="shared" si="29"/>
        <v>O</v>
      </c>
      <c r="H185">
        <v>10</v>
      </c>
      <c r="I185">
        <v>2003</v>
      </c>
      <c r="J185">
        <v>1</v>
      </c>
      <c r="K185" t="str">
        <f t="shared" si="40"/>
        <v>NBGE</v>
      </c>
      <c r="L185">
        <v>27</v>
      </c>
      <c r="M185">
        <v>2021</v>
      </c>
      <c r="N185" t="str">
        <f t="shared" si="42"/>
        <v>D</v>
      </c>
      <c r="O185" t="str">
        <f t="shared" si="42"/>
        <v>D</v>
      </c>
      <c r="P185">
        <v>0</v>
      </c>
      <c r="Q185">
        <v>351</v>
      </c>
      <c r="R185">
        <v>100</v>
      </c>
      <c r="S185">
        <v>35200</v>
      </c>
      <c r="T185">
        <v>100</v>
      </c>
      <c r="U185">
        <v>35200</v>
      </c>
      <c r="V185" t="str">
        <f>""</f>
        <v/>
      </c>
      <c r="W185">
        <v>85</v>
      </c>
      <c r="X185">
        <v>0</v>
      </c>
      <c r="Y185">
        <v>6000577</v>
      </c>
      <c r="Z185">
        <v>1</v>
      </c>
      <c r="AA185">
        <v>27</v>
      </c>
      <c r="AB185" t="str">
        <f>""</f>
        <v/>
      </c>
      <c r="AC185" t="str">
        <f>""</f>
        <v/>
      </c>
      <c r="AD185" t="str">
        <f>""</f>
        <v/>
      </c>
      <c r="AE185">
        <v>2021</v>
      </c>
      <c r="AF185">
        <v>2024</v>
      </c>
      <c r="AG185" t="str">
        <f>"Rennes"</f>
        <v>Rennes</v>
      </c>
      <c r="AH185" t="str">
        <f>"Rennes"</f>
        <v>Rennes</v>
      </c>
      <c r="AI185" t="str">
        <f>""</f>
        <v/>
      </c>
      <c r="AJ185" t="str">
        <f>""</f>
        <v/>
      </c>
      <c r="AK185" t="str">
        <f>""</f>
        <v/>
      </c>
      <c r="AL185">
        <v>21</v>
      </c>
      <c r="AM185" t="str">
        <f>""</f>
        <v/>
      </c>
      <c r="AN185" t="str">
        <f>""</f>
        <v/>
      </c>
      <c r="AO185" t="str">
        <f>"Lycée Polyvalent de Balagne"</f>
        <v>Lycée Polyvalent de Balagne</v>
      </c>
      <c r="AP185" t="str">
        <f>"ÎLE ROUSSE"</f>
        <v>ÎLE ROUSSE</v>
      </c>
      <c r="AQ185" t="str">
        <f>"Corse"</f>
        <v>Corse</v>
      </c>
    </row>
    <row r="186" spans="1:43" x14ac:dyDescent="0.25">
      <c r="A186" t="str">
        <f t="shared" si="38"/>
        <v>1A,1A Maths,1A Ing,T02650</v>
      </c>
      <c r="B186" t="str">
        <f>"STANISIERE"</f>
        <v>STANISIERE</v>
      </c>
      <c r="C186" t="str">
        <f>"Louis"</f>
        <v>Louis</v>
      </c>
      <c r="D186" t="str">
        <f>"024-2782"</f>
        <v>024-2782</v>
      </c>
      <c r="E186" t="str">
        <f>"070284824BJ"</f>
        <v>070284824BJ</v>
      </c>
      <c r="F186" t="str">
        <f t="shared" si="28"/>
        <v>0352480F</v>
      </c>
      <c r="G186" t="str">
        <f t="shared" si="29"/>
        <v>O</v>
      </c>
      <c r="H186">
        <v>10</v>
      </c>
      <c r="I186">
        <v>2003</v>
      </c>
      <c r="J186">
        <v>1</v>
      </c>
      <c r="K186" t="str">
        <f t="shared" si="40"/>
        <v>NBGE</v>
      </c>
      <c r="L186">
        <v>15</v>
      </c>
      <c r="M186">
        <v>2021</v>
      </c>
      <c r="N186" t="str">
        <f t="shared" si="42"/>
        <v>D</v>
      </c>
      <c r="O186" t="str">
        <f t="shared" si="42"/>
        <v>D</v>
      </c>
      <c r="P186">
        <v>0</v>
      </c>
      <c r="Q186">
        <v>100</v>
      </c>
      <c r="R186">
        <v>100</v>
      </c>
      <c r="S186">
        <v>35136</v>
      </c>
      <c r="T186">
        <v>100</v>
      </c>
      <c r="U186">
        <v>35136</v>
      </c>
      <c r="V186" t="str">
        <f>""</f>
        <v/>
      </c>
      <c r="W186">
        <v>37</v>
      </c>
      <c r="X186">
        <v>0</v>
      </c>
      <c r="Y186">
        <v>6000577</v>
      </c>
      <c r="Z186">
        <v>1</v>
      </c>
      <c r="AA186">
        <v>27</v>
      </c>
      <c r="AB186" t="str">
        <f>""</f>
        <v/>
      </c>
      <c r="AC186" t="str">
        <f>""</f>
        <v/>
      </c>
      <c r="AD186" t="str">
        <f>""</f>
        <v/>
      </c>
      <c r="AE186">
        <v>2021</v>
      </c>
      <c r="AF186">
        <v>2024</v>
      </c>
      <c r="AG186" t="str">
        <f>"Saint-Jacques-de-la-Lande"</f>
        <v>Saint-Jacques-de-la-Lande</v>
      </c>
      <c r="AH186" t="str">
        <f>"Saint-Jacques-de-la-Lande"</f>
        <v>Saint-Jacques-de-la-Lande</v>
      </c>
      <c r="AI186" t="str">
        <f>""</f>
        <v/>
      </c>
      <c r="AJ186" t="str">
        <f>""</f>
        <v/>
      </c>
      <c r="AK186" t="str">
        <f>""</f>
        <v/>
      </c>
      <c r="AL186">
        <v>38</v>
      </c>
      <c r="AM186" t="str">
        <f>""</f>
        <v/>
      </c>
      <c r="AN186" t="str">
        <f>""</f>
        <v/>
      </c>
      <c r="AO186" t="str">
        <f>"Lycée Alfred Kastler"</f>
        <v>Lycée Alfred Kastler</v>
      </c>
      <c r="AP186" t="str">
        <f>"GUEBWILLER"</f>
        <v>GUEBWILLER</v>
      </c>
      <c r="AQ186" t="str">
        <f>"Strasbourg"</f>
        <v>Strasbourg</v>
      </c>
    </row>
    <row r="187" spans="1:43" x14ac:dyDescent="0.25">
      <c r="A187" t="str">
        <f t="shared" si="38"/>
        <v>1A,1A Maths,1A Ing,T02650</v>
      </c>
      <c r="B187" t="str">
        <f>"TOUIL"</f>
        <v>TOUIL</v>
      </c>
      <c r="C187" t="str">
        <f>"Yazid"</f>
        <v>Yazid</v>
      </c>
      <c r="D187" t="str">
        <f>"024-2767"</f>
        <v>024-2767</v>
      </c>
      <c r="E187" t="str">
        <f>"233420255GA"</f>
        <v>233420255GA</v>
      </c>
      <c r="F187" t="str">
        <f t="shared" si="28"/>
        <v>0352480F</v>
      </c>
      <c r="G187" t="str">
        <f t="shared" si="29"/>
        <v>O</v>
      </c>
      <c r="H187">
        <v>10</v>
      </c>
      <c r="I187">
        <v>2004</v>
      </c>
      <c r="J187">
        <v>1</v>
      </c>
      <c r="K187">
        <v>31</v>
      </c>
      <c r="L187">
        <v>0</v>
      </c>
      <c r="M187">
        <v>2022</v>
      </c>
      <c r="N187" t="str">
        <f>"D"</f>
        <v>D</v>
      </c>
      <c r="O187" t="str">
        <f>"Y"</f>
        <v>Y</v>
      </c>
      <c r="P187">
        <v>0</v>
      </c>
      <c r="Q187">
        <v>350</v>
      </c>
      <c r="R187">
        <v>100</v>
      </c>
      <c r="S187">
        <v>35000</v>
      </c>
      <c r="T187">
        <v>100</v>
      </c>
      <c r="U187">
        <v>35000</v>
      </c>
      <c r="V187" t="str">
        <f>""</f>
        <v/>
      </c>
      <c r="W187">
        <v>34</v>
      </c>
      <c r="X187">
        <v>0</v>
      </c>
      <c r="Y187">
        <v>6000577</v>
      </c>
      <c r="Z187">
        <v>1</v>
      </c>
      <c r="AA187">
        <v>27</v>
      </c>
      <c r="AB187" t="str">
        <f>""</f>
        <v/>
      </c>
      <c r="AC187" t="str">
        <f>""</f>
        <v/>
      </c>
      <c r="AD187" t="str">
        <f>""</f>
        <v/>
      </c>
      <c r="AE187">
        <v>2024</v>
      </c>
      <c r="AF187">
        <v>2024</v>
      </c>
      <c r="AG187" t="str">
        <f>"Rennes"</f>
        <v>Rennes</v>
      </c>
      <c r="AH187" t="str">
        <f>"Rennes"</f>
        <v>Rennes</v>
      </c>
      <c r="AI187" t="str">
        <f>""</f>
        <v/>
      </c>
      <c r="AJ187" t="str">
        <f>""</f>
        <v/>
      </c>
      <c r="AK187" t="str">
        <f>""</f>
        <v/>
      </c>
      <c r="AL187">
        <v>85</v>
      </c>
      <c r="AM187" t="str">
        <f>""</f>
        <v/>
      </c>
      <c r="AN187" t="str">
        <f>""</f>
        <v/>
      </c>
      <c r="AO187" t="str">
        <f>"Lycée Pythagore"</f>
        <v>Lycée Pythagore</v>
      </c>
      <c r="AP187" t="str">
        <f>"MOHAMMEDIA"</f>
        <v>MOHAMMEDIA</v>
      </c>
      <c r="AQ187" t="str">
        <f>"Etranger"</f>
        <v>Etranger</v>
      </c>
    </row>
    <row r="188" spans="1:43" x14ac:dyDescent="0.25">
      <c r="A188" t="str">
        <f t="shared" si="38"/>
        <v>1A,1A Maths,1A Ing,T02650</v>
      </c>
      <c r="B188" t="str">
        <f>"TROPINI"</f>
        <v>TROPINI</v>
      </c>
      <c r="C188" t="str">
        <f>"Mathieu"</f>
        <v>Mathieu</v>
      </c>
      <c r="D188" t="str">
        <f>"024-2740"</f>
        <v>024-2740</v>
      </c>
      <c r="E188" t="str">
        <f>"071439814AH"</f>
        <v>071439814AH</v>
      </c>
      <c r="F188" t="str">
        <f t="shared" si="28"/>
        <v>0352480F</v>
      </c>
      <c r="G188" t="str">
        <f t="shared" si="29"/>
        <v>O</v>
      </c>
      <c r="H188">
        <v>10</v>
      </c>
      <c r="I188">
        <v>2003</v>
      </c>
      <c r="J188">
        <v>1</v>
      </c>
      <c r="K188" t="str">
        <f>"NBGE"</f>
        <v>NBGE</v>
      </c>
      <c r="L188">
        <v>23</v>
      </c>
      <c r="M188">
        <v>2021</v>
      </c>
      <c r="N188" t="str">
        <f>"D"</f>
        <v>D</v>
      </c>
      <c r="O188" t="str">
        <f>"D"</f>
        <v>D</v>
      </c>
      <c r="P188">
        <v>0</v>
      </c>
      <c r="Q188">
        <v>100</v>
      </c>
      <c r="R188">
        <v>100</v>
      </c>
      <c r="S188">
        <v>35000</v>
      </c>
      <c r="T188">
        <v>100</v>
      </c>
      <c r="U188">
        <v>35000</v>
      </c>
      <c r="V188" t="str">
        <f>""</f>
        <v/>
      </c>
      <c r="W188">
        <v>42</v>
      </c>
      <c r="X188">
        <v>0</v>
      </c>
      <c r="Y188">
        <v>6000577</v>
      </c>
      <c r="Z188">
        <v>1</v>
      </c>
      <c r="AA188">
        <v>27</v>
      </c>
      <c r="AB188" t="str">
        <f>""</f>
        <v/>
      </c>
      <c r="AC188" t="str">
        <f>""</f>
        <v/>
      </c>
      <c r="AD188" t="str">
        <f>""</f>
        <v/>
      </c>
      <c r="AE188">
        <v>2021</v>
      </c>
      <c r="AF188">
        <v>2024</v>
      </c>
      <c r="AG188" t="str">
        <f>"Rennes"</f>
        <v>Rennes</v>
      </c>
      <c r="AH188" t="str">
        <f>"Rennes"</f>
        <v>Rennes</v>
      </c>
      <c r="AI188" t="str">
        <f>""</f>
        <v/>
      </c>
      <c r="AJ188" t="str">
        <f>""</f>
        <v/>
      </c>
      <c r="AK188" t="str">
        <f>""</f>
        <v/>
      </c>
      <c r="AL188">
        <v>33</v>
      </c>
      <c r="AM188" t="str">
        <f>""</f>
        <v/>
      </c>
      <c r="AN188" t="str">
        <f>""</f>
        <v/>
      </c>
      <c r="AO188" t="str">
        <f>"Jean Aicard"</f>
        <v>Jean Aicard</v>
      </c>
      <c r="AP188" t="str">
        <f>"HYÈRES LES PALMIERS"</f>
        <v>HYÈRES LES PALMIERS</v>
      </c>
      <c r="AQ188" t="str">
        <f>"Nice"</f>
        <v>Nice</v>
      </c>
    </row>
    <row r="189" spans="1:43" x14ac:dyDescent="0.25">
      <c r="A189" t="str">
        <f t="shared" si="38"/>
        <v>1A,1A Maths,1A Ing,T02650</v>
      </c>
      <c r="B189" t="str">
        <f>"ZEBICHE"</f>
        <v>ZEBICHE</v>
      </c>
      <c r="C189" t="str">
        <f>"Anis"</f>
        <v>Anis</v>
      </c>
      <c r="D189" t="str">
        <f>"024-2779"</f>
        <v>024-2779</v>
      </c>
      <c r="E189" t="str">
        <f>"071138981ED"</f>
        <v>071138981ED</v>
      </c>
      <c r="F189" t="str">
        <f t="shared" si="28"/>
        <v>0352480F</v>
      </c>
      <c r="G189" t="str">
        <f t="shared" si="29"/>
        <v>O</v>
      </c>
      <c r="H189">
        <v>10</v>
      </c>
      <c r="I189">
        <v>2004</v>
      </c>
      <c r="J189">
        <v>1</v>
      </c>
      <c r="K189" t="str">
        <f>"NBGE"</f>
        <v>NBGE</v>
      </c>
      <c r="L189">
        <v>17</v>
      </c>
      <c r="M189">
        <v>2022</v>
      </c>
      <c r="N189" t="str">
        <f>"D"</f>
        <v>D</v>
      </c>
      <c r="O189" t="str">
        <f>"D"</f>
        <v>D</v>
      </c>
      <c r="P189">
        <v>0</v>
      </c>
      <c r="Q189">
        <v>100</v>
      </c>
      <c r="R189">
        <v>100</v>
      </c>
      <c r="S189">
        <v>35170</v>
      </c>
      <c r="T189">
        <v>100</v>
      </c>
      <c r="U189">
        <v>35170</v>
      </c>
      <c r="V189" t="str">
        <f>""</f>
        <v/>
      </c>
      <c r="W189">
        <v>47</v>
      </c>
      <c r="X189">
        <v>0</v>
      </c>
      <c r="Y189">
        <v>6000577</v>
      </c>
      <c r="Z189">
        <v>1</v>
      </c>
      <c r="AA189">
        <v>27</v>
      </c>
      <c r="AB189" t="str">
        <f>""</f>
        <v/>
      </c>
      <c r="AC189" t="str">
        <f>""</f>
        <v/>
      </c>
      <c r="AD189" t="str">
        <f>""</f>
        <v/>
      </c>
      <c r="AE189">
        <v>2022</v>
      </c>
      <c r="AF189">
        <v>2024</v>
      </c>
      <c r="AG189" t="str">
        <f>"Bruz"</f>
        <v>Bruz</v>
      </c>
      <c r="AH189" t="str">
        <f>"Bruz"</f>
        <v>Bruz</v>
      </c>
      <c r="AI189" t="str">
        <f>""</f>
        <v/>
      </c>
      <c r="AJ189" t="str">
        <f>""</f>
        <v/>
      </c>
      <c r="AK189" t="str">
        <f>""</f>
        <v/>
      </c>
      <c r="AL189">
        <v>33</v>
      </c>
      <c r="AM189" t="str">
        <f>""</f>
        <v/>
      </c>
      <c r="AN189" t="str">
        <f>""</f>
        <v/>
      </c>
      <c r="AO189" t="str">
        <f>"Estournelles de Constant"</f>
        <v>Estournelles de Constant</v>
      </c>
      <c r="AP189" t="str">
        <f>"LA FLÈCHE"</f>
        <v>LA FLÈCHE</v>
      </c>
      <c r="AQ189" t="str">
        <f>"Nantes"</f>
        <v>Nantes</v>
      </c>
    </row>
    <row r="190" spans="1:43" x14ac:dyDescent="0.25">
      <c r="A190" t="str">
        <f>"1A,1A Maths,1A Ing,T04150"</f>
        <v>1A,1A Maths,1A Ing,T04150</v>
      </c>
      <c r="B190" t="str">
        <f>"MELLOUL"</f>
        <v>MELLOUL</v>
      </c>
      <c r="C190" t="str">
        <f>"Yassine"</f>
        <v>Yassine</v>
      </c>
      <c r="D190" t="str">
        <f>"024-2757"</f>
        <v>024-2757</v>
      </c>
      <c r="E190" t="str">
        <f>"233419722BB"</f>
        <v>233419722BB</v>
      </c>
      <c r="F190" t="str">
        <f t="shared" si="28"/>
        <v>0352480F</v>
      </c>
      <c r="G190" t="str">
        <f t="shared" si="29"/>
        <v>O</v>
      </c>
      <c r="H190">
        <v>10</v>
      </c>
      <c r="I190">
        <v>2003</v>
      </c>
      <c r="J190">
        <v>1</v>
      </c>
      <c r="K190">
        <v>31</v>
      </c>
      <c r="L190">
        <v>0</v>
      </c>
      <c r="M190">
        <v>2021</v>
      </c>
      <c r="N190" t="str">
        <f>"D"</f>
        <v>D</v>
      </c>
      <c r="O190" t="str">
        <f>"D"</f>
        <v>D</v>
      </c>
      <c r="P190">
        <v>0</v>
      </c>
      <c r="Q190">
        <v>350</v>
      </c>
      <c r="R190">
        <v>100</v>
      </c>
      <c r="S190">
        <v>35200</v>
      </c>
      <c r="T190">
        <v>100</v>
      </c>
      <c r="U190">
        <v>35200</v>
      </c>
      <c r="V190" t="str">
        <f>""</f>
        <v/>
      </c>
      <c r="W190">
        <v>99</v>
      </c>
      <c r="X190">
        <v>0</v>
      </c>
      <c r="Y190">
        <v>6000577</v>
      </c>
      <c r="Z190">
        <v>1</v>
      </c>
      <c r="AA190">
        <v>27</v>
      </c>
      <c r="AB190" t="str">
        <f>""</f>
        <v/>
      </c>
      <c r="AC190" t="str">
        <f>""</f>
        <v/>
      </c>
      <c r="AD190" t="str">
        <f>""</f>
        <v/>
      </c>
      <c r="AE190">
        <v>2024</v>
      </c>
      <c r="AF190">
        <v>2024</v>
      </c>
      <c r="AG190" t="str">
        <f>"RENNES"</f>
        <v>RENNES</v>
      </c>
      <c r="AH190" t="str">
        <f>"RENNES"</f>
        <v>RENNES</v>
      </c>
      <c r="AI190" t="str">
        <f>""</f>
        <v/>
      </c>
      <c r="AJ190" t="str">
        <f>""</f>
        <v/>
      </c>
      <c r="AK190" t="str">
        <f>""</f>
        <v/>
      </c>
      <c r="AL190">
        <v>99</v>
      </c>
      <c r="AM190" t="str">
        <f>""</f>
        <v/>
      </c>
      <c r="AN190" t="str">
        <f>""</f>
        <v/>
      </c>
      <c r="AO190" t="str">
        <f>"Groupe scolaire LAMZIBRI"</f>
        <v>Groupe scolaire LAMZIBRI</v>
      </c>
      <c r="AP190" t="str">
        <f>"SALÉ"</f>
        <v>SALÉ</v>
      </c>
      <c r="AQ190" t="str">
        <f>"Etranger"</f>
        <v>Etranger</v>
      </c>
    </row>
    <row r="191" spans="1:43" x14ac:dyDescent="0.25">
      <c r="A191" t="str">
        <f t="shared" ref="A191:A200" si="43">"2A Att sortant,T00000"</f>
        <v>2A Att sortant,T00000</v>
      </c>
      <c r="B191" t="str">
        <f>"BONNIN"</f>
        <v>BONNIN</v>
      </c>
      <c r="C191" t="str">
        <f>"Sébastien"</f>
        <v>Sébastien</v>
      </c>
      <c r="D191" t="str">
        <f>"022-2201"</f>
        <v>022-2201</v>
      </c>
      <c r="E191" t="str">
        <f>"1794039032B"</f>
        <v>1794039032B</v>
      </c>
      <c r="F191" t="str">
        <f t="shared" si="28"/>
        <v>0352480F</v>
      </c>
      <c r="G191" t="str">
        <f t="shared" si="29"/>
        <v>O</v>
      </c>
      <c r="H191">
        <v>10</v>
      </c>
      <c r="I191">
        <v>1979</v>
      </c>
      <c r="J191">
        <v>1</v>
      </c>
      <c r="K191" t="str">
        <f>"S"</f>
        <v>S</v>
      </c>
      <c r="L191">
        <v>17</v>
      </c>
      <c r="M191">
        <v>1997</v>
      </c>
      <c r="N191" t="str">
        <f t="shared" ref="N191:N200" si="44">"E"</f>
        <v>E</v>
      </c>
      <c r="O191" t="str">
        <f>"N"</f>
        <v>N</v>
      </c>
      <c r="P191">
        <v>0</v>
      </c>
      <c r="Q191">
        <v>100</v>
      </c>
      <c r="R191">
        <v>100</v>
      </c>
      <c r="S191">
        <v>44130</v>
      </c>
      <c r="T191">
        <v>100</v>
      </c>
      <c r="U191">
        <v>44130</v>
      </c>
      <c r="V191" t="str">
        <f>""</f>
        <v/>
      </c>
      <c r="W191">
        <v>73</v>
      </c>
      <c r="X191">
        <v>0</v>
      </c>
      <c r="Y191">
        <v>6000577</v>
      </c>
      <c r="Z191" t="str">
        <f>""</f>
        <v/>
      </c>
      <c r="AA191">
        <v>27</v>
      </c>
      <c r="AB191" t="str">
        <f>""</f>
        <v/>
      </c>
      <c r="AC191" t="str">
        <f>""</f>
        <v/>
      </c>
      <c r="AD191" t="str">
        <f>""</f>
        <v/>
      </c>
      <c r="AE191">
        <v>1997</v>
      </c>
      <c r="AF191">
        <v>2022</v>
      </c>
      <c r="AG191" t="str">
        <f>"FAY DE BRETAGNE"</f>
        <v>FAY DE BRETAGNE</v>
      </c>
      <c r="AH191" t="str">
        <f>"FAY DE BRETAGNE"</f>
        <v>FAY DE BRETAGNE</v>
      </c>
      <c r="AI191" t="str">
        <f>""</f>
        <v/>
      </c>
      <c r="AJ191" t="str">
        <f>""</f>
        <v/>
      </c>
      <c r="AK191" t="str">
        <f>""</f>
        <v/>
      </c>
      <c r="AL191">
        <v>76</v>
      </c>
      <c r="AM191" t="str">
        <f>""</f>
        <v/>
      </c>
      <c r="AN191" t="str">
        <f>""</f>
        <v/>
      </c>
      <c r="AO191" t="str">
        <f>"Lycée Camille Claudel"</f>
        <v>Lycée Camille Claudel</v>
      </c>
      <c r="AP191" t="str">
        <f>"BLAIN"</f>
        <v>BLAIN</v>
      </c>
      <c r="AQ191" t="str">
        <f>"Nantes"</f>
        <v>Nantes</v>
      </c>
    </row>
    <row r="192" spans="1:43" x14ac:dyDescent="0.25">
      <c r="A192" t="str">
        <f t="shared" si="43"/>
        <v>2A Att sortant,T00000</v>
      </c>
      <c r="B192" t="str">
        <f>"CHAUVINEAU"</f>
        <v>CHAUVINEAU</v>
      </c>
      <c r="C192" t="str">
        <f>"Adrien"</f>
        <v>Adrien</v>
      </c>
      <c r="D192" t="str">
        <f>"023-2400"</f>
        <v>023-2400</v>
      </c>
      <c r="E192" t="str">
        <f>"1301007073Y"</f>
        <v>1301007073Y</v>
      </c>
      <c r="F192" t="str">
        <f t="shared" si="28"/>
        <v>0352480F</v>
      </c>
      <c r="G192" t="str">
        <f t="shared" si="29"/>
        <v>O</v>
      </c>
      <c r="H192">
        <v>10</v>
      </c>
      <c r="I192">
        <v>1990</v>
      </c>
      <c r="J192">
        <v>1</v>
      </c>
      <c r="K192" t="str">
        <f>"S"</f>
        <v>S</v>
      </c>
      <c r="L192">
        <v>13</v>
      </c>
      <c r="M192">
        <v>2008</v>
      </c>
      <c r="N192" t="str">
        <f t="shared" si="44"/>
        <v>E</v>
      </c>
      <c r="O192" t="str">
        <f>"R"</f>
        <v>R</v>
      </c>
      <c r="P192">
        <v>0</v>
      </c>
      <c r="Q192">
        <v>100</v>
      </c>
      <c r="R192">
        <v>100</v>
      </c>
      <c r="S192">
        <v>86000</v>
      </c>
      <c r="T192">
        <v>100</v>
      </c>
      <c r="U192">
        <v>86000</v>
      </c>
      <c r="V192" t="str">
        <f>"Duolingo English test 29/08/2023 : 120/160 (niveau B2 validé) = 890 au TOEIC"</f>
        <v>Duolingo English test 29/08/2023 : 120/160 (niveau B2 validé) = 890 au TOEIC</v>
      </c>
      <c r="W192">
        <v>56</v>
      </c>
      <c r="X192">
        <v>0</v>
      </c>
      <c r="Y192">
        <v>6000577</v>
      </c>
      <c r="Z192" t="str">
        <f>""</f>
        <v/>
      </c>
      <c r="AA192">
        <v>27</v>
      </c>
      <c r="AB192" t="str">
        <f>""</f>
        <v/>
      </c>
      <c r="AC192" t="str">
        <f>""</f>
        <v/>
      </c>
      <c r="AD192" t="str">
        <f>""</f>
        <v/>
      </c>
      <c r="AE192">
        <v>2008</v>
      </c>
      <c r="AF192">
        <v>2023</v>
      </c>
      <c r="AG192" t="str">
        <f>"Poitiers"</f>
        <v>Poitiers</v>
      </c>
      <c r="AH192" t="str">
        <f>"Poitiers"</f>
        <v>Poitiers</v>
      </c>
      <c r="AI192" t="str">
        <f>""</f>
        <v/>
      </c>
      <c r="AJ192" t="str">
        <f>""</f>
        <v/>
      </c>
      <c r="AK192" t="str">
        <f>""</f>
        <v/>
      </c>
      <c r="AL192">
        <v>61</v>
      </c>
      <c r="AM192" t="str">
        <f>""</f>
        <v/>
      </c>
      <c r="AN192" t="str">
        <f>""</f>
        <v/>
      </c>
      <c r="AO192" t="str">
        <f>"Lycée Merleau Ponty"</f>
        <v>Lycée Merleau Ponty</v>
      </c>
      <c r="AP192" t="str">
        <f>"ROCHEFORT"</f>
        <v>ROCHEFORT</v>
      </c>
      <c r="AQ192" t="str">
        <f>"Poitiers"</f>
        <v>Poitiers</v>
      </c>
    </row>
    <row r="193" spans="1:43" x14ac:dyDescent="0.25">
      <c r="A193" t="str">
        <f t="shared" si="43"/>
        <v>2A Att sortant,T00000</v>
      </c>
      <c r="B193" t="str">
        <f>"FOREST"</f>
        <v>FOREST</v>
      </c>
      <c r="C193" t="str">
        <f>"Jocelyn"</f>
        <v>Jocelyn</v>
      </c>
      <c r="D193" t="str">
        <f>"022-2199"</f>
        <v>022-2199</v>
      </c>
      <c r="E193" t="str">
        <f>"2101018799L"</f>
        <v>2101018799L</v>
      </c>
      <c r="F193" t="str">
        <f t="shared" si="28"/>
        <v>0352480F</v>
      </c>
      <c r="G193" t="str">
        <f t="shared" si="29"/>
        <v>O</v>
      </c>
      <c r="H193">
        <v>10</v>
      </c>
      <c r="I193">
        <v>1990</v>
      </c>
      <c r="J193">
        <v>1</v>
      </c>
      <c r="K193" t="str">
        <f>"S"</f>
        <v>S</v>
      </c>
      <c r="L193" t="str">
        <f>""</f>
        <v/>
      </c>
      <c r="M193">
        <v>2008</v>
      </c>
      <c r="N193" t="str">
        <f t="shared" si="44"/>
        <v>E</v>
      </c>
      <c r="O193" t="str">
        <f>"E"</f>
        <v>E</v>
      </c>
      <c r="P193">
        <v>0</v>
      </c>
      <c r="Q193">
        <v>100</v>
      </c>
      <c r="R193">
        <v>100</v>
      </c>
      <c r="S193">
        <v>35000</v>
      </c>
      <c r="T193">
        <v>100</v>
      </c>
      <c r="U193">
        <v>35000</v>
      </c>
      <c r="V193" t="str">
        <f>"TOEIC passé à l'ENSAI le 22/05/2023 : score 875"</f>
        <v>TOEIC passé à l'ENSAI le 22/05/2023 : score 875</v>
      </c>
      <c r="W193">
        <v>0</v>
      </c>
      <c r="X193">
        <v>0</v>
      </c>
      <c r="Y193">
        <v>6000577</v>
      </c>
      <c r="Z193" t="str">
        <f>""</f>
        <v/>
      </c>
      <c r="AA193">
        <v>27</v>
      </c>
      <c r="AB193" t="str">
        <f>""</f>
        <v/>
      </c>
      <c r="AC193" t="str">
        <f>""</f>
        <v/>
      </c>
      <c r="AD193" t="str">
        <f>""</f>
        <v/>
      </c>
      <c r="AE193">
        <v>2022</v>
      </c>
      <c r="AF193">
        <v>2022</v>
      </c>
      <c r="AG193" t="str">
        <f>"Rennes"</f>
        <v>Rennes</v>
      </c>
      <c r="AH193" t="str">
        <f>"Rennes"</f>
        <v>Rennes</v>
      </c>
      <c r="AI193" t="str">
        <f>""</f>
        <v/>
      </c>
      <c r="AJ193" t="str">
        <f>""</f>
        <v/>
      </c>
      <c r="AK193" t="str">
        <f>""</f>
        <v/>
      </c>
      <c r="AL193">
        <v>0</v>
      </c>
      <c r="AM193" t="str">
        <f>""</f>
        <v/>
      </c>
      <c r="AN193" t="str">
        <f>""</f>
        <v/>
      </c>
      <c r="AO193" t="str">
        <f>"Lycee Pierre Corneille"</f>
        <v>Lycee Pierre Corneille</v>
      </c>
      <c r="AP193" t="str">
        <f>"ROUEN"</f>
        <v>ROUEN</v>
      </c>
      <c r="AQ193" t="str">
        <f>""</f>
        <v/>
      </c>
    </row>
    <row r="194" spans="1:43" x14ac:dyDescent="0.25">
      <c r="A194" t="str">
        <f t="shared" si="43"/>
        <v>2A Att sortant,T00000</v>
      </c>
      <c r="B194" t="str">
        <f>"HERRENSCHMIDT"</f>
        <v>HERRENSCHMIDT</v>
      </c>
      <c r="C194" t="str">
        <f>"David"</f>
        <v>David</v>
      </c>
      <c r="D194" t="str">
        <f>"023-2311"</f>
        <v>023-2311</v>
      </c>
      <c r="E194" t="str">
        <f>"0G416F00M37"</f>
        <v>0G416F00M37</v>
      </c>
      <c r="F194" t="str">
        <f t="shared" ref="F194:F257" si="45">"0352480F"</f>
        <v>0352480F</v>
      </c>
      <c r="G194" t="str">
        <f t="shared" ref="G194:G257" si="46">"O"</f>
        <v>O</v>
      </c>
      <c r="H194">
        <v>10</v>
      </c>
      <c r="I194">
        <v>1969</v>
      </c>
      <c r="J194">
        <v>1</v>
      </c>
      <c r="K194" t="str">
        <f>"C"</f>
        <v>C</v>
      </c>
      <c r="L194">
        <v>24</v>
      </c>
      <c r="M194">
        <v>1987</v>
      </c>
      <c r="N194" t="str">
        <f t="shared" si="44"/>
        <v>E</v>
      </c>
      <c r="O194" t="str">
        <f>"U"</f>
        <v>U</v>
      </c>
      <c r="P194">
        <v>0</v>
      </c>
      <c r="Q194">
        <v>100</v>
      </c>
      <c r="R194">
        <v>100</v>
      </c>
      <c r="S194">
        <v>92800</v>
      </c>
      <c r="T194">
        <v>100</v>
      </c>
      <c r="U194">
        <v>92800</v>
      </c>
      <c r="V194" t="str">
        <f>"TOEIC passé hors ENSAI le 07/15/2023 : score 945 (niveau C1)"</f>
        <v>TOEIC passé hors ENSAI le 07/15/2023 : score 945 (niveau C1)</v>
      </c>
      <c r="W194">
        <v>73</v>
      </c>
      <c r="X194">
        <v>0</v>
      </c>
      <c r="Y194">
        <v>6000577</v>
      </c>
      <c r="Z194" t="str">
        <f>""</f>
        <v/>
      </c>
      <c r="AA194">
        <v>27</v>
      </c>
      <c r="AB194" t="str">
        <f>""</f>
        <v/>
      </c>
      <c r="AC194" t="str">
        <f>""</f>
        <v/>
      </c>
      <c r="AD194" t="str">
        <f>""</f>
        <v/>
      </c>
      <c r="AE194">
        <v>1987</v>
      </c>
      <c r="AF194">
        <v>2023</v>
      </c>
      <c r="AG194" t="str">
        <f>"PUTEAUX"</f>
        <v>PUTEAUX</v>
      </c>
      <c r="AH194" t="str">
        <f>"PUTEAUX"</f>
        <v>PUTEAUX</v>
      </c>
      <c r="AI194" t="str">
        <f>""</f>
        <v/>
      </c>
      <c r="AJ194" t="str">
        <f>""</f>
        <v/>
      </c>
      <c r="AK194" t="str">
        <f>""</f>
        <v/>
      </c>
      <c r="AL194">
        <v>99</v>
      </c>
      <c r="AM194" t="str">
        <f>""</f>
        <v/>
      </c>
      <c r="AN194" t="str">
        <f>""</f>
        <v/>
      </c>
      <c r="AO194" t="str">
        <f>"Henri WALLON"</f>
        <v>Henri WALLON</v>
      </c>
      <c r="AP194" t="str">
        <f>"AUBERVILLIERS"</f>
        <v>AUBERVILLIERS</v>
      </c>
      <c r="AQ194" t="str">
        <f>"Créteil"</f>
        <v>Créteil</v>
      </c>
    </row>
    <row r="195" spans="1:43" x14ac:dyDescent="0.25">
      <c r="A195" t="str">
        <f t="shared" si="43"/>
        <v>2A Att sortant,T00000</v>
      </c>
      <c r="B195" t="str">
        <f>"NAVEL"</f>
        <v>NAVEL</v>
      </c>
      <c r="C195" t="str">
        <f>"Camille"</f>
        <v>Camille</v>
      </c>
      <c r="D195" t="str">
        <f>"022-2203"</f>
        <v>022-2203</v>
      </c>
      <c r="E195" t="str">
        <f>"2099028216J"</f>
        <v>2099028216J</v>
      </c>
      <c r="F195" t="str">
        <f t="shared" si="45"/>
        <v>0352480F</v>
      </c>
      <c r="G195" t="str">
        <f t="shared" si="46"/>
        <v>O</v>
      </c>
      <c r="H195">
        <v>10</v>
      </c>
      <c r="I195">
        <v>1988</v>
      </c>
      <c r="J195">
        <v>1</v>
      </c>
      <c r="K195" t="str">
        <f>"S"</f>
        <v>S</v>
      </c>
      <c r="L195">
        <v>20</v>
      </c>
      <c r="M195">
        <v>2006</v>
      </c>
      <c r="N195" t="str">
        <f t="shared" si="44"/>
        <v>E</v>
      </c>
      <c r="O195" t="str">
        <f>"Q"</f>
        <v>Q</v>
      </c>
      <c r="P195">
        <v>0</v>
      </c>
      <c r="Q195">
        <v>100</v>
      </c>
      <c r="R195">
        <v>100</v>
      </c>
      <c r="S195">
        <v>35170</v>
      </c>
      <c r="T195">
        <v>100</v>
      </c>
      <c r="U195">
        <v>35170</v>
      </c>
      <c r="V195" t="str">
        <f>"TOEIC passé à l'ENSAI le 22/05/2023 : score 885"</f>
        <v>TOEIC passé à l'ENSAI le 22/05/2023 : score 885</v>
      </c>
      <c r="W195">
        <v>73</v>
      </c>
      <c r="X195">
        <v>0</v>
      </c>
      <c r="Y195">
        <v>6000577</v>
      </c>
      <c r="Z195" t="str">
        <f>""</f>
        <v/>
      </c>
      <c r="AA195">
        <v>27</v>
      </c>
      <c r="AB195" t="str">
        <f>""</f>
        <v/>
      </c>
      <c r="AC195" t="str">
        <f>""</f>
        <v/>
      </c>
      <c r="AD195" t="str">
        <f>""</f>
        <v/>
      </c>
      <c r="AE195">
        <v>2006</v>
      </c>
      <c r="AF195">
        <v>2022</v>
      </c>
      <c r="AG195" t="str">
        <f>"BRUZ"</f>
        <v>BRUZ</v>
      </c>
      <c r="AH195" t="str">
        <f>"BRUZ"</f>
        <v>BRUZ</v>
      </c>
      <c r="AI195" t="str">
        <f>""</f>
        <v/>
      </c>
      <c r="AJ195" t="str">
        <f>""</f>
        <v/>
      </c>
      <c r="AK195" t="str">
        <f>""</f>
        <v/>
      </c>
      <c r="AL195">
        <v>31</v>
      </c>
      <c r="AM195" t="str">
        <f>""</f>
        <v/>
      </c>
      <c r="AN195" t="str">
        <f>""</f>
        <v/>
      </c>
      <c r="AO195" t="str">
        <f>"Pierre de la Ramée"</f>
        <v>Pierre de la Ramée</v>
      </c>
      <c r="AP195" t="str">
        <f>"SAINT QUENTIN"</f>
        <v>SAINT QUENTIN</v>
      </c>
      <c r="AQ195" t="str">
        <f>"Amiens"</f>
        <v>Amiens</v>
      </c>
    </row>
    <row r="196" spans="1:43" x14ac:dyDescent="0.25">
      <c r="A196" t="str">
        <f t="shared" si="43"/>
        <v>2A Att sortant,T00000</v>
      </c>
      <c r="B196" t="str">
        <f>"OUKILI"</f>
        <v>OUKILI</v>
      </c>
      <c r="C196" t="str">
        <f>"Vincent"</f>
        <v>Vincent</v>
      </c>
      <c r="D196" t="str">
        <f>"021-1937"</f>
        <v>021-1937</v>
      </c>
      <c r="E196" t="str">
        <f>"100821365EH"</f>
        <v>100821365EH</v>
      </c>
      <c r="F196" t="str">
        <f t="shared" si="45"/>
        <v>0352480F</v>
      </c>
      <c r="G196" t="str">
        <f t="shared" si="46"/>
        <v>O</v>
      </c>
      <c r="H196">
        <v>10</v>
      </c>
      <c r="I196">
        <v>2000</v>
      </c>
      <c r="J196">
        <v>1</v>
      </c>
      <c r="K196" t="str">
        <f>"ES"</f>
        <v>ES</v>
      </c>
      <c r="L196">
        <v>3</v>
      </c>
      <c r="M196">
        <v>2018</v>
      </c>
      <c r="N196" t="str">
        <f t="shared" si="44"/>
        <v>E</v>
      </c>
      <c r="O196" t="str">
        <f>"D"</f>
        <v>D</v>
      </c>
      <c r="P196">
        <v>0</v>
      </c>
      <c r="Q196">
        <v>100</v>
      </c>
      <c r="R196">
        <v>100</v>
      </c>
      <c r="S196">
        <v>35700</v>
      </c>
      <c r="T196">
        <v>100</v>
      </c>
      <c r="U196">
        <v>35700</v>
      </c>
      <c r="V196" t="str">
        <f>""</f>
        <v/>
      </c>
      <c r="W196">
        <v>76</v>
      </c>
      <c r="X196">
        <v>0</v>
      </c>
      <c r="Y196">
        <v>6000577</v>
      </c>
      <c r="Z196" t="str">
        <f>""</f>
        <v/>
      </c>
      <c r="AA196">
        <v>27</v>
      </c>
      <c r="AB196" t="str">
        <f>""</f>
        <v/>
      </c>
      <c r="AC196" t="str">
        <f>""</f>
        <v/>
      </c>
      <c r="AD196" t="str">
        <f>""</f>
        <v/>
      </c>
      <c r="AE196">
        <v>2018</v>
      </c>
      <c r="AF196">
        <v>2021</v>
      </c>
      <c r="AG196" t="str">
        <f>"Rennes"</f>
        <v>Rennes</v>
      </c>
      <c r="AH196" t="str">
        <f>"Rennes"</f>
        <v>Rennes</v>
      </c>
      <c r="AI196" t="str">
        <f>""</f>
        <v/>
      </c>
      <c r="AJ196" t="str">
        <f>""</f>
        <v/>
      </c>
      <c r="AK196" t="str">
        <f>""</f>
        <v/>
      </c>
      <c r="AL196">
        <v>54</v>
      </c>
      <c r="AM196" t="str">
        <f>""</f>
        <v/>
      </c>
      <c r="AN196" t="str">
        <f>""</f>
        <v/>
      </c>
      <c r="AO196" t="str">
        <f>"Lycée Ledoux"</f>
        <v>Lycée Ledoux</v>
      </c>
      <c r="AP196" t="str">
        <f>"BESANÇON"</f>
        <v>BESANÇON</v>
      </c>
      <c r="AQ196" t="str">
        <f>"Besançon"</f>
        <v>Besançon</v>
      </c>
    </row>
    <row r="197" spans="1:43" x14ac:dyDescent="0.25">
      <c r="A197" t="str">
        <f t="shared" si="43"/>
        <v>2A Att sortant,T00000</v>
      </c>
      <c r="B197" t="str">
        <f>"PETITFRERE"</f>
        <v>PETITFRERE</v>
      </c>
      <c r="C197" t="str">
        <f>"Aurélien"</f>
        <v>Aurélien</v>
      </c>
      <c r="D197" t="str">
        <f>"022-2197"</f>
        <v>022-2197</v>
      </c>
      <c r="E197" t="str">
        <f>"1903001550W"</f>
        <v>1903001550W</v>
      </c>
      <c r="F197" t="str">
        <f t="shared" si="45"/>
        <v>0352480F</v>
      </c>
      <c r="G197" t="str">
        <f t="shared" si="46"/>
        <v>O</v>
      </c>
      <c r="H197">
        <v>10</v>
      </c>
      <c r="I197">
        <v>1992</v>
      </c>
      <c r="J197">
        <v>1</v>
      </c>
      <c r="K197" t="str">
        <f>"S"</f>
        <v>S</v>
      </c>
      <c r="L197">
        <v>19</v>
      </c>
      <c r="M197">
        <v>2011</v>
      </c>
      <c r="N197" t="str">
        <f t="shared" si="44"/>
        <v>E</v>
      </c>
      <c r="O197" t="str">
        <f>"U"</f>
        <v>U</v>
      </c>
      <c r="P197">
        <v>0</v>
      </c>
      <c r="Q197">
        <v>100</v>
      </c>
      <c r="R197">
        <v>100</v>
      </c>
      <c r="S197">
        <v>35170</v>
      </c>
      <c r="T197">
        <v>100</v>
      </c>
      <c r="U197">
        <v>35170</v>
      </c>
      <c r="V197" t="str">
        <f>"Club Ensa'Litt"</f>
        <v>Club Ensa'Litt</v>
      </c>
      <c r="W197">
        <v>61</v>
      </c>
      <c r="X197">
        <v>0</v>
      </c>
      <c r="Y197">
        <v>6000577</v>
      </c>
      <c r="Z197" t="str">
        <f>""</f>
        <v/>
      </c>
      <c r="AA197">
        <v>27</v>
      </c>
      <c r="AB197" t="str">
        <f>""</f>
        <v/>
      </c>
      <c r="AC197" t="str">
        <f>""</f>
        <v/>
      </c>
      <c r="AD197" t="str">
        <f>""</f>
        <v/>
      </c>
      <c r="AE197">
        <v>2011</v>
      </c>
      <c r="AF197">
        <v>2022</v>
      </c>
      <c r="AG197" t="str">
        <f>"Bruz"</f>
        <v>Bruz</v>
      </c>
      <c r="AH197" t="str">
        <f>"Bruz"</f>
        <v>Bruz</v>
      </c>
      <c r="AI197" t="str">
        <f>""</f>
        <v/>
      </c>
      <c r="AJ197" t="str">
        <f>""</f>
        <v/>
      </c>
      <c r="AK197" t="str">
        <f>""</f>
        <v/>
      </c>
      <c r="AL197">
        <v>61</v>
      </c>
      <c r="AM197" t="str">
        <f>""</f>
        <v/>
      </c>
      <c r="AN197" t="str">
        <f>""</f>
        <v/>
      </c>
      <c r="AO197" t="str">
        <f>"Lycée Gaspard Monge"</f>
        <v>Lycée Gaspard Monge</v>
      </c>
      <c r="AP197" t="str">
        <f>"CHARLEVILLE-MÉZIÈRES"</f>
        <v>CHARLEVILLE-MÉZIÈRES</v>
      </c>
      <c r="AQ197" t="str">
        <f>"Reims"</f>
        <v>Reims</v>
      </c>
    </row>
    <row r="198" spans="1:43" x14ac:dyDescent="0.25">
      <c r="A198" t="str">
        <f t="shared" si="43"/>
        <v>2A Att sortant,T00000</v>
      </c>
      <c r="B198" t="str">
        <f>"ROUDAUT"</f>
        <v>ROUDAUT</v>
      </c>
      <c r="C198" t="str">
        <f>"Florian"</f>
        <v>Florian</v>
      </c>
      <c r="D198" t="str">
        <f>"022-2322"</f>
        <v>022-2322</v>
      </c>
      <c r="E198" t="str">
        <f>"080793222BJ"</f>
        <v>080793222BJ</v>
      </c>
      <c r="F198" t="str">
        <f t="shared" si="45"/>
        <v>0352480F</v>
      </c>
      <c r="G198" t="str">
        <f t="shared" si="46"/>
        <v>O</v>
      </c>
      <c r="H198">
        <v>10</v>
      </c>
      <c r="I198">
        <v>2001</v>
      </c>
      <c r="J198">
        <v>1</v>
      </c>
      <c r="K198" t="str">
        <f>"S"</f>
        <v>S</v>
      </c>
      <c r="L198">
        <v>14</v>
      </c>
      <c r="M198">
        <v>2019</v>
      </c>
      <c r="N198" t="str">
        <f t="shared" si="44"/>
        <v>E</v>
      </c>
      <c r="O198" t="str">
        <f>"D"</f>
        <v>D</v>
      </c>
      <c r="P198">
        <v>0</v>
      </c>
      <c r="Q198">
        <v>100</v>
      </c>
      <c r="R198">
        <v>100</v>
      </c>
      <c r="S198">
        <v>35170</v>
      </c>
      <c r="T198">
        <v>100</v>
      </c>
      <c r="U198">
        <v>35170</v>
      </c>
      <c r="V198" t="str">
        <f>""</f>
        <v/>
      </c>
      <c r="W198">
        <v>33</v>
      </c>
      <c r="X198">
        <v>0</v>
      </c>
      <c r="Y198">
        <v>6000577</v>
      </c>
      <c r="Z198" t="str">
        <f>""</f>
        <v/>
      </c>
      <c r="AA198">
        <v>27</v>
      </c>
      <c r="AB198" t="str">
        <f>""</f>
        <v/>
      </c>
      <c r="AC198" t="str">
        <f>""</f>
        <v/>
      </c>
      <c r="AD198" t="str">
        <f>""</f>
        <v/>
      </c>
      <c r="AE198">
        <v>2019</v>
      </c>
      <c r="AF198">
        <v>2022</v>
      </c>
      <c r="AG198" t="str">
        <f>"BRUZ"</f>
        <v>BRUZ</v>
      </c>
      <c r="AH198" t="str">
        <f>"BRUZ"</f>
        <v>BRUZ</v>
      </c>
      <c r="AI198" t="str">
        <f>""</f>
        <v/>
      </c>
      <c r="AJ198" t="str">
        <f>""</f>
        <v/>
      </c>
      <c r="AK198" t="str">
        <f>""</f>
        <v/>
      </c>
      <c r="AL198">
        <v>38</v>
      </c>
      <c r="AM198" t="str">
        <f>""</f>
        <v/>
      </c>
      <c r="AN198" t="str">
        <f>""</f>
        <v/>
      </c>
      <c r="AO198" t="str">
        <f>"lycée la croix rouge lasalle"</f>
        <v>lycée la croix rouge lasalle</v>
      </c>
      <c r="AP198" t="str">
        <f>"BREST"</f>
        <v>BREST</v>
      </c>
      <c r="AQ198" t="str">
        <f>"Rennes"</f>
        <v>Rennes</v>
      </c>
    </row>
    <row r="199" spans="1:43" x14ac:dyDescent="0.25">
      <c r="A199" t="str">
        <f t="shared" si="43"/>
        <v>2A Att sortant,T00000</v>
      </c>
      <c r="B199" t="str">
        <f>"STEINMETZ"</f>
        <v>STEINMETZ</v>
      </c>
      <c r="C199" t="str">
        <f>"Fabien"</f>
        <v>Fabien</v>
      </c>
      <c r="D199" t="str">
        <f>"023-2379"</f>
        <v>023-2379</v>
      </c>
      <c r="E199" t="str">
        <f>"223417881JF"</f>
        <v>223417881JF</v>
      </c>
      <c r="F199" t="str">
        <f t="shared" si="45"/>
        <v>0352480F</v>
      </c>
      <c r="G199" t="str">
        <f t="shared" si="46"/>
        <v>O</v>
      </c>
      <c r="H199">
        <v>10</v>
      </c>
      <c r="I199">
        <v>1977</v>
      </c>
      <c r="J199">
        <v>1</v>
      </c>
      <c r="K199" t="str">
        <f>"S"</f>
        <v>S</v>
      </c>
      <c r="L199">
        <v>16</v>
      </c>
      <c r="M199">
        <v>1995</v>
      </c>
      <c r="N199" t="str">
        <f t="shared" si="44"/>
        <v>E</v>
      </c>
      <c r="O199" t="str">
        <f>"U"</f>
        <v>U</v>
      </c>
      <c r="P199">
        <v>0</v>
      </c>
      <c r="Q199">
        <v>100</v>
      </c>
      <c r="R199">
        <v>100</v>
      </c>
      <c r="S199">
        <v>35170</v>
      </c>
      <c r="T199">
        <v>100</v>
      </c>
      <c r="U199">
        <v>35170</v>
      </c>
      <c r="V199" t="str">
        <f>""</f>
        <v/>
      </c>
      <c r="W199">
        <v>73</v>
      </c>
      <c r="X199">
        <v>0</v>
      </c>
      <c r="Y199">
        <v>6000577</v>
      </c>
      <c r="Z199" t="str">
        <f>""</f>
        <v/>
      </c>
      <c r="AA199">
        <v>27</v>
      </c>
      <c r="AB199" t="str">
        <f>""</f>
        <v/>
      </c>
      <c r="AC199" t="str">
        <f>""</f>
        <v/>
      </c>
      <c r="AD199" t="str">
        <f>""</f>
        <v/>
      </c>
      <c r="AE199">
        <v>1996</v>
      </c>
      <c r="AF199">
        <v>2023</v>
      </c>
      <c r="AG199" t="str">
        <f>"Bruz"</f>
        <v>Bruz</v>
      </c>
      <c r="AH199" t="str">
        <f>"Bruz"</f>
        <v>Bruz</v>
      </c>
      <c r="AI199" t="str">
        <f>""</f>
        <v/>
      </c>
      <c r="AJ199" t="str">
        <f>""</f>
        <v/>
      </c>
      <c r="AK199" t="str">
        <f>""</f>
        <v/>
      </c>
      <c r="AL199">
        <v>73</v>
      </c>
      <c r="AM199" t="str">
        <f>""</f>
        <v/>
      </c>
      <c r="AN199" t="str">
        <f>""</f>
        <v/>
      </c>
      <c r="AO199" t="str">
        <f>"Bellevue"</f>
        <v>Bellevue</v>
      </c>
      <c r="AP199" t="str">
        <f>"TOULOUSE"</f>
        <v>TOULOUSE</v>
      </c>
      <c r="AQ199" t="str">
        <f>"Toulouse"</f>
        <v>Toulouse</v>
      </c>
    </row>
    <row r="200" spans="1:43" x14ac:dyDescent="0.25">
      <c r="A200" t="str">
        <f t="shared" si="43"/>
        <v>2A Att sortant,T00000</v>
      </c>
      <c r="B200" t="str">
        <f>"TOUZANI"</f>
        <v>TOUZANI</v>
      </c>
      <c r="C200" t="str">
        <f>"Hanan"</f>
        <v>Hanan</v>
      </c>
      <c r="D200" t="str">
        <f>"022-2200"</f>
        <v>022-2200</v>
      </c>
      <c r="E200" t="str">
        <f>"213470209BK"</f>
        <v>213470209BK</v>
      </c>
      <c r="F200" t="str">
        <f t="shared" si="45"/>
        <v>0352480F</v>
      </c>
      <c r="G200" t="str">
        <f t="shared" si="46"/>
        <v>O</v>
      </c>
      <c r="H200">
        <v>10</v>
      </c>
      <c r="I200">
        <v>1975</v>
      </c>
      <c r="J200">
        <v>2</v>
      </c>
      <c r="K200" t="str">
        <f>"S"</f>
        <v>S</v>
      </c>
      <c r="L200">
        <v>20</v>
      </c>
      <c r="M200">
        <v>1993</v>
      </c>
      <c r="N200" t="str">
        <f t="shared" si="44"/>
        <v>E</v>
      </c>
      <c r="O200" t="str">
        <f>"N"</f>
        <v>N</v>
      </c>
      <c r="P200">
        <v>0</v>
      </c>
      <c r="Q200">
        <v>100</v>
      </c>
      <c r="R200">
        <v>100</v>
      </c>
      <c r="S200">
        <v>35131</v>
      </c>
      <c r="T200">
        <v>100</v>
      </c>
      <c r="U200">
        <v>35131</v>
      </c>
      <c r="V200" t="str">
        <f>"TOEIC passé à l'ENSAI le 22/05/2023 : score 875"</f>
        <v>TOEIC passé à l'ENSAI le 22/05/2023 : score 875</v>
      </c>
      <c r="W200">
        <v>76</v>
      </c>
      <c r="X200">
        <v>0</v>
      </c>
      <c r="Y200">
        <v>6000577</v>
      </c>
      <c r="Z200" t="str">
        <f>""</f>
        <v/>
      </c>
      <c r="AA200">
        <v>27</v>
      </c>
      <c r="AB200" t="str">
        <f>""</f>
        <v/>
      </c>
      <c r="AC200" t="str">
        <f>""</f>
        <v/>
      </c>
      <c r="AD200" t="str">
        <f>""</f>
        <v/>
      </c>
      <c r="AE200">
        <v>1993</v>
      </c>
      <c r="AF200">
        <v>2022</v>
      </c>
      <c r="AG200" t="str">
        <f>"Chartres de Bretagne"</f>
        <v>Chartres de Bretagne</v>
      </c>
      <c r="AH200" t="str">
        <f>"Chartres de Bretagne"</f>
        <v>Chartres de Bretagne</v>
      </c>
      <c r="AI200" t="str">
        <f>""</f>
        <v/>
      </c>
      <c r="AJ200" t="str">
        <f>""</f>
        <v/>
      </c>
      <c r="AK200" t="str">
        <f>""</f>
        <v/>
      </c>
      <c r="AL200">
        <v>76</v>
      </c>
      <c r="AM200" t="str">
        <f>""</f>
        <v/>
      </c>
      <c r="AN200" t="str">
        <f>""</f>
        <v/>
      </c>
      <c r="AO200" t="str">
        <f>"JULES UHRY"</f>
        <v>JULES UHRY</v>
      </c>
      <c r="AP200" t="str">
        <f>"CREIL"</f>
        <v>CREIL</v>
      </c>
      <c r="AQ200" t="str">
        <f>"Amiens"</f>
        <v>Amiens</v>
      </c>
    </row>
    <row r="201" spans="1:43" x14ac:dyDescent="0.25">
      <c r="A201" t="str">
        <f>"2A,2A Att,2A AST,T00000"</f>
        <v>2A,2A Att,2A AST,T00000</v>
      </c>
      <c r="B201" t="str">
        <f>"LEFRANCOIS"</f>
        <v>LEFRANCOIS</v>
      </c>
      <c r="C201" t="str">
        <f>"Marion"</f>
        <v>Marion</v>
      </c>
      <c r="D201" t="str">
        <f>"024-2625"</f>
        <v>024-2625</v>
      </c>
      <c r="E201" t="str">
        <f>"2005017424R"</f>
        <v>2005017424R</v>
      </c>
      <c r="F201" t="str">
        <f t="shared" si="45"/>
        <v>0352480F</v>
      </c>
      <c r="G201" t="str">
        <f t="shared" si="46"/>
        <v>O</v>
      </c>
      <c r="H201">
        <v>10</v>
      </c>
      <c r="I201">
        <v>1994</v>
      </c>
      <c r="J201">
        <v>2</v>
      </c>
      <c r="K201" t="str">
        <f>"S"</f>
        <v>S</v>
      </c>
      <c r="L201">
        <v>20</v>
      </c>
      <c r="M201">
        <v>2012</v>
      </c>
      <c r="N201" t="str">
        <f>""</f>
        <v/>
      </c>
      <c r="O201" t="str">
        <f>""</f>
        <v/>
      </c>
      <c r="P201">
        <v>0</v>
      </c>
      <c r="Q201">
        <v>100</v>
      </c>
      <c r="R201">
        <v>100</v>
      </c>
      <c r="S201">
        <v>35131</v>
      </c>
      <c r="T201">
        <v>100</v>
      </c>
      <c r="U201">
        <v>35131</v>
      </c>
      <c r="V201" t="str">
        <f>""</f>
        <v/>
      </c>
      <c r="W201">
        <v>0</v>
      </c>
      <c r="X201">
        <v>0</v>
      </c>
      <c r="Y201">
        <v>6000577</v>
      </c>
      <c r="Z201">
        <v>2</v>
      </c>
      <c r="AA201">
        <v>27</v>
      </c>
      <c r="AB201" t="str">
        <f>""</f>
        <v/>
      </c>
      <c r="AC201" t="str">
        <f>""</f>
        <v/>
      </c>
      <c r="AD201" t="str">
        <f>""</f>
        <v/>
      </c>
      <c r="AE201" t="str">
        <f>""</f>
        <v/>
      </c>
      <c r="AF201">
        <v>2024</v>
      </c>
      <c r="AG201" t="str">
        <f>"Chartres-de-bretagne"</f>
        <v>Chartres-de-bretagne</v>
      </c>
      <c r="AH201" t="str">
        <f>"Chartres-de-bretagne"</f>
        <v>Chartres-de-bretagne</v>
      </c>
      <c r="AI201" t="str">
        <f>""</f>
        <v/>
      </c>
      <c r="AJ201" t="str">
        <f>""</f>
        <v/>
      </c>
      <c r="AK201" t="str">
        <f>""</f>
        <v/>
      </c>
      <c r="AL201">
        <v>0</v>
      </c>
      <c r="AM201" t="str">
        <f>""</f>
        <v/>
      </c>
      <c r="AN201" t="str">
        <f>""</f>
        <v/>
      </c>
      <c r="AO201" t="str">
        <f>"Lycée du Vimeu"</f>
        <v>Lycée du Vimeu</v>
      </c>
      <c r="AP201" t="str">
        <f>"FRIVILLE-ESCARBOTIN"</f>
        <v>FRIVILLE-ESCARBOTIN</v>
      </c>
      <c r="AQ201" t="str">
        <f>"Amiens"</f>
        <v>Amiens</v>
      </c>
    </row>
    <row r="202" spans="1:43" x14ac:dyDescent="0.25">
      <c r="A202" t="str">
        <f>"2A,2A Att,2A AST,T00000"</f>
        <v>2A,2A Att,2A AST,T00000</v>
      </c>
      <c r="B202" t="str">
        <f>"VEYRADIER"</f>
        <v>VEYRADIER</v>
      </c>
      <c r="C202" t="str">
        <f>"Fabien"</f>
        <v>Fabien</v>
      </c>
      <c r="D202" t="str">
        <f>"024-2624"</f>
        <v>024-2624</v>
      </c>
      <c r="E202" t="str">
        <f>"193290298FA"</f>
        <v>193290298FA</v>
      </c>
      <c r="F202" t="str">
        <f t="shared" si="45"/>
        <v>0352480F</v>
      </c>
      <c r="G202" t="str">
        <f t="shared" si="46"/>
        <v>O</v>
      </c>
      <c r="H202">
        <v>10</v>
      </c>
      <c r="I202">
        <v>1975</v>
      </c>
      <c r="J202">
        <v>1</v>
      </c>
      <c r="K202" t="str">
        <f>"C"</f>
        <v>C</v>
      </c>
      <c r="L202">
        <v>11</v>
      </c>
      <c r="M202">
        <v>1993</v>
      </c>
      <c r="N202" t="str">
        <f>"U"</f>
        <v>U</v>
      </c>
      <c r="O202" t="str">
        <f>"E"</f>
        <v>E</v>
      </c>
      <c r="P202">
        <v>0</v>
      </c>
      <c r="Q202">
        <v>100</v>
      </c>
      <c r="R202">
        <v>100</v>
      </c>
      <c r="S202" t="str">
        <f>""</f>
        <v/>
      </c>
      <c r="T202">
        <v>100</v>
      </c>
      <c r="U202" t="str">
        <f>""</f>
        <v/>
      </c>
      <c r="V202" t="str">
        <f>""</f>
        <v/>
      </c>
      <c r="W202">
        <v>0</v>
      </c>
      <c r="X202">
        <v>0</v>
      </c>
      <c r="Y202">
        <v>6000577</v>
      </c>
      <c r="Z202">
        <v>2</v>
      </c>
      <c r="AA202">
        <v>27</v>
      </c>
      <c r="AB202" t="str">
        <f>""</f>
        <v/>
      </c>
      <c r="AC202" t="str">
        <f>""</f>
        <v/>
      </c>
      <c r="AD202" t="str">
        <f>""</f>
        <v/>
      </c>
      <c r="AE202" t="str">
        <f>""</f>
        <v/>
      </c>
      <c r="AF202">
        <v>2024</v>
      </c>
      <c r="AG202" t="str">
        <f>""</f>
        <v/>
      </c>
      <c r="AH202" t="str">
        <f>""</f>
        <v/>
      </c>
      <c r="AI202" t="str">
        <f>""</f>
        <v/>
      </c>
      <c r="AJ202" t="str">
        <f>""</f>
        <v/>
      </c>
      <c r="AK202" t="str">
        <f>""</f>
        <v/>
      </c>
      <c r="AL202">
        <v>0</v>
      </c>
      <c r="AM202" t="str">
        <f>""</f>
        <v/>
      </c>
      <c r="AN202" t="str">
        <f>""</f>
        <v/>
      </c>
      <c r="AO202" t="str">
        <f>"Lycée Daudet"</f>
        <v>Lycée Daudet</v>
      </c>
      <c r="AP202" t="str">
        <f>"NIMES"</f>
        <v>NIMES</v>
      </c>
      <c r="AQ202" t="str">
        <f>"Montpellier"</f>
        <v>Montpellier</v>
      </c>
    </row>
    <row r="203" spans="1:43" x14ac:dyDescent="0.25">
      <c r="A203" t="str">
        <f t="shared" ref="A203:A248" si="47">"2A,2A Att,2A ex Prem.A,T00000"</f>
        <v>2A,2A Att,2A ex Prem.A,T00000</v>
      </c>
      <c r="B203" t="str">
        <f>"AJETOVIC"</f>
        <v>AJETOVIC</v>
      </c>
      <c r="C203" t="str">
        <f>"Bertrand"</f>
        <v>Bertrand</v>
      </c>
      <c r="D203" t="str">
        <f>"023-2394"</f>
        <v>023-2394</v>
      </c>
      <c r="E203" t="str">
        <f>"080222674BC"</f>
        <v>080222674BC</v>
      </c>
      <c r="F203" t="str">
        <f t="shared" si="45"/>
        <v>0352480F</v>
      </c>
      <c r="G203" t="str">
        <f t="shared" si="46"/>
        <v>O</v>
      </c>
      <c r="H203">
        <v>10</v>
      </c>
      <c r="I203">
        <v>2002</v>
      </c>
      <c r="J203">
        <v>1</v>
      </c>
      <c r="K203" t="str">
        <f>"S"</f>
        <v>S</v>
      </c>
      <c r="L203">
        <v>4</v>
      </c>
      <c r="M203">
        <v>2020</v>
      </c>
      <c r="N203" t="str">
        <f t="shared" ref="N203:N248" si="48">"E"</f>
        <v>E</v>
      </c>
      <c r="O203" t="str">
        <f>"D"</f>
        <v>D</v>
      </c>
      <c r="P203">
        <v>0</v>
      </c>
      <c r="Q203">
        <v>100</v>
      </c>
      <c r="R203">
        <v>100</v>
      </c>
      <c r="S203">
        <v>35000</v>
      </c>
      <c r="T203">
        <v>100</v>
      </c>
      <c r="U203">
        <v>35000</v>
      </c>
      <c r="V203" t="str">
        <f>"TOEIC 1A le 24/05/20024 915"</f>
        <v>TOEIC 1A le 24/05/20024 915</v>
      </c>
      <c r="W203">
        <v>61</v>
      </c>
      <c r="X203">
        <v>0</v>
      </c>
      <c r="Y203">
        <v>6000577</v>
      </c>
      <c r="Z203">
        <v>2</v>
      </c>
      <c r="AA203">
        <v>27</v>
      </c>
      <c r="AB203" t="str">
        <f>""</f>
        <v/>
      </c>
      <c r="AC203" t="str">
        <f>""</f>
        <v/>
      </c>
      <c r="AD203" t="str">
        <f>""</f>
        <v/>
      </c>
      <c r="AE203">
        <v>2020</v>
      </c>
      <c r="AF203">
        <v>2023</v>
      </c>
      <c r="AG203" t="str">
        <f>"Rennes"</f>
        <v>Rennes</v>
      </c>
      <c r="AH203" t="str">
        <f>"Rennes"</f>
        <v>Rennes</v>
      </c>
      <c r="AI203" t="str">
        <f>""</f>
        <v/>
      </c>
      <c r="AJ203" t="str">
        <f>""</f>
        <v/>
      </c>
      <c r="AK203" t="str">
        <f>""</f>
        <v/>
      </c>
      <c r="AL203">
        <v>56</v>
      </c>
      <c r="AM203" t="str">
        <f>""</f>
        <v/>
      </c>
      <c r="AN203" t="str">
        <f>""</f>
        <v/>
      </c>
      <c r="AO203" t="str">
        <f>"Lycée polyvalent Gustave Eiffel"</f>
        <v>Lycée polyvalent Gustave Eiffel</v>
      </c>
      <c r="AP203" t="str">
        <f>"BORDEAUX"</f>
        <v>BORDEAUX</v>
      </c>
      <c r="AQ203" t="str">
        <f>"Bordeaux"</f>
        <v>Bordeaux</v>
      </c>
    </row>
    <row r="204" spans="1:43" x14ac:dyDescent="0.25">
      <c r="A204" t="str">
        <f t="shared" si="47"/>
        <v>2A,2A Att,2A ex Prem.A,T00000</v>
      </c>
      <c r="B204" t="str">
        <f>"AYARI"</f>
        <v>AYARI</v>
      </c>
      <c r="C204" t="str">
        <f>"Akmal"</f>
        <v>Akmal</v>
      </c>
      <c r="D204" t="str">
        <f>"023-2540"</f>
        <v>023-2540</v>
      </c>
      <c r="E204" t="str">
        <f>"060556139JJ"</f>
        <v>060556139JJ</v>
      </c>
      <c r="F204" t="str">
        <f t="shared" si="45"/>
        <v>0352480F</v>
      </c>
      <c r="G204" t="str">
        <f t="shared" si="46"/>
        <v>O</v>
      </c>
      <c r="H204">
        <v>10</v>
      </c>
      <c r="I204">
        <v>2003</v>
      </c>
      <c r="J204">
        <v>1</v>
      </c>
      <c r="K204" t="str">
        <f>"C"</f>
        <v>C</v>
      </c>
      <c r="L204">
        <v>14</v>
      </c>
      <c r="M204">
        <v>2021</v>
      </c>
      <c r="N204" t="str">
        <f t="shared" si="48"/>
        <v>E</v>
      </c>
      <c r="O204" t="str">
        <f>"D"</f>
        <v>D</v>
      </c>
      <c r="P204">
        <v>0</v>
      </c>
      <c r="Q204">
        <v>100</v>
      </c>
      <c r="R204">
        <v>100</v>
      </c>
      <c r="S204" t="str">
        <f>""</f>
        <v/>
      </c>
      <c r="T204">
        <v>100</v>
      </c>
      <c r="U204" t="str">
        <f>""</f>
        <v/>
      </c>
      <c r="V204" t="str">
        <f>"TOEIC 1A le 24/05/20024 915"</f>
        <v>TOEIC 1A le 24/05/20024 915</v>
      </c>
      <c r="W204">
        <v>37</v>
      </c>
      <c r="X204">
        <v>0</v>
      </c>
      <c r="Y204">
        <v>6000577</v>
      </c>
      <c r="Z204">
        <v>2</v>
      </c>
      <c r="AA204">
        <v>27</v>
      </c>
      <c r="AB204" t="str">
        <f>""</f>
        <v/>
      </c>
      <c r="AC204" t="str">
        <f>""</f>
        <v/>
      </c>
      <c r="AD204" t="str">
        <f>""</f>
        <v/>
      </c>
      <c r="AE204">
        <v>2021</v>
      </c>
      <c r="AF204">
        <v>2023</v>
      </c>
      <c r="AG204" t="str">
        <f>""</f>
        <v/>
      </c>
      <c r="AH204" t="str">
        <f>""</f>
        <v/>
      </c>
      <c r="AI204" t="str">
        <f>""</f>
        <v/>
      </c>
      <c r="AJ204" t="str">
        <f>""</f>
        <v/>
      </c>
      <c r="AK204" t="str">
        <f>""</f>
        <v/>
      </c>
      <c r="AL204">
        <v>55</v>
      </c>
      <c r="AM204" t="str">
        <f>""</f>
        <v/>
      </c>
      <c r="AN204" t="str">
        <f>""</f>
        <v/>
      </c>
      <c r="AO204" t="str">
        <f>"Lycée Saint-Pierre"</f>
        <v>Lycée Saint-Pierre</v>
      </c>
      <c r="AP204" t="str">
        <f>"SAINT-BRIEUC"</f>
        <v>SAINT-BRIEUC</v>
      </c>
      <c r="AQ204" t="str">
        <f>"Rennes"</f>
        <v>Rennes</v>
      </c>
    </row>
    <row r="205" spans="1:43" x14ac:dyDescent="0.25">
      <c r="A205" t="str">
        <f t="shared" si="47"/>
        <v>2A,2A Att,2A ex Prem.A,T00000</v>
      </c>
      <c r="B205" t="str">
        <f>"BERNIER"</f>
        <v>BERNIER</v>
      </c>
      <c r="C205" t="str">
        <f>"Félix"</f>
        <v>Félix</v>
      </c>
      <c r="D205" t="str">
        <f>"021-2844"</f>
        <v>021-2844</v>
      </c>
      <c r="E205" t="str">
        <f>"02TQA0517I8"</f>
        <v>02TQA0517I8</v>
      </c>
      <c r="F205" t="str">
        <f t="shared" si="45"/>
        <v>0352480F</v>
      </c>
      <c r="G205" t="str">
        <f t="shared" si="46"/>
        <v>O</v>
      </c>
      <c r="H205">
        <v>10</v>
      </c>
      <c r="I205">
        <v>1973</v>
      </c>
      <c r="J205">
        <v>1</v>
      </c>
      <c r="K205" t="str">
        <f>"C"</f>
        <v>C</v>
      </c>
      <c r="L205">
        <v>2</v>
      </c>
      <c r="M205">
        <v>1992</v>
      </c>
      <c r="N205" t="str">
        <f t="shared" si="48"/>
        <v>E</v>
      </c>
      <c r="O205" t="str">
        <f>"U"</f>
        <v>U</v>
      </c>
      <c r="P205">
        <v>0</v>
      </c>
      <c r="Q205">
        <v>100</v>
      </c>
      <c r="R205">
        <v>100</v>
      </c>
      <c r="S205">
        <v>35170</v>
      </c>
      <c r="T205">
        <v>100</v>
      </c>
      <c r="U205">
        <v>35170</v>
      </c>
      <c r="V205" t="str">
        <f>""</f>
        <v/>
      </c>
      <c r="W205">
        <v>73</v>
      </c>
      <c r="X205">
        <v>0</v>
      </c>
      <c r="Y205">
        <v>6000577</v>
      </c>
      <c r="Z205">
        <v>2</v>
      </c>
      <c r="AA205">
        <v>27</v>
      </c>
      <c r="AB205" t="str">
        <f>""</f>
        <v/>
      </c>
      <c r="AC205" t="str">
        <f>""</f>
        <v/>
      </c>
      <c r="AD205" t="str">
        <f>""</f>
        <v/>
      </c>
      <c r="AE205">
        <v>1992</v>
      </c>
      <c r="AF205">
        <v>2021</v>
      </c>
      <c r="AG205" t="str">
        <f>"BRUZ"</f>
        <v>BRUZ</v>
      </c>
      <c r="AH205" t="str">
        <f>"BRUZ"</f>
        <v>BRUZ</v>
      </c>
      <c r="AI205" t="str">
        <f>""</f>
        <v/>
      </c>
      <c r="AJ205" t="str">
        <f>""</f>
        <v/>
      </c>
      <c r="AK205" t="str">
        <f>""</f>
        <v/>
      </c>
      <c r="AL205">
        <v>82</v>
      </c>
      <c r="AM205" t="str">
        <f>""</f>
        <v/>
      </c>
      <c r="AN205" t="str">
        <f>""</f>
        <v/>
      </c>
      <c r="AO205" t="str">
        <f>"Michelet"</f>
        <v>Michelet</v>
      </c>
      <c r="AP205" t="str">
        <f>"MARSEILLE"</f>
        <v>MARSEILLE</v>
      </c>
      <c r="AQ205" t="str">
        <f>"Aix-Marseille"</f>
        <v>Aix-Marseille</v>
      </c>
    </row>
    <row r="206" spans="1:43" x14ac:dyDescent="0.25">
      <c r="A206" t="str">
        <f t="shared" si="47"/>
        <v>2A,2A Att,2A ex Prem.A,T00000</v>
      </c>
      <c r="B206" t="str">
        <f>"BOUDABSA"</f>
        <v>BOUDABSA</v>
      </c>
      <c r="C206" t="str">
        <f>"Saifeddine"</f>
        <v>Saifeddine</v>
      </c>
      <c r="D206" t="str">
        <f>"023-2430"</f>
        <v>023-2430</v>
      </c>
      <c r="E206" t="str">
        <f>"090525610CJ"</f>
        <v>090525610CJ</v>
      </c>
      <c r="F206" t="str">
        <f t="shared" si="45"/>
        <v>0352480F</v>
      </c>
      <c r="G206" t="str">
        <f t="shared" si="46"/>
        <v>O</v>
      </c>
      <c r="H206">
        <v>10</v>
      </c>
      <c r="I206">
        <v>2003</v>
      </c>
      <c r="J206">
        <v>1</v>
      </c>
      <c r="K206" t="str">
        <f>"C"</f>
        <v>C</v>
      </c>
      <c r="L206">
        <v>23</v>
      </c>
      <c r="M206">
        <v>2021</v>
      </c>
      <c r="N206" t="str">
        <f t="shared" si="48"/>
        <v>E</v>
      </c>
      <c r="O206" t="str">
        <f>"D"</f>
        <v>D</v>
      </c>
      <c r="P206">
        <v>0</v>
      </c>
      <c r="Q206">
        <v>100</v>
      </c>
      <c r="R206">
        <v>100</v>
      </c>
      <c r="S206">
        <v>35650</v>
      </c>
      <c r="T206">
        <v>100</v>
      </c>
      <c r="U206">
        <v>35650</v>
      </c>
      <c r="V206" t="str">
        <f>"TOEIC 1A le 24/05/20024 830"</f>
        <v>TOEIC 1A le 24/05/20024 830</v>
      </c>
      <c r="W206">
        <v>99</v>
      </c>
      <c r="X206">
        <v>0</v>
      </c>
      <c r="Y206">
        <v>6000577</v>
      </c>
      <c r="Z206">
        <v>2</v>
      </c>
      <c r="AA206">
        <v>27</v>
      </c>
      <c r="AB206" t="str">
        <f>""</f>
        <v/>
      </c>
      <c r="AC206" t="str">
        <f>""</f>
        <v/>
      </c>
      <c r="AD206" t="str">
        <f>""</f>
        <v/>
      </c>
      <c r="AE206">
        <v>2021</v>
      </c>
      <c r="AF206">
        <v>2023</v>
      </c>
      <c r="AG206" t="str">
        <f>"Le Rheu"</f>
        <v>Le Rheu</v>
      </c>
      <c r="AH206" t="str">
        <f>"Le Rheu"</f>
        <v>Le Rheu</v>
      </c>
      <c r="AI206" t="str">
        <f>""</f>
        <v/>
      </c>
      <c r="AJ206" t="str">
        <f>""</f>
        <v/>
      </c>
      <c r="AK206" t="str">
        <f>""</f>
        <v/>
      </c>
      <c r="AL206">
        <v>99</v>
      </c>
      <c r="AM206" t="str">
        <f>""</f>
        <v/>
      </c>
      <c r="AN206" t="str">
        <f>""</f>
        <v/>
      </c>
      <c r="AO206" t="str">
        <f>"Lycée Auguste Renoir"</f>
        <v>Lycée Auguste Renoir</v>
      </c>
      <c r="AP206" t="str">
        <f>"CAGNES-SUR-MER"</f>
        <v>CAGNES-SUR-MER</v>
      </c>
      <c r="AQ206" t="str">
        <f>"Nice"</f>
        <v>Nice</v>
      </c>
    </row>
    <row r="207" spans="1:43" x14ac:dyDescent="0.25">
      <c r="A207" t="str">
        <f t="shared" si="47"/>
        <v>2A,2A Att,2A ex Prem.A,T00000</v>
      </c>
      <c r="B207" t="str">
        <f>"BOUZERIA"</f>
        <v>BOUZERIA</v>
      </c>
      <c r="C207" t="str">
        <f>"Wissal"</f>
        <v>Wissal</v>
      </c>
      <c r="D207" t="str">
        <f>"022-2323"</f>
        <v>022-2323</v>
      </c>
      <c r="E207" t="str">
        <f>"101128213BA"</f>
        <v>101128213BA</v>
      </c>
      <c r="F207" t="str">
        <f t="shared" si="45"/>
        <v>0352480F</v>
      </c>
      <c r="G207" t="str">
        <f t="shared" si="46"/>
        <v>O</v>
      </c>
      <c r="H207">
        <v>10</v>
      </c>
      <c r="I207">
        <v>2002</v>
      </c>
      <c r="J207">
        <v>2</v>
      </c>
      <c r="K207" t="str">
        <f>"S"</f>
        <v>S</v>
      </c>
      <c r="L207">
        <v>14</v>
      </c>
      <c r="M207">
        <v>2020</v>
      </c>
      <c r="N207" t="str">
        <f t="shared" si="48"/>
        <v>E</v>
      </c>
      <c r="O207" t="str">
        <f>"D"</f>
        <v>D</v>
      </c>
      <c r="P207">
        <v>0</v>
      </c>
      <c r="Q207">
        <v>100</v>
      </c>
      <c r="R207">
        <v>100</v>
      </c>
      <c r="S207">
        <v>35000</v>
      </c>
      <c r="T207">
        <v>100</v>
      </c>
      <c r="U207">
        <v>35000</v>
      </c>
      <c r="V207" t="str">
        <f>"TOEIC passé à l'ENSAI le 22/05/2023 : score 960  SensPSYbles : vice-présidente"</f>
        <v>TOEIC passé à l'ENSAI le 22/05/2023 : score 960  SensPSYbles : vice-présidente</v>
      </c>
      <c r="W207">
        <v>82</v>
      </c>
      <c r="X207">
        <v>0</v>
      </c>
      <c r="Y207">
        <v>6000577</v>
      </c>
      <c r="Z207">
        <v>2</v>
      </c>
      <c r="AA207">
        <v>27</v>
      </c>
      <c r="AB207" t="str">
        <f>""</f>
        <v/>
      </c>
      <c r="AC207" t="str">
        <f>""</f>
        <v/>
      </c>
      <c r="AD207" t="str">
        <f>""</f>
        <v/>
      </c>
      <c r="AE207">
        <v>2020</v>
      </c>
      <c r="AF207">
        <v>2022</v>
      </c>
      <c r="AG207" t="str">
        <f>"Rennes"</f>
        <v>Rennes</v>
      </c>
      <c r="AH207" t="str">
        <f>"Rennes"</f>
        <v>Rennes</v>
      </c>
      <c r="AI207" t="str">
        <f>""</f>
        <v/>
      </c>
      <c r="AJ207" t="str">
        <f>""</f>
        <v/>
      </c>
      <c r="AK207" t="str">
        <f>""</f>
        <v/>
      </c>
      <c r="AL207">
        <v>22</v>
      </c>
      <c r="AM207" t="str">
        <f>""</f>
        <v/>
      </c>
      <c r="AN207" t="str">
        <f>""</f>
        <v/>
      </c>
      <c r="AO207" t="str">
        <f>"Dupuy de Lome"</f>
        <v>Dupuy de Lome</v>
      </c>
      <c r="AP207" t="str">
        <f>"LORIENT"</f>
        <v>LORIENT</v>
      </c>
      <c r="AQ207" t="str">
        <f>"Rennes"</f>
        <v>Rennes</v>
      </c>
    </row>
    <row r="208" spans="1:43" x14ac:dyDescent="0.25">
      <c r="A208" t="str">
        <f t="shared" si="47"/>
        <v>2A,2A Att,2A ex Prem.A,T00000</v>
      </c>
      <c r="B208" t="str">
        <f>"BRANGER"</f>
        <v>BRANGER</v>
      </c>
      <c r="C208" t="str">
        <f>"Antton"</f>
        <v>Antton</v>
      </c>
      <c r="D208" t="str">
        <f>"023-2426"</f>
        <v>023-2426</v>
      </c>
      <c r="E208" t="str">
        <f>"071310375EJ"</f>
        <v>071310375EJ</v>
      </c>
      <c r="F208" t="str">
        <f t="shared" si="45"/>
        <v>0352480F</v>
      </c>
      <c r="G208" t="str">
        <f t="shared" si="46"/>
        <v>O</v>
      </c>
      <c r="H208">
        <v>10</v>
      </c>
      <c r="I208">
        <v>2003</v>
      </c>
      <c r="J208">
        <v>1</v>
      </c>
      <c r="K208" t="str">
        <f>"C"</f>
        <v>C</v>
      </c>
      <c r="L208">
        <v>4</v>
      </c>
      <c r="M208">
        <v>2021</v>
      </c>
      <c r="N208" t="str">
        <f t="shared" si="48"/>
        <v>E</v>
      </c>
      <c r="O208" t="str">
        <f>"D"</f>
        <v>D</v>
      </c>
      <c r="P208">
        <v>0</v>
      </c>
      <c r="Q208">
        <v>100</v>
      </c>
      <c r="R208">
        <v>100</v>
      </c>
      <c r="S208">
        <v>35000</v>
      </c>
      <c r="T208">
        <v>100</v>
      </c>
      <c r="U208">
        <v>35000</v>
      </c>
      <c r="V208" t="str">
        <f>""</f>
        <v/>
      </c>
      <c r="W208">
        <v>48</v>
      </c>
      <c r="X208">
        <v>0</v>
      </c>
      <c r="Y208">
        <v>6000577</v>
      </c>
      <c r="Z208">
        <v>2</v>
      </c>
      <c r="AA208">
        <v>27</v>
      </c>
      <c r="AB208" t="str">
        <f>""</f>
        <v/>
      </c>
      <c r="AC208" t="str">
        <f>""</f>
        <v/>
      </c>
      <c r="AD208" t="str">
        <f>""</f>
        <v/>
      </c>
      <c r="AE208">
        <v>2021</v>
      </c>
      <c r="AF208">
        <v>2023</v>
      </c>
      <c r="AG208" t="str">
        <f>"Rennes"</f>
        <v>Rennes</v>
      </c>
      <c r="AH208" t="str">
        <f>"Rennes"</f>
        <v>Rennes</v>
      </c>
      <c r="AI208" t="str">
        <f>""</f>
        <v/>
      </c>
      <c r="AJ208" t="str">
        <f>""</f>
        <v/>
      </c>
      <c r="AK208" t="str">
        <f>""</f>
        <v/>
      </c>
      <c r="AL208">
        <v>42</v>
      </c>
      <c r="AM208" t="str">
        <f>""</f>
        <v/>
      </c>
      <c r="AN208" t="str">
        <f>""</f>
        <v/>
      </c>
      <c r="AO208" t="str">
        <f>"Maurice Ravel"</f>
        <v>Maurice Ravel</v>
      </c>
      <c r="AP208" t="str">
        <f>"SAINT JEAN DE LUZ"</f>
        <v>SAINT JEAN DE LUZ</v>
      </c>
      <c r="AQ208" t="str">
        <f>"Bordeaux"</f>
        <v>Bordeaux</v>
      </c>
    </row>
    <row r="209" spans="1:43" x14ac:dyDescent="0.25">
      <c r="A209" t="str">
        <f t="shared" si="47"/>
        <v>2A,2A Att,2A ex Prem.A,T00000</v>
      </c>
      <c r="B209" t="str">
        <f>"BRAQUAVAL"</f>
        <v>BRAQUAVAL</v>
      </c>
      <c r="C209" t="str">
        <f>"Xavier"</f>
        <v>Xavier</v>
      </c>
      <c r="D209" t="str">
        <f>"023-2501"</f>
        <v>023-2501</v>
      </c>
      <c r="E209" t="str">
        <f>"101063246JE"</f>
        <v>101063246JE</v>
      </c>
      <c r="F209" t="str">
        <f t="shared" si="45"/>
        <v>0352480F</v>
      </c>
      <c r="G209" t="str">
        <f t="shared" si="46"/>
        <v>O</v>
      </c>
      <c r="H209">
        <v>10</v>
      </c>
      <c r="I209">
        <v>2003</v>
      </c>
      <c r="J209">
        <v>1</v>
      </c>
      <c r="K209" t="str">
        <f>"S"</f>
        <v>S</v>
      </c>
      <c r="L209">
        <v>9</v>
      </c>
      <c r="M209">
        <v>2020</v>
      </c>
      <c r="N209" t="str">
        <f t="shared" si="48"/>
        <v>E</v>
      </c>
      <c r="O209" t="str">
        <f>"Z"</f>
        <v>Z</v>
      </c>
      <c r="P209">
        <v>0</v>
      </c>
      <c r="Q209">
        <v>100</v>
      </c>
      <c r="R209">
        <v>100</v>
      </c>
      <c r="S209">
        <v>35000</v>
      </c>
      <c r="T209">
        <v>100</v>
      </c>
      <c r="U209">
        <v>35000</v>
      </c>
      <c r="V209" t="str">
        <f>""</f>
        <v/>
      </c>
      <c r="W209">
        <v>10</v>
      </c>
      <c r="X209">
        <v>0</v>
      </c>
      <c r="Y209">
        <v>6000577</v>
      </c>
      <c r="Z209">
        <v>2</v>
      </c>
      <c r="AA209">
        <v>27</v>
      </c>
      <c r="AB209" t="str">
        <f>""</f>
        <v/>
      </c>
      <c r="AC209" t="str">
        <f>""</f>
        <v/>
      </c>
      <c r="AD209" t="str">
        <f>""</f>
        <v/>
      </c>
      <c r="AE209" t="str">
        <f>""</f>
        <v/>
      </c>
      <c r="AF209">
        <v>2023</v>
      </c>
      <c r="AG209" t="str">
        <f>"RENNES"</f>
        <v>RENNES</v>
      </c>
      <c r="AH209" t="str">
        <f>"RENNES"</f>
        <v>RENNES</v>
      </c>
      <c r="AI209" t="str">
        <f>""</f>
        <v/>
      </c>
      <c r="AJ209" t="str">
        <f>""</f>
        <v/>
      </c>
      <c r="AK209" t="str">
        <f>""</f>
        <v/>
      </c>
      <c r="AL209">
        <v>54</v>
      </c>
      <c r="AM209" t="str">
        <f>""</f>
        <v/>
      </c>
      <c r="AN209" t="str">
        <f>""</f>
        <v/>
      </c>
      <c r="AO209" t="str">
        <f>"Institution Saint Michel"</f>
        <v>Institution Saint Michel</v>
      </c>
      <c r="AP209" t="str">
        <f>"SOLESMES"</f>
        <v>SOLESMES</v>
      </c>
      <c r="AQ209" t="str">
        <f>"Lille"</f>
        <v>Lille</v>
      </c>
    </row>
    <row r="210" spans="1:43" x14ac:dyDescent="0.25">
      <c r="A210" t="str">
        <f t="shared" si="47"/>
        <v>2A,2A Att,2A ex Prem.A,T00000</v>
      </c>
      <c r="B210" t="str">
        <f>"BULLE"</f>
        <v>BULLE</v>
      </c>
      <c r="C210" t="str">
        <f>"Arthur"</f>
        <v>Arthur</v>
      </c>
      <c r="D210" t="str">
        <f>"023-2520"</f>
        <v>023-2520</v>
      </c>
      <c r="E210" t="str">
        <f>"090280330KC"</f>
        <v>090280330KC</v>
      </c>
      <c r="F210" t="str">
        <f t="shared" si="45"/>
        <v>0352480F</v>
      </c>
      <c r="G210" t="str">
        <f t="shared" si="46"/>
        <v>O</v>
      </c>
      <c r="H210">
        <v>10</v>
      </c>
      <c r="I210">
        <v>2003</v>
      </c>
      <c r="J210">
        <v>1</v>
      </c>
      <c r="K210" t="str">
        <f>"S"</f>
        <v>S</v>
      </c>
      <c r="L210">
        <v>11</v>
      </c>
      <c r="M210">
        <v>2020</v>
      </c>
      <c r="N210" t="str">
        <f t="shared" si="48"/>
        <v>E</v>
      </c>
      <c r="O210" t="str">
        <f>"N"</f>
        <v>N</v>
      </c>
      <c r="P210">
        <v>0</v>
      </c>
      <c r="Q210">
        <v>100</v>
      </c>
      <c r="R210">
        <v>100</v>
      </c>
      <c r="S210">
        <v>35131</v>
      </c>
      <c r="T210">
        <v>100</v>
      </c>
      <c r="U210">
        <v>35131</v>
      </c>
      <c r="V210" t="str">
        <f>""</f>
        <v/>
      </c>
      <c r="W210">
        <v>33</v>
      </c>
      <c r="X210">
        <v>0</v>
      </c>
      <c r="Y210">
        <v>6000577</v>
      </c>
      <c r="Z210">
        <v>2</v>
      </c>
      <c r="AA210">
        <v>27</v>
      </c>
      <c r="AB210" t="str">
        <f>""</f>
        <v/>
      </c>
      <c r="AC210" t="str">
        <f>""</f>
        <v/>
      </c>
      <c r="AD210" t="str">
        <f>""</f>
        <v/>
      </c>
      <c r="AE210">
        <v>2020</v>
      </c>
      <c r="AF210">
        <v>2023</v>
      </c>
      <c r="AG210" t="str">
        <f>"Chartres-de-Bretagne"</f>
        <v>Chartres-de-Bretagne</v>
      </c>
      <c r="AH210" t="str">
        <f>"Chartres-de-Bretagne"</f>
        <v>Chartres-de-Bretagne</v>
      </c>
      <c r="AI210" t="str">
        <f>""</f>
        <v/>
      </c>
      <c r="AJ210" t="str">
        <f>""</f>
        <v/>
      </c>
      <c r="AK210" t="str">
        <f>""</f>
        <v/>
      </c>
      <c r="AL210">
        <v>33</v>
      </c>
      <c r="AM210" t="str">
        <f>""</f>
        <v/>
      </c>
      <c r="AN210" t="str">
        <f>""</f>
        <v/>
      </c>
      <c r="AO210" t="str">
        <f>"Bulle"</f>
        <v>Bulle</v>
      </c>
      <c r="AP210" t="str">
        <f>"PIGNAN"</f>
        <v>PIGNAN</v>
      </c>
      <c r="AQ210" t="str">
        <f>"Montpellier"</f>
        <v>Montpellier</v>
      </c>
    </row>
    <row r="211" spans="1:43" x14ac:dyDescent="0.25">
      <c r="A211" t="str">
        <f t="shared" si="47"/>
        <v>2A,2A Att,2A ex Prem.A,T00000</v>
      </c>
      <c r="B211" t="str">
        <f>"CHARTIER--GRANOUILHAC"</f>
        <v>CHARTIER--GRANOUILHAC</v>
      </c>
      <c r="C211" t="str">
        <f>"Éline"</f>
        <v>Éline</v>
      </c>
      <c r="D211" t="str">
        <f>"023-2359"</f>
        <v>023-2359</v>
      </c>
      <c r="E211" t="str">
        <f>"061021131BH"</f>
        <v>061021131BH</v>
      </c>
      <c r="F211" t="str">
        <f t="shared" si="45"/>
        <v>0352480F</v>
      </c>
      <c r="G211" t="str">
        <f t="shared" si="46"/>
        <v>O</v>
      </c>
      <c r="H211">
        <v>10</v>
      </c>
      <c r="I211">
        <v>2003</v>
      </c>
      <c r="J211">
        <v>2</v>
      </c>
      <c r="K211" t="str">
        <f>"S"</f>
        <v>S</v>
      </c>
      <c r="L211">
        <v>11</v>
      </c>
      <c r="M211">
        <v>2021</v>
      </c>
      <c r="N211" t="str">
        <f t="shared" si="48"/>
        <v>E</v>
      </c>
      <c r="O211" t="str">
        <f>"D"</f>
        <v>D</v>
      </c>
      <c r="P211">
        <v>0</v>
      </c>
      <c r="Q211">
        <v>100</v>
      </c>
      <c r="R211">
        <v>100</v>
      </c>
      <c r="S211">
        <v>35170</v>
      </c>
      <c r="T211">
        <v>100</v>
      </c>
      <c r="U211">
        <v>35170</v>
      </c>
      <c r="V211" t="str">
        <f>"TOEIC 1A le 24/05/20024 970"</f>
        <v>TOEIC 1A le 24/05/20024 970</v>
      </c>
      <c r="W211">
        <v>38</v>
      </c>
      <c r="X211">
        <v>0</v>
      </c>
      <c r="Y211">
        <v>6000577</v>
      </c>
      <c r="Z211">
        <v>2</v>
      </c>
      <c r="AA211">
        <v>27</v>
      </c>
      <c r="AB211" t="str">
        <f>""</f>
        <v/>
      </c>
      <c r="AC211" t="str">
        <f>""</f>
        <v/>
      </c>
      <c r="AD211" t="str">
        <f>""</f>
        <v/>
      </c>
      <c r="AE211">
        <v>2021</v>
      </c>
      <c r="AF211">
        <v>2023</v>
      </c>
      <c r="AG211" t="str">
        <f>"Bruz"</f>
        <v>Bruz</v>
      </c>
      <c r="AH211" t="str">
        <f>"Bruz"</f>
        <v>Bruz</v>
      </c>
      <c r="AI211" t="str">
        <f>""</f>
        <v/>
      </c>
      <c r="AJ211" t="str">
        <f>""</f>
        <v/>
      </c>
      <c r="AK211" t="str">
        <f>""</f>
        <v/>
      </c>
      <c r="AL211">
        <v>34</v>
      </c>
      <c r="AM211" t="str">
        <f>""</f>
        <v/>
      </c>
      <c r="AN211" t="str">
        <f>""</f>
        <v/>
      </c>
      <c r="AO211" t="str">
        <f>"CITE SCOLAIRE HENRI IV"</f>
        <v>CITE SCOLAIRE HENRI IV</v>
      </c>
      <c r="AP211" t="str">
        <f>"BÉZIERS"</f>
        <v>BÉZIERS</v>
      </c>
      <c r="AQ211" t="str">
        <f>"Montpellier"</f>
        <v>Montpellier</v>
      </c>
    </row>
    <row r="212" spans="1:43" x14ac:dyDescent="0.25">
      <c r="A212" t="str">
        <f t="shared" si="47"/>
        <v>2A,2A Att,2A ex Prem.A,T00000</v>
      </c>
      <c r="B212" t="str">
        <f>"CLÉMENT-COTTUZ"</f>
        <v>CLÉMENT-COTTUZ</v>
      </c>
      <c r="C212" t="str">
        <f>"Mathieu"</f>
        <v>Mathieu</v>
      </c>
      <c r="D212" t="str">
        <f>"023-2458"</f>
        <v>023-2458</v>
      </c>
      <c r="E212" t="str">
        <f>"081593014JJ"</f>
        <v>081593014JJ</v>
      </c>
      <c r="F212" t="str">
        <f t="shared" si="45"/>
        <v>0352480F</v>
      </c>
      <c r="G212" t="str">
        <f t="shared" si="46"/>
        <v>O</v>
      </c>
      <c r="H212">
        <v>10</v>
      </c>
      <c r="I212">
        <v>2003</v>
      </c>
      <c r="J212">
        <v>1</v>
      </c>
      <c r="K212" t="str">
        <f>""</f>
        <v/>
      </c>
      <c r="L212">
        <v>25</v>
      </c>
      <c r="M212">
        <v>2021</v>
      </c>
      <c r="N212" t="str">
        <f t="shared" si="48"/>
        <v>E</v>
      </c>
      <c r="O212" t="str">
        <f>"A"</f>
        <v>A</v>
      </c>
      <c r="P212">
        <v>0</v>
      </c>
      <c r="Q212">
        <v>100</v>
      </c>
      <c r="R212">
        <v>100</v>
      </c>
      <c r="S212">
        <v>35170</v>
      </c>
      <c r="T212">
        <v>100</v>
      </c>
      <c r="U212">
        <v>35170</v>
      </c>
      <c r="V212" t="str">
        <f>"TOEIC 1A le 24/05/20024 755"</f>
        <v>TOEIC 1A le 24/05/20024 755</v>
      </c>
      <c r="W212">
        <v>37</v>
      </c>
      <c r="X212">
        <v>0</v>
      </c>
      <c r="Y212">
        <v>6000577</v>
      </c>
      <c r="Z212">
        <v>2</v>
      </c>
      <c r="AA212">
        <v>27</v>
      </c>
      <c r="AB212" t="str">
        <f>""</f>
        <v/>
      </c>
      <c r="AC212" t="str">
        <f>""</f>
        <v/>
      </c>
      <c r="AD212" t="str">
        <f>""</f>
        <v/>
      </c>
      <c r="AE212" t="str">
        <f>""</f>
        <v/>
      </c>
      <c r="AF212">
        <v>2023</v>
      </c>
      <c r="AG212" t="str">
        <f>"BRUZ"</f>
        <v>BRUZ</v>
      </c>
      <c r="AH212" t="str">
        <f>"BRUZ"</f>
        <v>BRUZ</v>
      </c>
      <c r="AI212" t="str">
        <f>""</f>
        <v/>
      </c>
      <c r="AJ212" t="str">
        <f>""</f>
        <v/>
      </c>
      <c r="AK212" t="str">
        <f>""</f>
        <v/>
      </c>
      <c r="AL212">
        <v>54</v>
      </c>
      <c r="AM212" t="str">
        <f>""</f>
        <v/>
      </c>
      <c r="AN212" t="str">
        <f>""</f>
        <v/>
      </c>
      <c r="AO212" t="str">
        <f>"Lycée Paul Langevin"</f>
        <v>Lycée Paul Langevin</v>
      </c>
      <c r="AP212" t="str">
        <f>"SURESNES"</f>
        <v>SURESNES</v>
      </c>
      <c r="AQ212" t="str">
        <f>"Versailles"</f>
        <v>Versailles</v>
      </c>
    </row>
    <row r="213" spans="1:43" x14ac:dyDescent="0.25">
      <c r="A213" t="str">
        <f t="shared" si="47"/>
        <v>2A,2A Att,2A ex Prem.A,T00000</v>
      </c>
      <c r="B213" t="str">
        <f>"COLOMBANI"</f>
        <v>COLOMBANI</v>
      </c>
      <c r="C213" t="str">
        <f>"Alban"</f>
        <v>Alban</v>
      </c>
      <c r="D213" t="str">
        <f>"023-2431"</f>
        <v>023-2431</v>
      </c>
      <c r="E213" t="str">
        <f>"071617675EE"</f>
        <v>071617675EE</v>
      </c>
      <c r="F213" t="str">
        <f t="shared" si="45"/>
        <v>0352480F</v>
      </c>
      <c r="G213" t="str">
        <f t="shared" si="46"/>
        <v>O</v>
      </c>
      <c r="H213">
        <v>10</v>
      </c>
      <c r="I213">
        <v>2004</v>
      </c>
      <c r="J213">
        <v>1</v>
      </c>
      <c r="K213" t="str">
        <f>"S"</f>
        <v>S</v>
      </c>
      <c r="L213">
        <v>17</v>
      </c>
      <c r="M213">
        <v>2021</v>
      </c>
      <c r="N213" t="str">
        <f t="shared" si="48"/>
        <v>E</v>
      </c>
      <c r="O213" t="str">
        <f>"D"</f>
        <v>D</v>
      </c>
      <c r="P213">
        <v>0</v>
      </c>
      <c r="Q213">
        <v>100</v>
      </c>
      <c r="R213">
        <v>100</v>
      </c>
      <c r="S213">
        <v>35170</v>
      </c>
      <c r="T213">
        <v>100</v>
      </c>
      <c r="U213">
        <v>35170</v>
      </c>
      <c r="V213" t="str">
        <f>"Cambridge Assessment English - 03/2021 (avant ENSAI) : niveau C1 en anglais  TOEIC 1A le 24/05/20024 990"</f>
        <v>Cambridge Assessment English - 03/2021 (avant ENSAI) : niveau C1 en anglais  TOEIC 1A le 24/05/20024 990</v>
      </c>
      <c r="W213">
        <v>31</v>
      </c>
      <c r="X213">
        <v>0</v>
      </c>
      <c r="Y213">
        <v>6000577</v>
      </c>
      <c r="Z213">
        <v>2</v>
      </c>
      <c r="AA213">
        <v>27</v>
      </c>
      <c r="AB213" t="str">
        <f>""</f>
        <v/>
      </c>
      <c r="AC213" t="str">
        <f>""</f>
        <v/>
      </c>
      <c r="AD213" t="str">
        <f>""</f>
        <v/>
      </c>
      <c r="AE213">
        <v>2021</v>
      </c>
      <c r="AF213">
        <v>2023</v>
      </c>
      <c r="AG213" t="str">
        <f>"Bruz"</f>
        <v>Bruz</v>
      </c>
      <c r="AH213" t="str">
        <f>"Bruz"</f>
        <v>Bruz</v>
      </c>
      <c r="AI213" t="str">
        <f>""</f>
        <v/>
      </c>
      <c r="AJ213" t="str">
        <f>""</f>
        <v/>
      </c>
      <c r="AK213" t="str">
        <f>""</f>
        <v/>
      </c>
      <c r="AL213">
        <v>37</v>
      </c>
      <c r="AM213" t="str">
        <f>""</f>
        <v/>
      </c>
      <c r="AN213" t="str">
        <f>""</f>
        <v/>
      </c>
      <c r="AO213" t="str">
        <f>"Saint Stanislas"</f>
        <v>Saint Stanislas</v>
      </c>
      <c r="AP213" t="str">
        <f>"NANTES"</f>
        <v>NANTES</v>
      </c>
      <c r="AQ213" t="str">
        <f>"Nantes"</f>
        <v>Nantes</v>
      </c>
    </row>
    <row r="214" spans="1:43" x14ac:dyDescent="0.25">
      <c r="A214" t="str">
        <f t="shared" si="47"/>
        <v>2A,2A Att,2A ex Prem.A,T00000</v>
      </c>
      <c r="B214" t="str">
        <f>"CORTIAL"</f>
        <v>CORTIAL</v>
      </c>
      <c r="C214" t="str">
        <f>"Julien"</f>
        <v>Julien</v>
      </c>
      <c r="D214" t="str">
        <f>"023-2459"</f>
        <v>023-2459</v>
      </c>
      <c r="E214" t="str">
        <f>"101138445GA"</f>
        <v>101138445GA</v>
      </c>
      <c r="F214" t="str">
        <f t="shared" si="45"/>
        <v>0352480F</v>
      </c>
      <c r="G214" t="str">
        <f t="shared" si="46"/>
        <v>O</v>
      </c>
      <c r="H214">
        <v>10</v>
      </c>
      <c r="I214">
        <v>2003</v>
      </c>
      <c r="J214">
        <v>1</v>
      </c>
      <c r="K214" t="str">
        <f>""</f>
        <v/>
      </c>
      <c r="L214">
        <v>1</v>
      </c>
      <c r="M214">
        <v>2021</v>
      </c>
      <c r="N214" t="str">
        <f t="shared" si="48"/>
        <v>E</v>
      </c>
      <c r="O214" t="str">
        <f>"D"</f>
        <v>D</v>
      </c>
      <c r="P214">
        <v>0</v>
      </c>
      <c r="Q214">
        <v>100</v>
      </c>
      <c r="R214">
        <v>100</v>
      </c>
      <c r="S214">
        <v>35170</v>
      </c>
      <c r="T214">
        <v>100</v>
      </c>
      <c r="U214">
        <v>35170</v>
      </c>
      <c r="V214" t="str">
        <f>"TOEIC 1A le 24/05/20024 935"</f>
        <v>TOEIC 1A le 24/05/20024 935</v>
      </c>
      <c r="W214">
        <v>33</v>
      </c>
      <c r="X214">
        <v>0</v>
      </c>
      <c r="Y214">
        <v>6000577</v>
      </c>
      <c r="Z214">
        <v>2</v>
      </c>
      <c r="AA214">
        <v>27</v>
      </c>
      <c r="AB214" t="str">
        <f>""</f>
        <v/>
      </c>
      <c r="AC214" t="str">
        <f>""</f>
        <v/>
      </c>
      <c r="AD214" t="str">
        <f>""</f>
        <v/>
      </c>
      <c r="AE214">
        <v>2021</v>
      </c>
      <c r="AF214">
        <v>2023</v>
      </c>
      <c r="AG214" t="str">
        <f>"Bruz"</f>
        <v>Bruz</v>
      </c>
      <c r="AH214" t="str">
        <f>"Bruz"</f>
        <v>Bruz</v>
      </c>
      <c r="AI214" t="str">
        <f>""</f>
        <v/>
      </c>
      <c r="AJ214" t="str">
        <f>""</f>
        <v/>
      </c>
      <c r="AK214" t="str">
        <f>""</f>
        <v/>
      </c>
      <c r="AL214">
        <v>52</v>
      </c>
      <c r="AM214" t="str">
        <f>""</f>
        <v/>
      </c>
      <c r="AN214" t="str">
        <f>""</f>
        <v/>
      </c>
      <c r="AO214" t="str">
        <f>"Condorcet"</f>
        <v>Condorcet</v>
      </c>
      <c r="AP214" t="str">
        <f>"PARIS"</f>
        <v>PARIS</v>
      </c>
      <c r="AQ214" t="str">
        <f>"Paris"</f>
        <v>Paris</v>
      </c>
    </row>
    <row r="215" spans="1:43" x14ac:dyDescent="0.25">
      <c r="A215" t="str">
        <f t="shared" si="47"/>
        <v>2A,2A Att,2A ex Prem.A,T00000</v>
      </c>
      <c r="B215" t="str">
        <f>"COUJATY"</f>
        <v>COUJATY</v>
      </c>
      <c r="C215" t="str">
        <f>"Samuel"</f>
        <v>Samuel</v>
      </c>
      <c r="D215" t="str">
        <f>"023-2478"</f>
        <v>023-2478</v>
      </c>
      <c r="E215" t="str">
        <f>"060040079BB"</f>
        <v>060040079BB</v>
      </c>
      <c r="F215" t="str">
        <f t="shared" si="45"/>
        <v>0352480F</v>
      </c>
      <c r="G215" t="str">
        <f t="shared" si="46"/>
        <v>O</v>
      </c>
      <c r="H215">
        <v>10</v>
      </c>
      <c r="I215">
        <v>2003</v>
      </c>
      <c r="J215">
        <v>1</v>
      </c>
      <c r="K215" t="str">
        <f>"C"</f>
        <v>C</v>
      </c>
      <c r="L215">
        <v>4</v>
      </c>
      <c r="M215">
        <v>2021</v>
      </c>
      <c r="N215" t="str">
        <f t="shared" si="48"/>
        <v>E</v>
      </c>
      <c r="O215" t="str">
        <f>"D"</f>
        <v>D</v>
      </c>
      <c r="P215">
        <v>0</v>
      </c>
      <c r="Q215">
        <v>100</v>
      </c>
      <c r="R215">
        <v>100</v>
      </c>
      <c r="S215">
        <v>35000</v>
      </c>
      <c r="T215">
        <v>100</v>
      </c>
      <c r="U215">
        <v>35000</v>
      </c>
      <c r="V215" t="str">
        <f>""</f>
        <v/>
      </c>
      <c r="W215">
        <v>38</v>
      </c>
      <c r="X215">
        <v>0</v>
      </c>
      <c r="Y215">
        <v>6000577</v>
      </c>
      <c r="Z215">
        <v>2</v>
      </c>
      <c r="AA215">
        <v>27</v>
      </c>
      <c r="AB215" t="str">
        <f>""</f>
        <v/>
      </c>
      <c r="AC215" t="str">
        <f>""</f>
        <v/>
      </c>
      <c r="AD215" t="str">
        <f>""</f>
        <v/>
      </c>
      <c r="AE215">
        <v>2021</v>
      </c>
      <c r="AF215">
        <v>2023</v>
      </c>
      <c r="AG215" t="str">
        <f>"Rennes"</f>
        <v>Rennes</v>
      </c>
      <c r="AH215" t="str">
        <f>"Rennes"</f>
        <v>Rennes</v>
      </c>
      <c r="AI215" t="str">
        <f>""</f>
        <v/>
      </c>
      <c r="AJ215" t="str">
        <f>""</f>
        <v/>
      </c>
      <c r="AK215" t="str">
        <f>""</f>
        <v/>
      </c>
      <c r="AL215">
        <v>34</v>
      </c>
      <c r="AM215" t="str">
        <f>""</f>
        <v/>
      </c>
      <c r="AN215" t="str">
        <f>""</f>
        <v/>
      </c>
      <c r="AO215" t="str">
        <f>"Lycée Gustave Eiffel"</f>
        <v>Lycée Gustave Eiffel</v>
      </c>
      <c r="AP215" t="str">
        <f>"BORDEAUX"</f>
        <v>BORDEAUX</v>
      </c>
      <c r="AQ215" t="str">
        <f>"Bordeaux"</f>
        <v>Bordeaux</v>
      </c>
    </row>
    <row r="216" spans="1:43" x14ac:dyDescent="0.25">
      <c r="A216" t="str">
        <f t="shared" si="47"/>
        <v>2A,2A Att,2A ex Prem.A,T00000</v>
      </c>
      <c r="B216" t="str">
        <f>"DEBARNOT"</f>
        <v>DEBARNOT</v>
      </c>
      <c r="C216" t="str">
        <f>"Zoé"</f>
        <v>Zoé</v>
      </c>
      <c r="D216" t="str">
        <f>"023-2509"</f>
        <v>023-2509</v>
      </c>
      <c r="E216" t="str">
        <f>"070724277HC"</f>
        <v>070724277HC</v>
      </c>
      <c r="F216" t="str">
        <f t="shared" si="45"/>
        <v>0352480F</v>
      </c>
      <c r="G216" t="str">
        <f t="shared" si="46"/>
        <v>O</v>
      </c>
      <c r="H216">
        <v>10</v>
      </c>
      <c r="I216">
        <v>2003</v>
      </c>
      <c r="J216">
        <v>2</v>
      </c>
      <c r="K216" t="str">
        <f>"S"</f>
        <v>S</v>
      </c>
      <c r="L216">
        <v>8</v>
      </c>
      <c r="M216">
        <v>2021</v>
      </c>
      <c r="N216" t="str">
        <f t="shared" si="48"/>
        <v>E</v>
      </c>
      <c r="O216" t="str">
        <f>"D"</f>
        <v>D</v>
      </c>
      <c r="P216">
        <v>0</v>
      </c>
      <c r="Q216">
        <v>100</v>
      </c>
      <c r="R216">
        <v>100</v>
      </c>
      <c r="S216">
        <v>35170</v>
      </c>
      <c r="T216">
        <v>100</v>
      </c>
      <c r="U216">
        <v>35170</v>
      </c>
      <c r="V216" t="str">
        <f>"TOEIC 1A le 24/05/20024 985"</f>
        <v>TOEIC 1A le 24/05/20024 985</v>
      </c>
      <c r="W216">
        <v>38</v>
      </c>
      <c r="X216">
        <v>0</v>
      </c>
      <c r="Y216">
        <v>6000577</v>
      </c>
      <c r="Z216">
        <v>2</v>
      </c>
      <c r="AA216">
        <v>27</v>
      </c>
      <c r="AB216" t="str">
        <f>""</f>
        <v/>
      </c>
      <c r="AC216" t="str">
        <f>""</f>
        <v/>
      </c>
      <c r="AD216" t="str">
        <f>""</f>
        <v/>
      </c>
      <c r="AE216">
        <v>2021</v>
      </c>
      <c r="AF216">
        <v>2023</v>
      </c>
      <c r="AG216" t="str">
        <f>"Bruz"</f>
        <v>Bruz</v>
      </c>
      <c r="AH216" t="str">
        <f>"Bruz"</f>
        <v>Bruz</v>
      </c>
      <c r="AI216" t="str">
        <f>""</f>
        <v/>
      </c>
      <c r="AJ216" t="str">
        <f>""</f>
        <v/>
      </c>
      <c r="AK216" t="str">
        <f>""</f>
        <v/>
      </c>
      <c r="AL216">
        <v>38</v>
      </c>
      <c r="AM216" t="str">
        <f>""</f>
        <v/>
      </c>
      <c r="AN216" t="str">
        <f>""</f>
        <v/>
      </c>
      <c r="AO216" t="str">
        <f>"LYCEE GENERAL ET TECHNOLOGIQUE MARIE REYNOARD"</f>
        <v>LYCEE GENERAL ET TECHNOLOGIQUE MARIE REYNOARD</v>
      </c>
      <c r="AP216" t="str">
        <f>"VILLARD-BONNOT"</f>
        <v>VILLARD-BONNOT</v>
      </c>
      <c r="AQ216" t="str">
        <f>"Grenoble"</f>
        <v>Grenoble</v>
      </c>
    </row>
    <row r="217" spans="1:43" x14ac:dyDescent="0.25">
      <c r="A217" t="str">
        <f t="shared" si="47"/>
        <v>2A,2A Att,2A ex Prem.A,T00000</v>
      </c>
      <c r="B217" t="str">
        <f>"DEBEVE"</f>
        <v>DEBEVE</v>
      </c>
      <c r="C217" t="str">
        <f>"Merlin"</f>
        <v>Merlin</v>
      </c>
      <c r="D217" t="str">
        <f>"023-2421"</f>
        <v>023-2421</v>
      </c>
      <c r="E217" t="str">
        <f>"070471637CH"</f>
        <v>070471637CH</v>
      </c>
      <c r="F217" t="str">
        <f t="shared" si="45"/>
        <v>0352480F</v>
      </c>
      <c r="G217" t="str">
        <f t="shared" si="46"/>
        <v>O</v>
      </c>
      <c r="H217">
        <v>10</v>
      </c>
      <c r="I217">
        <v>2002</v>
      </c>
      <c r="J217">
        <v>1</v>
      </c>
      <c r="K217" t="str">
        <f>"S"</f>
        <v>S</v>
      </c>
      <c r="L217">
        <v>5</v>
      </c>
      <c r="M217">
        <v>2020</v>
      </c>
      <c r="N217" t="str">
        <f t="shared" si="48"/>
        <v>E</v>
      </c>
      <c r="O217" t="str">
        <f>"D"</f>
        <v>D</v>
      </c>
      <c r="P217">
        <v>0</v>
      </c>
      <c r="Q217">
        <v>100</v>
      </c>
      <c r="R217">
        <v>100</v>
      </c>
      <c r="S217">
        <v>27000</v>
      </c>
      <c r="T217">
        <v>100</v>
      </c>
      <c r="U217">
        <v>27000</v>
      </c>
      <c r="V217" t="str">
        <f>"TOEIC 1A le 24/05/20024 955"</f>
        <v>TOEIC 1A le 24/05/20024 955</v>
      </c>
      <c r="W217">
        <v>34</v>
      </c>
      <c r="X217">
        <v>0</v>
      </c>
      <c r="Y217">
        <v>6000577</v>
      </c>
      <c r="Z217">
        <v>2</v>
      </c>
      <c r="AA217">
        <v>27</v>
      </c>
      <c r="AB217" t="str">
        <f>""</f>
        <v/>
      </c>
      <c r="AC217" t="str">
        <f>""</f>
        <v/>
      </c>
      <c r="AD217" t="str">
        <f>""</f>
        <v/>
      </c>
      <c r="AE217">
        <v>2020</v>
      </c>
      <c r="AF217">
        <v>2023</v>
      </c>
      <c r="AG217" t="str">
        <f>"Evreux"</f>
        <v>Evreux</v>
      </c>
      <c r="AH217" t="str">
        <f>"Evreux"</f>
        <v>Evreux</v>
      </c>
      <c r="AI217" t="str">
        <f>""</f>
        <v/>
      </c>
      <c r="AJ217" t="str">
        <f>""</f>
        <v/>
      </c>
      <c r="AK217" t="str">
        <f>""</f>
        <v/>
      </c>
      <c r="AL217">
        <v>73</v>
      </c>
      <c r="AM217" t="str">
        <f>""</f>
        <v/>
      </c>
      <c r="AN217" t="str">
        <f>""</f>
        <v/>
      </c>
      <c r="AO217" t="str">
        <f>"Aristide Briand"</f>
        <v>Aristide Briand</v>
      </c>
      <c r="AP217" t="str">
        <f>"EVREUX"</f>
        <v>EVREUX</v>
      </c>
      <c r="AQ217" t="str">
        <f>"Caen"</f>
        <v>Caen</v>
      </c>
    </row>
    <row r="218" spans="1:43" x14ac:dyDescent="0.25">
      <c r="A218" t="str">
        <f t="shared" si="47"/>
        <v>2A,2A Att,2A ex Prem.A,T00000</v>
      </c>
      <c r="B218" t="str">
        <f>"DELATTRE"</f>
        <v>DELATTRE</v>
      </c>
      <c r="C218" t="str">
        <f>"Nathan"</f>
        <v>Nathan</v>
      </c>
      <c r="D218" t="str">
        <f>"023-2429"</f>
        <v>023-2429</v>
      </c>
      <c r="E218" t="str">
        <f>"060026910JF"</f>
        <v>060026910JF</v>
      </c>
      <c r="F218" t="str">
        <f t="shared" si="45"/>
        <v>0352480F</v>
      </c>
      <c r="G218" t="str">
        <f t="shared" si="46"/>
        <v>O</v>
      </c>
      <c r="H218">
        <v>10</v>
      </c>
      <c r="I218">
        <v>2003</v>
      </c>
      <c r="J218">
        <v>1</v>
      </c>
      <c r="K218" t="str">
        <f>"NBGE"</f>
        <v>NBGE</v>
      </c>
      <c r="L218">
        <v>25</v>
      </c>
      <c r="M218">
        <v>2021</v>
      </c>
      <c r="N218" t="str">
        <f t="shared" si="48"/>
        <v>E</v>
      </c>
      <c r="O218" t="str">
        <f>"A"</f>
        <v>A</v>
      </c>
      <c r="P218">
        <v>0</v>
      </c>
      <c r="Q218">
        <v>100</v>
      </c>
      <c r="R218">
        <v>100</v>
      </c>
      <c r="S218">
        <v>35170</v>
      </c>
      <c r="T218">
        <v>100</v>
      </c>
      <c r="U218">
        <v>35170</v>
      </c>
      <c r="V218" t="str">
        <f>""</f>
        <v/>
      </c>
      <c r="W218">
        <v>42</v>
      </c>
      <c r="X218">
        <v>0</v>
      </c>
      <c r="Y218">
        <v>6000577</v>
      </c>
      <c r="Z218">
        <v>2</v>
      </c>
      <c r="AA218">
        <v>27</v>
      </c>
      <c r="AB218" t="str">
        <f>""</f>
        <v/>
      </c>
      <c r="AC218" t="str">
        <f>""</f>
        <v/>
      </c>
      <c r="AD218" t="str">
        <f>""</f>
        <v/>
      </c>
      <c r="AE218">
        <v>2021</v>
      </c>
      <c r="AF218">
        <v>2023</v>
      </c>
      <c r="AG218" t="str">
        <f>"Bruz"</f>
        <v>Bruz</v>
      </c>
      <c r="AH218" t="str">
        <f>"Bruz"</f>
        <v>Bruz</v>
      </c>
      <c r="AI218" t="str">
        <f>""</f>
        <v/>
      </c>
      <c r="AJ218" t="str">
        <f>""</f>
        <v/>
      </c>
      <c r="AK218" t="str">
        <f>""</f>
        <v/>
      </c>
      <c r="AL218">
        <v>47</v>
      </c>
      <c r="AM218" t="str">
        <f>""</f>
        <v/>
      </c>
      <c r="AN218" t="str">
        <f>""</f>
        <v/>
      </c>
      <c r="AO218" t="str">
        <f>"Lycée Nikola Tesla"</f>
        <v>Lycée Nikola Tesla</v>
      </c>
      <c r="AP218" t="str">
        <f>"DOURDAN"</f>
        <v>DOURDAN</v>
      </c>
      <c r="AQ218" t="str">
        <f>"Versailles"</f>
        <v>Versailles</v>
      </c>
    </row>
    <row r="219" spans="1:43" x14ac:dyDescent="0.25">
      <c r="A219" t="str">
        <f t="shared" si="47"/>
        <v>2A,2A Att,2A ex Prem.A,T00000</v>
      </c>
      <c r="B219" t="str">
        <f>"DELAUNE"</f>
        <v>DELAUNE</v>
      </c>
      <c r="C219" t="str">
        <f>"Eulalie"</f>
        <v>Eulalie</v>
      </c>
      <c r="D219" t="str">
        <f>"023-2393"</f>
        <v>023-2393</v>
      </c>
      <c r="E219" t="str">
        <f>"070308683CB"</f>
        <v>070308683CB</v>
      </c>
      <c r="F219" t="str">
        <f t="shared" si="45"/>
        <v>0352480F</v>
      </c>
      <c r="G219" t="str">
        <f t="shared" si="46"/>
        <v>O</v>
      </c>
      <c r="H219">
        <v>10</v>
      </c>
      <c r="I219">
        <v>2004</v>
      </c>
      <c r="J219">
        <v>2</v>
      </c>
      <c r="K219" t="str">
        <f>"S"</f>
        <v>S</v>
      </c>
      <c r="L219">
        <v>14</v>
      </c>
      <c r="M219">
        <v>2021</v>
      </c>
      <c r="N219" t="str">
        <f t="shared" si="48"/>
        <v>E</v>
      </c>
      <c r="O219" t="str">
        <f t="shared" ref="O219:O229" si="49">"D"</f>
        <v>D</v>
      </c>
      <c r="P219">
        <v>0</v>
      </c>
      <c r="Q219">
        <v>100</v>
      </c>
      <c r="R219">
        <v>100</v>
      </c>
      <c r="S219" t="str">
        <f>"35 00"</f>
        <v>35 00</v>
      </c>
      <c r="T219">
        <v>100</v>
      </c>
      <c r="U219" t="str">
        <f>"35 00"</f>
        <v>35 00</v>
      </c>
      <c r="V219" t="str">
        <f>"TOEIC 1A le 24/05/20024 980"</f>
        <v>TOEIC 1A le 24/05/20024 980</v>
      </c>
      <c r="W219">
        <v>34</v>
      </c>
      <c r="X219">
        <v>0</v>
      </c>
      <c r="Y219">
        <v>6000577</v>
      </c>
      <c r="Z219">
        <v>2</v>
      </c>
      <c r="AA219">
        <v>27</v>
      </c>
      <c r="AB219" t="str">
        <f>""</f>
        <v/>
      </c>
      <c r="AC219" t="str">
        <f>""</f>
        <v/>
      </c>
      <c r="AD219" t="str">
        <f>""</f>
        <v/>
      </c>
      <c r="AE219">
        <v>2021</v>
      </c>
      <c r="AF219">
        <v>2023</v>
      </c>
      <c r="AG219" t="str">
        <f>"Rennes"</f>
        <v>Rennes</v>
      </c>
      <c r="AH219" t="str">
        <f>"Rennes"</f>
        <v>Rennes</v>
      </c>
      <c r="AI219" t="str">
        <f>""</f>
        <v/>
      </c>
      <c r="AJ219" t="str">
        <f>""</f>
        <v/>
      </c>
      <c r="AK219" t="str">
        <f>""</f>
        <v/>
      </c>
      <c r="AL219">
        <v>34</v>
      </c>
      <c r="AM219" t="str">
        <f>""</f>
        <v/>
      </c>
      <c r="AN219" t="str">
        <f>""</f>
        <v/>
      </c>
      <c r="AO219" t="str">
        <f>"Lycée Bréquigny"</f>
        <v>Lycée Bréquigny</v>
      </c>
      <c r="AP219" t="str">
        <f>"RENNES"</f>
        <v>RENNES</v>
      </c>
      <c r="AQ219" t="str">
        <f>"Rennes"</f>
        <v>Rennes</v>
      </c>
    </row>
    <row r="220" spans="1:43" x14ac:dyDescent="0.25">
      <c r="A220" t="str">
        <f t="shared" si="47"/>
        <v>2A,2A Att,2A ex Prem.A,T00000</v>
      </c>
      <c r="B220" t="str">
        <f>"DJIDJELLI"</f>
        <v>DJIDJELLI</v>
      </c>
      <c r="C220" t="str">
        <f>"Rayane"</f>
        <v>Rayane</v>
      </c>
      <c r="D220" t="str">
        <f>"023-2538"</f>
        <v>023-2538</v>
      </c>
      <c r="E220" t="str">
        <f>"070667591BD"</f>
        <v>070667591BD</v>
      </c>
      <c r="F220" t="str">
        <f t="shared" si="45"/>
        <v>0352480F</v>
      </c>
      <c r="G220" t="str">
        <f t="shared" si="46"/>
        <v>O</v>
      </c>
      <c r="H220">
        <v>10</v>
      </c>
      <c r="I220">
        <v>2004</v>
      </c>
      <c r="J220">
        <v>1</v>
      </c>
      <c r="K220" t="str">
        <f>"S"</f>
        <v>S</v>
      </c>
      <c r="L220">
        <v>18</v>
      </c>
      <c r="M220">
        <v>2021</v>
      </c>
      <c r="N220" t="str">
        <f t="shared" si="48"/>
        <v>E</v>
      </c>
      <c r="O220" t="str">
        <f t="shared" si="49"/>
        <v>D</v>
      </c>
      <c r="P220">
        <v>0</v>
      </c>
      <c r="Q220">
        <v>100</v>
      </c>
      <c r="R220">
        <v>100</v>
      </c>
      <c r="S220">
        <v>35170</v>
      </c>
      <c r="T220">
        <v>100</v>
      </c>
      <c r="U220">
        <v>35170</v>
      </c>
      <c r="V220" t="str">
        <f>"TOEIC 1A le 24/05/20024 925"</f>
        <v>TOEIC 1A le 24/05/20024 925</v>
      </c>
      <c r="W220">
        <v>82</v>
      </c>
      <c r="X220">
        <v>0</v>
      </c>
      <c r="Y220">
        <v>6000577</v>
      </c>
      <c r="Z220">
        <v>2</v>
      </c>
      <c r="AA220">
        <v>27</v>
      </c>
      <c r="AB220" t="str">
        <f>""</f>
        <v/>
      </c>
      <c r="AC220" t="str">
        <f>""</f>
        <v/>
      </c>
      <c r="AD220" t="str">
        <f>""</f>
        <v/>
      </c>
      <c r="AE220">
        <v>2021</v>
      </c>
      <c r="AF220">
        <v>2023</v>
      </c>
      <c r="AG220" t="str">
        <f>"- Bruz"</f>
        <v>- Bruz</v>
      </c>
      <c r="AH220" t="str">
        <f>"- Bruz"</f>
        <v>- Bruz</v>
      </c>
      <c r="AI220" t="str">
        <f>""</f>
        <v/>
      </c>
      <c r="AJ220" t="str">
        <f>""</f>
        <v/>
      </c>
      <c r="AK220" t="str">
        <f>""</f>
        <v/>
      </c>
      <c r="AL220">
        <v>66</v>
      </c>
      <c r="AM220" t="str">
        <f>""</f>
        <v/>
      </c>
      <c r="AN220" t="str">
        <f>""</f>
        <v/>
      </c>
      <c r="AO220" t="str">
        <f>"Lycée Branly"</f>
        <v>Lycée Branly</v>
      </c>
      <c r="AP220" t="str">
        <f>"DREUX"</f>
        <v>DREUX</v>
      </c>
      <c r="AQ220" t="str">
        <f>"Orléans-Tours"</f>
        <v>Orléans-Tours</v>
      </c>
    </row>
    <row r="221" spans="1:43" x14ac:dyDescent="0.25">
      <c r="A221" t="str">
        <f t="shared" si="47"/>
        <v>2A,2A Att,2A ex Prem.A,T00000</v>
      </c>
      <c r="B221" t="str">
        <f>"DUJARDIN"</f>
        <v>DUJARDIN</v>
      </c>
      <c r="C221" t="str">
        <f>"Marlon"</f>
        <v>Marlon</v>
      </c>
      <c r="D221" t="str">
        <f>"023-2470"</f>
        <v>023-2470</v>
      </c>
      <c r="E221" t="str">
        <f>"080327648JK"</f>
        <v>080327648JK</v>
      </c>
      <c r="F221" t="str">
        <f t="shared" si="45"/>
        <v>0352480F</v>
      </c>
      <c r="G221" t="str">
        <f t="shared" si="46"/>
        <v>O</v>
      </c>
      <c r="H221">
        <v>10</v>
      </c>
      <c r="I221">
        <v>2002</v>
      </c>
      <c r="J221">
        <v>1</v>
      </c>
      <c r="K221" t="str">
        <f>"S"</f>
        <v>S</v>
      </c>
      <c r="L221">
        <v>27</v>
      </c>
      <c r="M221">
        <v>2020</v>
      </c>
      <c r="N221" t="str">
        <f t="shared" si="48"/>
        <v>E</v>
      </c>
      <c r="O221" t="str">
        <f t="shared" si="49"/>
        <v>D</v>
      </c>
      <c r="P221">
        <v>0</v>
      </c>
      <c r="Q221">
        <v>100</v>
      </c>
      <c r="R221">
        <v>100</v>
      </c>
      <c r="S221">
        <v>35170</v>
      </c>
      <c r="T221">
        <v>100</v>
      </c>
      <c r="U221">
        <v>35170</v>
      </c>
      <c r="V221" t="str">
        <f>"TOEIC 1A le 24/05/20024 835"</f>
        <v>TOEIC 1A le 24/05/20024 835</v>
      </c>
      <c r="W221">
        <v>0</v>
      </c>
      <c r="X221">
        <v>0</v>
      </c>
      <c r="Y221">
        <v>6000577</v>
      </c>
      <c r="Z221">
        <v>2</v>
      </c>
      <c r="AA221">
        <v>27</v>
      </c>
      <c r="AB221" t="str">
        <f>""</f>
        <v/>
      </c>
      <c r="AC221" t="str">
        <f>""</f>
        <v/>
      </c>
      <c r="AD221" t="str">
        <f>""</f>
        <v/>
      </c>
      <c r="AE221">
        <v>2020</v>
      </c>
      <c r="AF221">
        <v>2023</v>
      </c>
      <c r="AG221" t="str">
        <f>"BRUZ"</f>
        <v>BRUZ</v>
      </c>
      <c r="AH221" t="str">
        <f>"BRUZ"</f>
        <v>BRUZ</v>
      </c>
      <c r="AI221" t="str">
        <f>""</f>
        <v/>
      </c>
      <c r="AJ221" t="str">
        <f>""</f>
        <v/>
      </c>
      <c r="AK221" t="str">
        <f>""</f>
        <v/>
      </c>
      <c r="AL221">
        <v>55</v>
      </c>
      <c r="AM221" t="str">
        <f>""</f>
        <v/>
      </c>
      <c r="AN221" t="str">
        <f>""</f>
        <v/>
      </c>
      <c r="AO221" t="str">
        <f>"Lycée Laetitia Bonaparte"</f>
        <v>Lycée Laetitia Bonaparte</v>
      </c>
      <c r="AP221" t="str">
        <f>"AJACCIO"</f>
        <v>AJACCIO</v>
      </c>
      <c r="AQ221" t="str">
        <f>"Corse"</f>
        <v>Corse</v>
      </c>
    </row>
    <row r="222" spans="1:43" x14ac:dyDescent="0.25">
      <c r="A222" t="str">
        <f t="shared" si="47"/>
        <v>2A,2A Att,2A ex Prem.A,T00000</v>
      </c>
      <c r="B222" t="str">
        <f>"ERRAFII"</f>
        <v>ERRAFII</v>
      </c>
      <c r="C222" t="str">
        <f>"Mohamed"</f>
        <v>Mohamed</v>
      </c>
      <c r="D222" t="str">
        <f>"023-2508"</f>
        <v>023-2508</v>
      </c>
      <c r="E222" t="str">
        <f>"080667072GJ"</f>
        <v>080667072GJ</v>
      </c>
      <c r="F222" t="str">
        <f t="shared" si="45"/>
        <v>0352480F</v>
      </c>
      <c r="G222" t="str">
        <f t="shared" si="46"/>
        <v>O</v>
      </c>
      <c r="H222">
        <v>10</v>
      </c>
      <c r="I222">
        <v>2002</v>
      </c>
      <c r="J222">
        <v>1</v>
      </c>
      <c r="K222" t="str">
        <f>"S"</f>
        <v>S</v>
      </c>
      <c r="L222">
        <v>8</v>
      </c>
      <c r="M222">
        <v>2020</v>
      </c>
      <c r="N222" t="str">
        <f t="shared" si="48"/>
        <v>E</v>
      </c>
      <c r="O222" t="str">
        <f t="shared" si="49"/>
        <v>D</v>
      </c>
      <c r="P222">
        <v>0</v>
      </c>
      <c r="Q222">
        <v>100</v>
      </c>
      <c r="R222">
        <v>100</v>
      </c>
      <c r="S222">
        <v>35000</v>
      </c>
      <c r="T222">
        <v>100</v>
      </c>
      <c r="U222">
        <v>35000</v>
      </c>
      <c r="V222" t="str">
        <f>""</f>
        <v/>
      </c>
      <c r="W222">
        <v>82</v>
      </c>
      <c r="X222">
        <v>0</v>
      </c>
      <c r="Y222">
        <v>6000577</v>
      </c>
      <c r="Z222">
        <v>2</v>
      </c>
      <c r="AA222">
        <v>27</v>
      </c>
      <c r="AB222" t="str">
        <f>""</f>
        <v/>
      </c>
      <c r="AC222" t="str">
        <f>""</f>
        <v/>
      </c>
      <c r="AD222" t="str">
        <f>""</f>
        <v/>
      </c>
      <c r="AE222">
        <v>2020</v>
      </c>
      <c r="AF222">
        <v>2023</v>
      </c>
      <c r="AG222" t="str">
        <f>"Rennes"</f>
        <v>Rennes</v>
      </c>
      <c r="AH222" t="str">
        <f>"Rennes"</f>
        <v>Rennes</v>
      </c>
      <c r="AI222" t="str">
        <f>""</f>
        <v/>
      </c>
      <c r="AJ222" t="str">
        <f>""</f>
        <v/>
      </c>
      <c r="AK222" t="str">
        <f>""</f>
        <v/>
      </c>
      <c r="AL222">
        <v>38</v>
      </c>
      <c r="AM222" t="str">
        <f>""</f>
        <v/>
      </c>
      <c r="AN222" t="str">
        <f>""</f>
        <v/>
      </c>
      <c r="AO222" t="str">
        <f>"Lycée Claude Louis Berthollet"</f>
        <v>Lycée Claude Louis Berthollet</v>
      </c>
      <c r="AP222" t="str">
        <f>"ANNECY"</f>
        <v>ANNECY</v>
      </c>
      <c r="AQ222" t="str">
        <f>"Grenoble"</f>
        <v>Grenoble</v>
      </c>
    </row>
    <row r="223" spans="1:43" x14ac:dyDescent="0.25">
      <c r="A223" t="str">
        <f t="shared" si="47"/>
        <v>2A,2A Att,2A ex Prem.A,T00000</v>
      </c>
      <c r="B223" t="str">
        <f>"FLOCH"</f>
        <v>FLOCH</v>
      </c>
      <c r="C223" t="str">
        <f>"Marin"</f>
        <v>Marin</v>
      </c>
      <c r="D223" t="str">
        <f>"023-2423"</f>
        <v>023-2423</v>
      </c>
      <c r="E223" t="str">
        <f>"060707048BE"</f>
        <v>060707048BE</v>
      </c>
      <c r="F223" t="str">
        <f t="shared" si="45"/>
        <v>0352480F</v>
      </c>
      <c r="G223" t="str">
        <f t="shared" si="46"/>
        <v>O</v>
      </c>
      <c r="H223">
        <v>10</v>
      </c>
      <c r="I223">
        <v>2023</v>
      </c>
      <c r="J223">
        <v>1</v>
      </c>
      <c r="K223" t="str">
        <f>"ES"</f>
        <v>ES</v>
      </c>
      <c r="L223">
        <v>4</v>
      </c>
      <c r="M223">
        <v>2021</v>
      </c>
      <c r="N223" t="str">
        <f t="shared" si="48"/>
        <v>E</v>
      </c>
      <c r="O223" t="str">
        <f t="shared" si="49"/>
        <v>D</v>
      </c>
      <c r="P223">
        <v>0</v>
      </c>
      <c r="Q223">
        <v>100</v>
      </c>
      <c r="R223">
        <v>100</v>
      </c>
      <c r="S223">
        <v>35170</v>
      </c>
      <c r="T223">
        <v>100</v>
      </c>
      <c r="U223">
        <v>35170</v>
      </c>
      <c r="V223" t="str">
        <f>"TOEIC 1A le 24/05/20024 795"</f>
        <v>TOEIC 1A le 24/05/20024 795</v>
      </c>
      <c r="W223">
        <v>38</v>
      </c>
      <c r="X223">
        <v>0</v>
      </c>
      <c r="Y223">
        <v>6000577</v>
      </c>
      <c r="Z223">
        <v>2</v>
      </c>
      <c r="AA223">
        <v>27</v>
      </c>
      <c r="AB223" t="str">
        <f>""</f>
        <v/>
      </c>
      <c r="AC223" t="str">
        <f>""</f>
        <v/>
      </c>
      <c r="AD223" t="str">
        <f>""</f>
        <v/>
      </c>
      <c r="AE223">
        <v>2021</v>
      </c>
      <c r="AF223">
        <v>2023</v>
      </c>
      <c r="AG223" t="str">
        <f>"Bruz"</f>
        <v>Bruz</v>
      </c>
      <c r="AH223" t="str">
        <f>"Bruz"</f>
        <v>Bruz</v>
      </c>
      <c r="AI223" t="str">
        <f>""</f>
        <v/>
      </c>
      <c r="AJ223" t="str">
        <f>""</f>
        <v/>
      </c>
      <c r="AK223" t="str">
        <f>""</f>
        <v/>
      </c>
      <c r="AL223">
        <v>42</v>
      </c>
      <c r="AM223" t="str">
        <f>""</f>
        <v/>
      </c>
      <c r="AN223" t="str">
        <f>""</f>
        <v/>
      </c>
      <c r="AO223" t="str">
        <f>"Gustave Eiffel"</f>
        <v>Gustave Eiffel</v>
      </c>
      <c r="AP223" t="str">
        <f>"BORDEAUX"</f>
        <v>BORDEAUX</v>
      </c>
      <c r="AQ223" t="str">
        <f>"Bordeaux"</f>
        <v>Bordeaux</v>
      </c>
    </row>
    <row r="224" spans="1:43" x14ac:dyDescent="0.25">
      <c r="A224" t="str">
        <f t="shared" si="47"/>
        <v>2A,2A Att,2A ex Prem.A,T00000</v>
      </c>
      <c r="B224" t="str">
        <f>"GANDOLFI"</f>
        <v>GANDOLFI</v>
      </c>
      <c r="C224" t="str">
        <f>"Hermione"</f>
        <v>Hermione</v>
      </c>
      <c r="D224" t="str">
        <f>"023-2487"</f>
        <v>023-2487</v>
      </c>
      <c r="E224" t="str">
        <f>"081438252DJ"</f>
        <v>081438252DJ</v>
      </c>
      <c r="F224" t="str">
        <f t="shared" si="45"/>
        <v>0352480F</v>
      </c>
      <c r="G224" t="str">
        <f t="shared" si="46"/>
        <v>O</v>
      </c>
      <c r="H224">
        <v>10</v>
      </c>
      <c r="I224">
        <v>2004</v>
      </c>
      <c r="J224">
        <v>2</v>
      </c>
      <c r="K224" t="str">
        <f>"S"</f>
        <v>S</v>
      </c>
      <c r="L224">
        <v>9</v>
      </c>
      <c r="M224">
        <v>2021</v>
      </c>
      <c r="N224" t="str">
        <f t="shared" si="48"/>
        <v>E</v>
      </c>
      <c r="O224" t="str">
        <f t="shared" si="49"/>
        <v>D</v>
      </c>
      <c r="P224">
        <v>0</v>
      </c>
      <c r="Q224">
        <v>100</v>
      </c>
      <c r="R224">
        <v>100</v>
      </c>
      <c r="S224">
        <v>35170</v>
      </c>
      <c r="T224">
        <v>100</v>
      </c>
      <c r="U224">
        <v>35170</v>
      </c>
      <c r="V224" t="str">
        <f>"Cambridge assessment avant ENSAI : niveau C1  TOEIC 1A le 24/05/20024 960"</f>
        <v>Cambridge assessment avant ENSAI : niveau C1  TOEIC 1A le 24/05/20024 960</v>
      </c>
      <c r="W224">
        <v>33</v>
      </c>
      <c r="X224">
        <v>0</v>
      </c>
      <c r="Y224">
        <v>6000577</v>
      </c>
      <c r="Z224">
        <v>2</v>
      </c>
      <c r="AA224">
        <v>27</v>
      </c>
      <c r="AB224" t="str">
        <f>""</f>
        <v/>
      </c>
      <c r="AC224" t="str">
        <f>""</f>
        <v/>
      </c>
      <c r="AD224" t="str">
        <f>""</f>
        <v/>
      </c>
      <c r="AE224">
        <v>2021</v>
      </c>
      <c r="AF224">
        <v>2023</v>
      </c>
      <c r="AG224" t="str">
        <f>"Bruz"</f>
        <v>Bruz</v>
      </c>
      <c r="AH224" t="str">
        <f>"Bruz"</f>
        <v>Bruz</v>
      </c>
      <c r="AI224" t="str">
        <f>""</f>
        <v/>
      </c>
      <c r="AJ224" t="str">
        <f>""</f>
        <v/>
      </c>
      <c r="AK224" t="str">
        <f>""</f>
        <v/>
      </c>
      <c r="AL224">
        <v>33</v>
      </c>
      <c r="AM224" t="str">
        <f>""</f>
        <v/>
      </c>
      <c r="AN224" t="str">
        <f>""</f>
        <v/>
      </c>
      <c r="AO224" t="str">
        <f>"lycée Colbert"</f>
        <v>lycée Colbert</v>
      </c>
      <c r="AP224" t="str">
        <f>"TOURCOING"</f>
        <v>TOURCOING</v>
      </c>
      <c r="AQ224" t="str">
        <f>"Lille"</f>
        <v>Lille</v>
      </c>
    </row>
    <row r="225" spans="1:43" x14ac:dyDescent="0.25">
      <c r="A225" t="str">
        <f t="shared" si="47"/>
        <v>2A,2A Att,2A ex Prem.A,T00000</v>
      </c>
      <c r="B225" t="str">
        <f>"GARDAIR"</f>
        <v>GARDAIR</v>
      </c>
      <c r="C225" t="str">
        <f>"Thomas"</f>
        <v>Thomas</v>
      </c>
      <c r="D225" t="str">
        <f>"023-2502"</f>
        <v>023-2502</v>
      </c>
      <c r="E225" t="str">
        <f>"071891503EH"</f>
        <v>071891503EH</v>
      </c>
      <c r="F225" t="str">
        <f t="shared" si="45"/>
        <v>0352480F</v>
      </c>
      <c r="G225" t="str">
        <f t="shared" si="46"/>
        <v>O</v>
      </c>
      <c r="H225">
        <v>10</v>
      </c>
      <c r="I225">
        <v>2002</v>
      </c>
      <c r="J225">
        <v>1</v>
      </c>
      <c r="K225" t="str">
        <f>"S"</f>
        <v>S</v>
      </c>
      <c r="L225">
        <v>1</v>
      </c>
      <c r="M225">
        <v>2020</v>
      </c>
      <c r="N225" t="str">
        <f t="shared" si="48"/>
        <v>E</v>
      </c>
      <c r="O225" t="str">
        <f t="shared" si="49"/>
        <v>D</v>
      </c>
      <c r="P225">
        <v>0</v>
      </c>
      <c r="Q225">
        <v>100</v>
      </c>
      <c r="R225">
        <v>100</v>
      </c>
      <c r="S225">
        <v>35000</v>
      </c>
      <c r="T225">
        <v>100</v>
      </c>
      <c r="U225">
        <v>35000</v>
      </c>
      <c r="V225" t="str">
        <f>"TOEIC 1A le 24/05/20024 570"</f>
        <v>TOEIC 1A le 24/05/20024 570</v>
      </c>
      <c r="W225">
        <v>31</v>
      </c>
      <c r="X225">
        <v>0</v>
      </c>
      <c r="Y225">
        <v>6000577</v>
      </c>
      <c r="Z225">
        <v>2</v>
      </c>
      <c r="AA225">
        <v>27</v>
      </c>
      <c r="AB225" t="str">
        <f>""</f>
        <v/>
      </c>
      <c r="AC225" t="str">
        <f>""</f>
        <v/>
      </c>
      <c r="AD225" t="str">
        <f>""</f>
        <v/>
      </c>
      <c r="AE225">
        <v>2023</v>
      </c>
      <c r="AF225">
        <v>2023</v>
      </c>
      <c r="AG225" t="str">
        <f>"Rennes"</f>
        <v>Rennes</v>
      </c>
      <c r="AH225" t="str">
        <f>"Rennes"</f>
        <v>Rennes</v>
      </c>
      <c r="AI225" t="str">
        <f>""</f>
        <v/>
      </c>
      <c r="AJ225" t="str">
        <f>""</f>
        <v/>
      </c>
      <c r="AK225" t="str">
        <f>""</f>
        <v/>
      </c>
      <c r="AL225">
        <v>99</v>
      </c>
      <c r="AM225" t="str">
        <f>""</f>
        <v/>
      </c>
      <c r="AN225" t="str">
        <f>""</f>
        <v/>
      </c>
      <c r="AO225" t="str">
        <f>"Albert Camus"</f>
        <v>Albert Camus</v>
      </c>
      <c r="AP225" t="str">
        <f>"BOIS-COLOMBES"</f>
        <v>BOIS-COLOMBES</v>
      </c>
      <c r="AQ225" t="str">
        <f>"Paris"</f>
        <v>Paris</v>
      </c>
    </row>
    <row r="226" spans="1:43" x14ac:dyDescent="0.25">
      <c r="A226" t="str">
        <f t="shared" si="47"/>
        <v>2A,2A Att,2A ex Prem.A,T00000</v>
      </c>
      <c r="B226" t="str">
        <f>"GUINHUT"</f>
        <v>GUINHUT</v>
      </c>
      <c r="C226" t="str">
        <f>"Thomas"</f>
        <v>Thomas</v>
      </c>
      <c r="D226" t="str">
        <f>"023-2414"</f>
        <v>023-2414</v>
      </c>
      <c r="E226" t="str">
        <f>"071046051EH"</f>
        <v>071046051EH</v>
      </c>
      <c r="F226" t="str">
        <f t="shared" si="45"/>
        <v>0352480F</v>
      </c>
      <c r="G226" t="str">
        <f t="shared" si="46"/>
        <v>O</v>
      </c>
      <c r="H226">
        <v>10</v>
      </c>
      <c r="I226">
        <v>2002</v>
      </c>
      <c r="J226">
        <v>1</v>
      </c>
      <c r="K226" t="str">
        <f>"ES"</f>
        <v>ES</v>
      </c>
      <c r="L226">
        <v>4</v>
      </c>
      <c r="M226">
        <v>2020</v>
      </c>
      <c r="N226" t="str">
        <f t="shared" si="48"/>
        <v>E</v>
      </c>
      <c r="O226" t="str">
        <f t="shared" si="49"/>
        <v>D</v>
      </c>
      <c r="P226">
        <v>0</v>
      </c>
      <c r="Q226">
        <v>100</v>
      </c>
      <c r="R226">
        <v>100</v>
      </c>
      <c r="S226">
        <v>35170</v>
      </c>
      <c r="T226">
        <v>100</v>
      </c>
      <c r="U226">
        <v>35170</v>
      </c>
      <c r="V226" t="str">
        <f>""</f>
        <v/>
      </c>
      <c r="W226">
        <v>38</v>
      </c>
      <c r="X226">
        <v>0</v>
      </c>
      <c r="Y226">
        <v>6000577</v>
      </c>
      <c r="Z226">
        <v>2</v>
      </c>
      <c r="AA226">
        <v>27</v>
      </c>
      <c r="AB226" t="str">
        <f>""</f>
        <v/>
      </c>
      <c r="AC226" t="str">
        <f>""</f>
        <v/>
      </c>
      <c r="AD226" t="str">
        <f>""</f>
        <v/>
      </c>
      <c r="AE226">
        <v>2020</v>
      </c>
      <c r="AF226">
        <v>2023</v>
      </c>
      <c r="AG226" t="str">
        <f>"Bruz"</f>
        <v>Bruz</v>
      </c>
      <c r="AH226" t="str">
        <f>"Bruz"</f>
        <v>Bruz</v>
      </c>
      <c r="AI226" t="str">
        <f>""</f>
        <v/>
      </c>
      <c r="AJ226" t="str">
        <f>""</f>
        <v/>
      </c>
      <c r="AK226" t="str">
        <f>""</f>
        <v/>
      </c>
      <c r="AL226">
        <v>54</v>
      </c>
      <c r="AM226" t="str">
        <f>""</f>
        <v/>
      </c>
      <c r="AN226" t="str">
        <f>""</f>
        <v/>
      </c>
      <c r="AO226" t="str">
        <f>"Maine de Biran"</f>
        <v>Maine de Biran</v>
      </c>
      <c r="AP226" t="str">
        <f>"BERGERAC"</f>
        <v>BERGERAC</v>
      </c>
      <c r="AQ226" t="str">
        <f>"Bordeaux"</f>
        <v>Bordeaux</v>
      </c>
    </row>
    <row r="227" spans="1:43" x14ac:dyDescent="0.25">
      <c r="A227" t="str">
        <f t="shared" si="47"/>
        <v>2A,2A Att,2A ex Prem.A,T00000</v>
      </c>
      <c r="B227" t="str">
        <f>"HABIMANA"</f>
        <v>HABIMANA</v>
      </c>
      <c r="C227" t="str">
        <f>"Emmanuel"</f>
        <v>Emmanuel</v>
      </c>
      <c r="D227" t="str">
        <f>"022-2320"</f>
        <v>022-2320</v>
      </c>
      <c r="E227" t="str">
        <f>"123086140HA"</f>
        <v>123086140HA</v>
      </c>
      <c r="F227" t="str">
        <f t="shared" si="45"/>
        <v>0352480F</v>
      </c>
      <c r="G227" t="str">
        <f t="shared" si="46"/>
        <v>O</v>
      </c>
      <c r="H227">
        <v>10</v>
      </c>
      <c r="I227">
        <v>2002</v>
      </c>
      <c r="J227">
        <v>1</v>
      </c>
      <c r="K227" t="str">
        <f>"S"</f>
        <v>S</v>
      </c>
      <c r="L227">
        <v>19</v>
      </c>
      <c r="M227">
        <v>2019</v>
      </c>
      <c r="N227" t="str">
        <f t="shared" si="48"/>
        <v>E</v>
      </c>
      <c r="O227" t="str">
        <f t="shared" si="49"/>
        <v>D</v>
      </c>
      <c r="P227">
        <v>0</v>
      </c>
      <c r="Q227">
        <v>100</v>
      </c>
      <c r="R227">
        <v>100</v>
      </c>
      <c r="S227">
        <v>35136</v>
      </c>
      <c r="T227">
        <v>100</v>
      </c>
      <c r="U227">
        <v>35136</v>
      </c>
      <c r="V227" t="str">
        <f>"TOEIC 1A le 24/05/20024 835"</f>
        <v>TOEIC 1A le 24/05/20024 835</v>
      </c>
      <c r="W227">
        <v>56</v>
      </c>
      <c r="X227">
        <v>0</v>
      </c>
      <c r="Y227">
        <v>6000577</v>
      </c>
      <c r="Z227">
        <v>2</v>
      </c>
      <c r="AA227">
        <v>27</v>
      </c>
      <c r="AB227" t="str">
        <f>""</f>
        <v/>
      </c>
      <c r="AC227" t="str">
        <f>""</f>
        <v/>
      </c>
      <c r="AD227" t="str">
        <f>""</f>
        <v/>
      </c>
      <c r="AE227">
        <v>2019</v>
      </c>
      <c r="AF227">
        <v>2022</v>
      </c>
      <c r="AG227" t="str">
        <f>"Saint-Jacques-de-la-Lande"</f>
        <v>Saint-Jacques-de-la-Lande</v>
      </c>
      <c r="AH227" t="str">
        <f>"Saint-Jacques-de-la-Lande"</f>
        <v>Saint-Jacques-de-la-Lande</v>
      </c>
      <c r="AI227" t="str">
        <f>""</f>
        <v/>
      </c>
      <c r="AJ227" t="str">
        <f>""</f>
        <v/>
      </c>
      <c r="AK227" t="str">
        <f>""</f>
        <v/>
      </c>
      <c r="AL227">
        <v>0</v>
      </c>
      <c r="AM227" t="str">
        <f>""</f>
        <v/>
      </c>
      <c r="AN227" t="str">
        <f>""</f>
        <v/>
      </c>
      <c r="AO227" t="str">
        <f>"Lycée Pierre Bayen"</f>
        <v>Lycée Pierre Bayen</v>
      </c>
      <c r="AP227" t="str">
        <f>"CHÂLONS-EN-CHAMPAGNE"</f>
        <v>CHÂLONS-EN-CHAMPAGNE</v>
      </c>
      <c r="AQ227" t="str">
        <f>"Reims"</f>
        <v>Reims</v>
      </c>
    </row>
    <row r="228" spans="1:43" x14ac:dyDescent="0.25">
      <c r="A228" t="str">
        <f t="shared" si="47"/>
        <v>2A,2A Att,2A ex Prem.A,T00000</v>
      </c>
      <c r="B228" t="str">
        <f>"JORON"</f>
        <v>JORON</v>
      </c>
      <c r="C228" t="str">
        <f>"Gabrielle"</f>
        <v>Gabrielle</v>
      </c>
      <c r="D228" t="str">
        <f>"023-2536"</f>
        <v>023-2536</v>
      </c>
      <c r="E228" t="str">
        <f>"071737735HA"</f>
        <v>071737735HA</v>
      </c>
      <c r="F228" t="str">
        <f t="shared" si="45"/>
        <v>0352480F</v>
      </c>
      <c r="G228" t="str">
        <f t="shared" si="46"/>
        <v>O</v>
      </c>
      <c r="H228">
        <v>10</v>
      </c>
      <c r="I228">
        <v>2002</v>
      </c>
      <c r="J228">
        <v>2</v>
      </c>
      <c r="K228" t="str">
        <f>"S"</f>
        <v>S</v>
      </c>
      <c r="L228">
        <v>2</v>
      </c>
      <c r="M228">
        <v>2020</v>
      </c>
      <c r="N228" t="str">
        <f t="shared" si="48"/>
        <v>E</v>
      </c>
      <c r="O228" t="str">
        <f t="shared" si="49"/>
        <v>D</v>
      </c>
      <c r="P228">
        <v>0</v>
      </c>
      <c r="Q228">
        <v>100</v>
      </c>
      <c r="R228">
        <v>100</v>
      </c>
      <c r="S228">
        <v>35000</v>
      </c>
      <c r="T228">
        <v>100</v>
      </c>
      <c r="U228">
        <v>35000</v>
      </c>
      <c r="V228" t="str">
        <f>"TOEIC 1A le 24/05/20024 980"</f>
        <v>TOEIC 1A le 24/05/20024 980</v>
      </c>
      <c r="W228">
        <v>34</v>
      </c>
      <c r="X228">
        <v>0</v>
      </c>
      <c r="Y228">
        <v>6000577</v>
      </c>
      <c r="Z228">
        <v>2</v>
      </c>
      <c r="AA228">
        <v>27</v>
      </c>
      <c r="AB228" t="str">
        <f>""</f>
        <v/>
      </c>
      <c r="AC228" t="str">
        <f>""</f>
        <v/>
      </c>
      <c r="AD228" t="str">
        <f>""</f>
        <v/>
      </c>
      <c r="AE228">
        <v>2020</v>
      </c>
      <c r="AF228">
        <v>2023</v>
      </c>
      <c r="AG228" t="str">
        <f>"RENNES"</f>
        <v>RENNES</v>
      </c>
      <c r="AH228" t="str">
        <f>"RENNES"</f>
        <v>RENNES</v>
      </c>
      <c r="AI228" t="str">
        <f>""</f>
        <v/>
      </c>
      <c r="AJ228" t="str">
        <f>""</f>
        <v/>
      </c>
      <c r="AK228" t="str">
        <f>""</f>
        <v/>
      </c>
      <c r="AL228">
        <v>34</v>
      </c>
      <c r="AM228" t="str">
        <f>""</f>
        <v/>
      </c>
      <c r="AN228" t="str">
        <f>""</f>
        <v/>
      </c>
      <c r="AO228" t="str">
        <f>"Saint-Charles"</f>
        <v>Saint-Charles</v>
      </c>
      <c r="AP228" t="str">
        <f>"MARSEILLE"</f>
        <v>MARSEILLE</v>
      </c>
      <c r="AQ228" t="str">
        <f>"Aix-Marseille"</f>
        <v>Aix-Marseille</v>
      </c>
    </row>
    <row r="229" spans="1:43" x14ac:dyDescent="0.25">
      <c r="A229" t="str">
        <f t="shared" si="47"/>
        <v>2A,2A Att,2A ex Prem.A,T00000</v>
      </c>
      <c r="B229" t="str">
        <f>"KHELOUFI"</f>
        <v>KHELOUFI</v>
      </c>
      <c r="C229" t="str">
        <f>"Lyna"</f>
        <v>Lyna</v>
      </c>
      <c r="D229" t="str">
        <f>"023-2506"</f>
        <v>023-2506</v>
      </c>
      <c r="E229" t="str">
        <f>"081709281CH"</f>
        <v>081709281CH</v>
      </c>
      <c r="F229" t="str">
        <f t="shared" si="45"/>
        <v>0352480F</v>
      </c>
      <c r="G229" t="str">
        <f t="shared" si="46"/>
        <v>O</v>
      </c>
      <c r="H229">
        <v>10</v>
      </c>
      <c r="I229">
        <v>2004</v>
      </c>
      <c r="J229">
        <v>2</v>
      </c>
      <c r="K229" t="str">
        <f>"C"</f>
        <v>C</v>
      </c>
      <c r="L229">
        <v>2</v>
      </c>
      <c r="M229">
        <v>2021</v>
      </c>
      <c r="N229" t="str">
        <f t="shared" si="48"/>
        <v>E</v>
      </c>
      <c r="O229" t="str">
        <f t="shared" si="49"/>
        <v>D</v>
      </c>
      <c r="P229">
        <v>0</v>
      </c>
      <c r="Q229">
        <v>100</v>
      </c>
      <c r="R229">
        <v>100</v>
      </c>
      <c r="S229">
        <v>35170</v>
      </c>
      <c r="T229">
        <v>100</v>
      </c>
      <c r="U229">
        <v>35170</v>
      </c>
      <c r="V229" t="str">
        <f>"TOEIC 1A le 24/05/20024 930"</f>
        <v>TOEIC 1A le 24/05/20024 930</v>
      </c>
      <c r="W229">
        <v>33</v>
      </c>
      <c r="X229">
        <v>0</v>
      </c>
      <c r="Y229">
        <v>6000577</v>
      </c>
      <c r="Z229">
        <v>2</v>
      </c>
      <c r="AA229">
        <v>27</v>
      </c>
      <c r="AB229" t="str">
        <f>""</f>
        <v/>
      </c>
      <c r="AC229" t="str">
        <f>""</f>
        <v/>
      </c>
      <c r="AD229" t="str">
        <f>""</f>
        <v/>
      </c>
      <c r="AE229">
        <v>2021</v>
      </c>
      <c r="AF229">
        <v>2023</v>
      </c>
      <c r="AG229" t="str">
        <f>"Bruz"</f>
        <v>Bruz</v>
      </c>
      <c r="AH229" t="str">
        <f>"Bruz"</f>
        <v>Bruz</v>
      </c>
      <c r="AI229" t="str">
        <f>""</f>
        <v/>
      </c>
      <c r="AJ229" t="str">
        <f>""</f>
        <v/>
      </c>
      <c r="AK229" t="str">
        <f>""</f>
        <v/>
      </c>
      <c r="AL229">
        <v>43</v>
      </c>
      <c r="AM229" t="str">
        <f>""</f>
        <v/>
      </c>
      <c r="AN229" t="str">
        <f>""</f>
        <v/>
      </c>
      <c r="AO229" t="str">
        <f>"Honoré Daumier"</f>
        <v>Honoré Daumier</v>
      </c>
      <c r="AP229" t="str">
        <f>"MARSEILLE"</f>
        <v>MARSEILLE</v>
      </c>
      <c r="AQ229" t="str">
        <f>"Aix-Marseille"</f>
        <v>Aix-Marseille</v>
      </c>
    </row>
    <row r="230" spans="1:43" x14ac:dyDescent="0.25">
      <c r="A230" t="str">
        <f t="shared" si="47"/>
        <v>2A,2A Att,2A ex Prem.A,T00000</v>
      </c>
      <c r="B230" t="str">
        <f>"KORDZINSKI"</f>
        <v>KORDZINSKI</v>
      </c>
      <c r="C230" t="str">
        <f>"Vivien"</f>
        <v>Vivien</v>
      </c>
      <c r="D230" t="str">
        <f>"023-2551"</f>
        <v>023-2551</v>
      </c>
      <c r="E230" t="str">
        <f>"1292136013S"</f>
        <v>1292136013S</v>
      </c>
      <c r="F230" t="str">
        <f t="shared" si="45"/>
        <v>0352480F</v>
      </c>
      <c r="G230" t="str">
        <f t="shared" si="46"/>
        <v>O</v>
      </c>
      <c r="H230">
        <v>10</v>
      </c>
      <c r="I230">
        <v>1980</v>
      </c>
      <c r="J230">
        <v>1</v>
      </c>
      <c r="K230" t="str">
        <f>"S"</f>
        <v>S</v>
      </c>
      <c r="L230">
        <v>12</v>
      </c>
      <c r="M230">
        <v>1998</v>
      </c>
      <c r="N230" t="str">
        <f t="shared" si="48"/>
        <v>E</v>
      </c>
      <c r="O230" t="str">
        <f>"E"</f>
        <v>E</v>
      </c>
      <c r="P230">
        <v>0</v>
      </c>
      <c r="Q230">
        <v>100</v>
      </c>
      <c r="R230">
        <v>100</v>
      </c>
      <c r="S230">
        <v>57130</v>
      </c>
      <c r="T230">
        <v>100</v>
      </c>
      <c r="U230">
        <v>57130</v>
      </c>
      <c r="V230" t="str">
        <f>"TOEIC 1A le 24/05/20024 935"</f>
        <v>TOEIC 1A le 24/05/20024 935</v>
      </c>
      <c r="W230">
        <v>0</v>
      </c>
      <c r="X230">
        <v>0</v>
      </c>
      <c r="Y230">
        <v>6000577</v>
      </c>
      <c r="Z230">
        <v>2</v>
      </c>
      <c r="AA230">
        <v>27</v>
      </c>
      <c r="AB230" t="str">
        <f>""</f>
        <v/>
      </c>
      <c r="AC230" t="str">
        <f>""</f>
        <v/>
      </c>
      <c r="AD230" t="str">
        <f>""</f>
        <v/>
      </c>
      <c r="AE230">
        <v>1998</v>
      </c>
      <c r="AF230">
        <v>2023</v>
      </c>
      <c r="AG230" t="str">
        <f>"Jouy-aux-Arches"</f>
        <v>Jouy-aux-Arches</v>
      </c>
      <c r="AH230" t="str">
        <f>"Jouy-aux-Arches"</f>
        <v>Jouy-aux-Arches</v>
      </c>
      <c r="AI230" t="str">
        <f>""</f>
        <v/>
      </c>
      <c r="AJ230" t="str">
        <f>""</f>
        <v/>
      </c>
      <c r="AK230" t="str">
        <f>""</f>
        <v/>
      </c>
      <c r="AL230">
        <v>0</v>
      </c>
      <c r="AM230" t="str">
        <f>""</f>
        <v/>
      </c>
      <c r="AN230" t="str">
        <f>""</f>
        <v/>
      </c>
      <c r="AO230" t="str">
        <f>"Lycée Saint-Joseph"</f>
        <v>Lycée Saint-Joseph</v>
      </c>
      <c r="AP230" t="str">
        <f>"LAXOU"</f>
        <v>LAXOU</v>
      </c>
      <c r="AQ230" t="str">
        <f>"Nancy-Metz"</f>
        <v>Nancy-Metz</v>
      </c>
    </row>
    <row r="231" spans="1:43" x14ac:dyDescent="0.25">
      <c r="A231" t="str">
        <f t="shared" si="47"/>
        <v>2A,2A Att,2A ex Prem.A,T00000</v>
      </c>
      <c r="B231" t="str">
        <f>"LARGITTE"</f>
        <v>LARGITTE</v>
      </c>
      <c r="C231" t="str">
        <f>"Lilian"</f>
        <v>Lilian</v>
      </c>
      <c r="D231" t="str">
        <f>"023-2504"</f>
        <v>023-2504</v>
      </c>
      <c r="E231" t="str">
        <f>"081996139KF"</f>
        <v>081996139KF</v>
      </c>
      <c r="F231" t="str">
        <f t="shared" si="45"/>
        <v>0352480F</v>
      </c>
      <c r="G231" t="str">
        <f t="shared" si="46"/>
        <v>O</v>
      </c>
      <c r="H231">
        <v>10</v>
      </c>
      <c r="I231">
        <v>2002</v>
      </c>
      <c r="J231">
        <v>1</v>
      </c>
      <c r="K231" t="str">
        <f>"S"</f>
        <v>S</v>
      </c>
      <c r="L231">
        <v>32</v>
      </c>
      <c r="M231">
        <v>2020</v>
      </c>
      <c r="N231" t="str">
        <f t="shared" si="48"/>
        <v>E</v>
      </c>
      <c r="O231" t="str">
        <f>"A"</f>
        <v>A</v>
      </c>
      <c r="P231">
        <v>0</v>
      </c>
      <c r="Q231">
        <v>100</v>
      </c>
      <c r="R231">
        <v>100</v>
      </c>
      <c r="S231" t="str">
        <f>"Les A"</f>
        <v>Les A</v>
      </c>
      <c r="T231">
        <v>100</v>
      </c>
      <c r="U231" t="str">
        <f>"Les A"</f>
        <v>Les A</v>
      </c>
      <c r="V231" t="str">
        <f>""</f>
        <v/>
      </c>
      <c r="W231">
        <v>33</v>
      </c>
      <c r="X231">
        <v>0</v>
      </c>
      <c r="Y231">
        <v>6000577</v>
      </c>
      <c r="Z231">
        <v>2</v>
      </c>
      <c r="AA231">
        <v>27</v>
      </c>
      <c r="AB231" t="str">
        <f>""</f>
        <v/>
      </c>
      <c r="AC231" t="str">
        <f>""</f>
        <v/>
      </c>
      <c r="AD231" t="str">
        <f>""</f>
        <v/>
      </c>
      <c r="AE231">
        <v>2020</v>
      </c>
      <c r="AF231">
        <v>2023</v>
      </c>
      <c r="AG231" t="str">
        <f>"ymes"</f>
        <v>ymes</v>
      </c>
      <c r="AH231" t="str">
        <f>"ymes"</f>
        <v>ymes</v>
      </c>
      <c r="AI231" t="str">
        <f>""</f>
        <v/>
      </c>
      <c r="AJ231" t="str">
        <f>""</f>
        <v/>
      </c>
      <c r="AK231" t="str">
        <f>""</f>
        <v/>
      </c>
      <c r="AL231">
        <v>54</v>
      </c>
      <c r="AM231" t="str">
        <f>""</f>
        <v/>
      </c>
      <c r="AN231" t="str">
        <f>""</f>
        <v/>
      </c>
      <c r="AO231" t="str">
        <f>"LPO Pointe-Noire"</f>
        <v>LPO Pointe-Noire</v>
      </c>
      <c r="AP231" t="str">
        <f>"POINTE-NOIRE"</f>
        <v>POINTE-NOIRE</v>
      </c>
      <c r="AQ231" t="str">
        <f>"Guadeloupe"</f>
        <v>Guadeloupe</v>
      </c>
    </row>
    <row r="232" spans="1:43" x14ac:dyDescent="0.25">
      <c r="A232" t="str">
        <f t="shared" si="47"/>
        <v>2A,2A Att,2A ex Prem.A,T00000</v>
      </c>
      <c r="B232" t="str">
        <f>"LECHARNY"</f>
        <v>LECHARNY</v>
      </c>
      <c r="C232" t="str">
        <f>"Adrien"</f>
        <v>Adrien</v>
      </c>
      <c r="D232" t="str">
        <f>"022-2202"</f>
        <v>022-2202</v>
      </c>
      <c r="E232" t="str">
        <f>"2509046498E"</f>
        <v>2509046498E</v>
      </c>
      <c r="F232" t="str">
        <f t="shared" si="45"/>
        <v>0352480F</v>
      </c>
      <c r="G232" t="str">
        <f t="shared" si="46"/>
        <v>O</v>
      </c>
      <c r="H232">
        <v>10</v>
      </c>
      <c r="I232">
        <v>1994</v>
      </c>
      <c r="J232">
        <v>1</v>
      </c>
      <c r="K232" t="str">
        <f>"S"</f>
        <v>S</v>
      </c>
      <c r="L232">
        <v>25</v>
      </c>
      <c r="M232">
        <v>2011</v>
      </c>
      <c r="N232" t="str">
        <f t="shared" si="48"/>
        <v>E</v>
      </c>
      <c r="O232" t="str">
        <f>"D"</f>
        <v>D</v>
      </c>
      <c r="P232">
        <v>0</v>
      </c>
      <c r="Q232">
        <v>100</v>
      </c>
      <c r="R232">
        <v>100</v>
      </c>
      <c r="S232">
        <v>35170</v>
      </c>
      <c r="T232">
        <v>100</v>
      </c>
      <c r="U232">
        <v>35170</v>
      </c>
      <c r="V232" t="str">
        <f>"Duolingo English Test le 18/01/2023 - score 150 (C1+ au CEFR) = 990+ au TOEIC"</f>
        <v>Duolingo English Test le 18/01/2023 - score 150 (C1+ au CEFR) = 990+ au TOEIC</v>
      </c>
      <c r="W232">
        <v>37</v>
      </c>
      <c r="X232">
        <v>0</v>
      </c>
      <c r="Y232">
        <v>6000577</v>
      </c>
      <c r="Z232">
        <v>2</v>
      </c>
      <c r="AA232">
        <v>27</v>
      </c>
      <c r="AB232" t="str">
        <f>""</f>
        <v/>
      </c>
      <c r="AC232" t="str">
        <f>""</f>
        <v/>
      </c>
      <c r="AD232" t="str">
        <f>""</f>
        <v/>
      </c>
      <c r="AE232">
        <v>2011</v>
      </c>
      <c r="AF232">
        <v>2022</v>
      </c>
      <c r="AG232" t="str">
        <f>"Bruz"</f>
        <v>Bruz</v>
      </c>
      <c r="AH232" t="str">
        <f>"Bruz"</f>
        <v>Bruz</v>
      </c>
      <c r="AI232" t="str">
        <f>""</f>
        <v/>
      </c>
      <c r="AJ232" t="str">
        <f>""</f>
        <v/>
      </c>
      <c r="AK232" t="str">
        <f>""</f>
        <v/>
      </c>
      <c r="AL232">
        <v>42</v>
      </c>
      <c r="AM232" t="str">
        <f>""</f>
        <v/>
      </c>
      <c r="AN232" t="str">
        <f>""</f>
        <v/>
      </c>
      <c r="AO232" t="str">
        <f>"Lycée international de Saint-Germain en Laye"</f>
        <v>Lycée international de Saint-Germain en Laye</v>
      </c>
      <c r="AP232" t="str">
        <f>"SAINT-GERMAIN EN LAYE"</f>
        <v>SAINT-GERMAIN EN LAYE</v>
      </c>
      <c r="AQ232" t="str">
        <f>"Versailles"</f>
        <v>Versailles</v>
      </c>
    </row>
    <row r="233" spans="1:43" x14ac:dyDescent="0.25">
      <c r="A233" t="str">
        <f t="shared" si="47"/>
        <v>2A,2A Att,2A ex Prem.A,T00000</v>
      </c>
      <c r="B233" t="str">
        <f>"LEMOINE"</f>
        <v>LEMOINE</v>
      </c>
      <c r="C233" t="str">
        <f>"Paulin"</f>
        <v>Paulin</v>
      </c>
      <c r="D233" t="str">
        <f>"023-2422"</f>
        <v>023-2422</v>
      </c>
      <c r="E233" t="str">
        <f>"091137447GH"</f>
        <v>091137447GH</v>
      </c>
      <c r="F233" t="str">
        <f t="shared" si="45"/>
        <v>0352480F</v>
      </c>
      <c r="G233" t="str">
        <f t="shared" si="46"/>
        <v>O</v>
      </c>
      <c r="H233">
        <v>10</v>
      </c>
      <c r="I233">
        <v>2003</v>
      </c>
      <c r="J233">
        <v>1</v>
      </c>
      <c r="K233" t="str">
        <f>""</f>
        <v/>
      </c>
      <c r="L233">
        <v>4</v>
      </c>
      <c r="M233">
        <v>2021</v>
      </c>
      <c r="N233" t="str">
        <f t="shared" si="48"/>
        <v>E</v>
      </c>
      <c r="O233" t="str">
        <f>"D"</f>
        <v>D</v>
      </c>
      <c r="P233">
        <v>0</v>
      </c>
      <c r="Q233">
        <v>100</v>
      </c>
      <c r="R233">
        <v>100</v>
      </c>
      <c r="S233">
        <v>35170</v>
      </c>
      <c r="T233">
        <v>100</v>
      </c>
      <c r="U233">
        <v>35170</v>
      </c>
      <c r="V233" t="str">
        <f>""</f>
        <v/>
      </c>
      <c r="W233">
        <v>34</v>
      </c>
      <c r="X233">
        <v>0</v>
      </c>
      <c r="Y233">
        <v>6000577</v>
      </c>
      <c r="Z233">
        <v>2</v>
      </c>
      <c r="AA233">
        <v>27</v>
      </c>
      <c r="AB233" t="str">
        <f>""</f>
        <v/>
      </c>
      <c r="AC233" t="str">
        <f>""</f>
        <v/>
      </c>
      <c r="AD233" t="str">
        <f>""</f>
        <v/>
      </c>
      <c r="AE233">
        <v>2021</v>
      </c>
      <c r="AF233">
        <v>2023</v>
      </c>
      <c r="AG233" t="str">
        <f>"Bruz"</f>
        <v>Bruz</v>
      </c>
      <c r="AH233" t="str">
        <f>"Bruz"</f>
        <v>Bruz</v>
      </c>
      <c r="AI233" t="str">
        <f>""</f>
        <v/>
      </c>
      <c r="AJ233" t="str">
        <f>""</f>
        <v/>
      </c>
      <c r="AK233" t="str">
        <f>""</f>
        <v/>
      </c>
      <c r="AL233">
        <v>34</v>
      </c>
      <c r="AM233" t="str">
        <f>""</f>
        <v/>
      </c>
      <c r="AN233" t="str">
        <f>""</f>
        <v/>
      </c>
      <c r="AO233" t="str">
        <f>"Lycée Bertran de Born"</f>
        <v>Lycée Bertran de Born</v>
      </c>
      <c r="AP233" t="str">
        <f>"PÉRIGUEUX"</f>
        <v>PÉRIGUEUX</v>
      </c>
      <c r="AQ233" t="str">
        <f>"Bordeaux"</f>
        <v>Bordeaux</v>
      </c>
    </row>
    <row r="234" spans="1:43" x14ac:dyDescent="0.25">
      <c r="A234" t="str">
        <f t="shared" si="47"/>
        <v>2A,2A Att,2A ex Prem.A,T00000</v>
      </c>
      <c r="B234" t="str">
        <f>"LIZE"</f>
        <v>LIZE</v>
      </c>
      <c r="C234" t="str">
        <f>"Benjamin"</f>
        <v>Benjamin</v>
      </c>
      <c r="D234" t="str">
        <f>"023-2399"</f>
        <v>023-2399</v>
      </c>
      <c r="E234" t="str">
        <f>"0999054856S"</f>
        <v>0999054856S</v>
      </c>
      <c r="F234" t="str">
        <f t="shared" si="45"/>
        <v>0352480F</v>
      </c>
      <c r="G234" t="str">
        <f t="shared" si="46"/>
        <v>O</v>
      </c>
      <c r="H234">
        <v>10</v>
      </c>
      <c r="I234">
        <v>1988</v>
      </c>
      <c r="J234">
        <v>1</v>
      </c>
      <c r="K234" t="str">
        <f>"S"</f>
        <v>S</v>
      </c>
      <c r="L234">
        <v>9</v>
      </c>
      <c r="M234">
        <v>2006</v>
      </c>
      <c r="N234" t="str">
        <f t="shared" si="48"/>
        <v>E</v>
      </c>
      <c r="O234" t="str">
        <f>"R"</f>
        <v>R</v>
      </c>
      <c r="P234">
        <v>0</v>
      </c>
      <c r="Q234">
        <v>100</v>
      </c>
      <c r="R234">
        <v>100</v>
      </c>
      <c r="S234">
        <v>59800</v>
      </c>
      <c r="T234">
        <v>100</v>
      </c>
      <c r="U234">
        <v>59800</v>
      </c>
      <c r="V234" t="str">
        <f>"TOEIC 1A le 24/05/20024 830"</f>
        <v>TOEIC 1A le 24/05/20024 830</v>
      </c>
      <c r="W234">
        <v>62</v>
      </c>
      <c r="X234">
        <v>0</v>
      </c>
      <c r="Y234">
        <v>6000577</v>
      </c>
      <c r="Z234">
        <v>2</v>
      </c>
      <c r="AA234">
        <v>27</v>
      </c>
      <c r="AB234" t="str">
        <f>""</f>
        <v/>
      </c>
      <c r="AC234" t="str">
        <f>""</f>
        <v/>
      </c>
      <c r="AD234" t="str">
        <f>""</f>
        <v/>
      </c>
      <c r="AE234">
        <v>2006</v>
      </c>
      <c r="AF234">
        <v>2023</v>
      </c>
      <c r="AG234" t="str">
        <f>"Lille"</f>
        <v>Lille</v>
      </c>
      <c r="AH234" t="str">
        <f>"Lille"</f>
        <v>Lille</v>
      </c>
      <c r="AI234" t="str">
        <f>""</f>
        <v/>
      </c>
      <c r="AJ234" t="str">
        <f>""</f>
        <v/>
      </c>
      <c r="AK234" t="str">
        <f>""</f>
        <v/>
      </c>
      <c r="AL234">
        <v>85</v>
      </c>
      <c r="AM234" t="str">
        <f>""</f>
        <v/>
      </c>
      <c r="AN234" t="str">
        <f>""</f>
        <v/>
      </c>
      <c r="AO234" t="str">
        <f>"Lycée Pierre Forest"</f>
        <v>Lycée Pierre Forest</v>
      </c>
      <c r="AP234" t="str">
        <f>"MAUBEUGE"</f>
        <v>MAUBEUGE</v>
      </c>
      <c r="AQ234" t="str">
        <f>"Lille"</f>
        <v>Lille</v>
      </c>
    </row>
    <row r="235" spans="1:43" x14ac:dyDescent="0.25">
      <c r="A235" t="str">
        <f t="shared" si="47"/>
        <v>2A,2A Att,2A ex Prem.A,T00000</v>
      </c>
      <c r="B235" t="str">
        <f>"LOUIS"</f>
        <v>LOUIS</v>
      </c>
      <c r="C235" t="str">
        <f>"Jolan"</f>
        <v>Jolan</v>
      </c>
      <c r="D235" t="str">
        <f>"023-2427"</f>
        <v>023-2427</v>
      </c>
      <c r="E235" t="str">
        <f>"060805286DH"</f>
        <v>060805286DH</v>
      </c>
      <c r="F235" t="str">
        <f t="shared" si="45"/>
        <v>0352480F</v>
      </c>
      <c r="G235" t="str">
        <f t="shared" si="46"/>
        <v>O</v>
      </c>
      <c r="H235">
        <v>10</v>
      </c>
      <c r="I235">
        <v>2003</v>
      </c>
      <c r="J235">
        <v>1</v>
      </c>
      <c r="K235" t="str">
        <f>"S"</f>
        <v>S</v>
      </c>
      <c r="L235">
        <v>15</v>
      </c>
      <c r="M235">
        <v>2021</v>
      </c>
      <c r="N235" t="str">
        <f t="shared" si="48"/>
        <v>E</v>
      </c>
      <c r="O235" t="str">
        <f>"D"</f>
        <v>D</v>
      </c>
      <c r="P235">
        <v>0</v>
      </c>
      <c r="Q235">
        <v>100</v>
      </c>
      <c r="R235">
        <v>100</v>
      </c>
      <c r="S235">
        <v>35136</v>
      </c>
      <c r="T235">
        <v>100</v>
      </c>
      <c r="U235">
        <v>35136</v>
      </c>
      <c r="V235" t="str">
        <f>""</f>
        <v/>
      </c>
      <c r="W235">
        <v>38</v>
      </c>
      <c r="X235">
        <v>0</v>
      </c>
      <c r="Y235">
        <v>6000577</v>
      </c>
      <c r="Z235">
        <v>2</v>
      </c>
      <c r="AA235">
        <v>27</v>
      </c>
      <c r="AB235" t="str">
        <f>""</f>
        <v/>
      </c>
      <c r="AC235" t="str">
        <f>""</f>
        <v/>
      </c>
      <c r="AD235" t="str">
        <f>""</f>
        <v/>
      </c>
      <c r="AE235">
        <v>2021</v>
      </c>
      <c r="AF235">
        <v>2023</v>
      </c>
      <c r="AG235" t="str">
        <f>"Rennes"</f>
        <v>Rennes</v>
      </c>
      <c r="AH235" t="str">
        <f>"Rennes"</f>
        <v>Rennes</v>
      </c>
      <c r="AI235" t="str">
        <f>""</f>
        <v/>
      </c>
      <c r="AJ235" t="str">
        <f>""</f>
        <v/>
      </c>
      <c r="AK235" t="str">
        <f>""</f>
        <v/>
      </c>
      <c r="AL235">
        <v>43</v>
      </c>
      <c r="AM235" t="str">
        <f>""</f>
        <v/>
      </c>
      <c r="AN235" t="str">
        <f>""</f>
        <v/>
      </c>
      <c r="AO235" t="str">
        <f>"Lycée Episcopale"</f>
        <v>Lycée Episcopale</v>
      </c>
      <c r="AP235" t="str">
        <f>"ZILLISHEIM"</f>
        <v>ZILLISHEIM</v>
      </c>
      <c r="AQ235" t="str">
        <f>"Strasbourg"</f>
        <v>Strasbourg</v>
      </c>
    </row>
    <row r="236" spans="1:43" x14ac:dyDescent="0.25">
      <c r="A236" t="str">
        <f t="shared" si="47"/>
        <v>2A,2A Att,2A ex Prem.A,T00000</v>
      </c>
      <c r="B236" t="str">
        <f>"LOUZA"</f>
        <v>LOUZA</v>
      </c>
      <c r="C236" t="str">
        <f>"Thibaut"</f>
        <v>Thibaut</v>
      </c>
      <c r="D236" t="str">
        <f>"023-2380"</f>
        <v>023-2380</v>
      </c>
      <c r="E236" t="str">
        <f>"2195028527Y"</f>
        <v>2195028527Y</v>
      </c>
      <c r="F236" t="str">
        <f t="shared" si="45"/>
        <v>0352480F</v>
      </c>
      <c r="G236" t="str">
        <f t="shared" si="46"/>
        <v>O</v>
      </c>
      <c r="H236">
        <v>10</v>
      </c>
      <c r="I236">
        <v>1984</v>
      </c>
      <c r="J236">
        <v>1</v>
      </c>
      <c r="K236" t="str">
        <f>"ES"</f>
        <v>ES</v>
      </c>
      <c r="L236" t="str">
        <f>""</f>
        <v/>
      </c>
      <c r="M236">
        <v>2002</v>
      </c>
      <c r="N236" t="str">
        <f t="shared" si="48"/>
        <v>E</v>
      </c>
      <c r="O236" t="str">
        <f>"U"</f>
        <v>U</v>
      </c>
      <c r="P236">
        <v>0</v>
      </c>
      <c r="Q236">
        <v>100</v>
      </c>
      <c r="R236">
        <v>100</v>
      </c>
      <c r="S236">
        <v>76140</v>
      </c>
      <c r="T236">
        <v>100</v>
      </c>
      <c r="U236">
        <v>76140</v>
      </c>
      <c r="V236" t="str">
        <f>"TOEIC hors ENSAI - 11-07-2024 : score 785"</f>
        <v>TOEIC hors ENSAI - 11-07-2024 : score 785</v>
      </c>
      <c r="W236">
        <v>43</v>
      </c>
      <c r="X236">
        <v>0</v>
      </c>
      <c r="Y236">
        <v>6000577</v>
      </c>
      <c r="Z236">
        <v>2</v>
      </c>
      <c r="AA236">
        <v>27</v>
      </c>
      <c r="AB236" t="str">
        <f>""</f>
        <v/>
      </c>
      <c r="AC236" t="str">
        <f>""</f>
        <v/>
      </c>
      <c r="AD236" t="str">
        <f>""</f>
        <v/>
      </c>
      <c r="AE236">
        <v>2002</v>
      </c>
      <c r="AF236">
        <v>2023</v>
      </c>
      <c r="AG236" t="str">
        <f>"LE PETIT-QUEVILLY"</f>
        <v>LE PETIT-QUEVILLY</v>
      </c>
      <c r="AH236" t="str">
        <f>"LE PETIT-QUEVILLY"</f>
        <v>LE PETIT-QUEVILLY</v>
      </c>
      <c r="AI236" t="str">
        <f>""</f>
        <v/>
      </c>
      <c r="AJ236" t="str">
        <f>""</f>
        <v/>
      </c>
      <c r="AK236" t="str">
        <f>""</f>
        <v/>
      </c>
      <c r="AL236">
        <v>0</v>
      </c>
      <c r="AM236" t="str">
        <f>""</f>
        <v/>
      </c>
      <c r="AN236" t="str">
        <f>""</f>
        <v/>
      </c>
      <c r="AO236" t="str">
        <f>"LYCEE DES BRUYERES"</f>
        <v>LYCEE DES BRUYERES</v>
      </c>
      <c r="AP236" t="str">
        <f>"SOTTEVILLE-LES-ROUEN"</f>
        <v>SOTTEVILLE-LES-ROUEN</v>
      </c>
      <c r="AQ236" t="str">
        <f>""</f>
        <v/>
      </c>
    </row>
    <row r="237" spans="1:43" x14ac:dyDescent="0.25">
      <c r="A237" t="str">
        <f t="shared" si="47"/>
        <v>2A,2A Att,2A ex Prem.A,T00000</v>
      </c>
      <c r="B237" t="str">
        <f>"MANGATAL"</f>
        <v>MANGATAL</v>
      </c>
      <c r="C237" t="str">
        <f>"Raphaël"</f>
        <v>Raphaël</v>
      </c>
      <c r="D237" t="str">
        <f>"023-2505"</f>
        <v>023-2505</v>
      </c>
      <c r="E237" t="str">
        <f>"090893558AB"</f>
        <v>090893558AB</v>
      </c>
      <c r="F237" t="str">
        <f t="shared" si="45"/>
        <v>0352480F</v>
      </c>
      <c r="G237" t="str">
        <f t="shared" si="46"/>
        <v>O</v>
      </c>
      <c r="H237">
        <v>10</v>
      </c>
      <c r="I237">
        <v>2003</v>
      </c>
      <c r="J237">
        <v>1</v>
      </c>
      <c r="K237" t="str">
        <f>""</f>
        <v/>
      </c>
      <c r="L237">
        <v>32</v>
      </c>
      <c r="M237">
        <v>2021</v>
      </c>
      <c r="N237" t="str">
        <f t="shared" si="48"/>
        <v>E</v>
      </c>
      <c r="O237" t="str">
        <f>"A"</f>
        <v>A</v>
      </c>
      <c r="P237">
        <v>0</v>
      </c>
      <c r="Q237">
        <v>100</v>
      </c>
      <c r="R237">
        <v>100</v>
      </c>
      <c r="S237">
        <v>35000</v>
      </c>
      <c r="T237">
        <v>100</v>
      </c>
      <c r="U237">
        <v>35000</v>
      </c>
      <c r="V237" t="str">
        <f>""</f>
        <v/>
      </c>
      <c r="W237">
        <v>45</v>
      </c>
      <c r="X237">
        <v>0</v>
      </c>
      <c r="Y237">
        <v>6000577</v>
      </c>
      <c r="Z237">
        <v>2</v>
      </c>
      <c r="AA237">
        <v>27</v>
      </c>
      <c r="AB237" t="str">
        <f>""</f>
        <v/>
      </c>
      <c r="AC237" t="str">
        <f>""</f>
        <v/>
      </c>
      <c r="AD237" t="str">
        <f>""</f>
        <v/>
      </c>
      <c r="AE237">
        <v>2021</v>
      </c>
      <c r="AF237">
        <v>2023</v>
      </c>
      <c r="AG237" t="str">
        <f>"Rennes"</f>
        <v>Rennes</v>
      </c>
      <c r="AH237" t="str">
        <f>"Rennes"</f>
        <v>Rennes</v>
      </c>
      <c r="AI237" t="str">
        <f>""</f>
        <v/>
      </c>
      <c r="AJ237" t="str">
        <f>""</f>
        <v/>
      </c>
      <c r="AK237" t="str">
        <f>""</f>
        <v/>
      </c>
      <c r="AL237">
        <v>76</v>
      </c>
      <c r="AM237" t="str">
        <f>""</f>
        <v/>
      </c>
      <c r="AN237" t="str">
        <f>""</f>
        <v/>
      </c>
      <c r="AO237" t="str">
        <f>"Lycée Jardin d'Essai"</f>
        <v>Lycée Jardin d'Essai</v>
      </c>
      <c r="AP237" t="str">
        <f>"LES ABYMES"</f>
        <v>LES ABYMES</v>
      </c>
      <c r="AQ237" t="str">
        <f>"Guadeloupe"</f>
        <v>Guadeloupe</v>
      </c>
    </row>
    <row r="238" spans="1:43" x14ac:dyDescent="0.25">
      <c r="A238" t="str">
        <f t="shared" si="47"/>
        <v>2A,2A Att,2A ex Prem.A,T00000</v>
      </c>
      <c r="B238" t="str">
        <f>"MEHENNI"</f>
        <v>MEHENNI</v>
      </c>
      <c r="C238" t="str">
        <f>"Yann"</f>
        <v>Yann</v>
      </c>
      <c r="D238" t="str">
        <f>"023-2507"</f>
        <v>023-2507</v>
      </c>
      <c r="E238" t="str">
        <f>"060043883JH"</f>
        <v>060043883JH</v>
      </c>
      <c r="F238" t="str">
        <f t="shared" si="45"/>
        <v>0352480F</v>
      </c>
      <c r="G238" t="str">
        <f t="shared" si="46"/>
        <v>O</v>
      </c>
      <c r="H238">
        <v>10</v>
      </c>
      <c r="I238">
        <v>2003</v>
      </c>
      <c r="J238">
        <v>1</v>
      </c>
      <c r="K238" t="str">
        <f>"S"</f>
        <v>S</v>
      </c>
      <c r="L238">
        <v>15</v>
      </c>
      <c r="M238">
        <v>2020</v>
      </c>
      <c r="N238" t="str">
        <f t="shared" si="48"/>
        <v>E</v>
      </c>
      <c r="O238" t="str">
        <f>"A"</f>
        <v>A</v>
      </c>
      <c r="P238">
        <v>0</v>
      </c>
      <c r="Q238">
        <v>100</v>
      </c>
      <c r="R238">
        <v>100</v>
      </c>
      <c r="S238" t="str">
        <f>""</f>
        <v/>
      </c>
      <c r="T238">
        <v>100</v>
      </c>
      <c r="U238" t="str">
        <f>""</f>
        <v/>
      </c>
      <c r="V238" t="str">
        <f>"TOEIC 1A le 24/05/20024 860"</f>
        <v>TOEIC 1A le 24/05/20024 860</v>
      </c>
      <c r="W238">
        <v>43</v>
      </c>
      <c r="X238">
        <v>0</v>
      </c>
      <c r="Y238">
        <v>6000577</v>
      </c>
      <c r="Z238">
        <v>2</v>
      </c>
      <c r="AA238">
        <v>27</v>
      </c>
      <c r="AB238" t="str">
        <f>""</f>
        <v/>
      </c>
      <c r="AC238" t="str">
        <f>""</f>
        <v/>
      </c>
      <c r="AD238" t="str">
        <f>""</f>
        <v/>
      </c>
      <c r="AE238">
        <v>2020</v>
      </c>
      <c r="AF238">
        <v>2023</v>
      </c>
      <c r="AG238" t="str">
        <f>""</f>
        <v/>
      </c>
      <c r="AH238" t="str">
        <f>""</f>
        <v/>
      </c>
      <c r="AI238" t="str">
        <f>""</f>
        <v/>
      </c>
      <c r="AJ238" t="str">
        <f>""</f>
        <v/>
      </c>
      <c r="AK238" t="str">
        <f>""</f>
        <v/>
      </c>
      <c r="AL238">
        <v>43</v>
      </c>
      <c r="AM238" t="str">
        <f>""</f>
        <v/>
      </c>
      <c r="AN238" t="str">
        <f>""</f>
        <v/>
      </c>
      <c r="AO238" t="str">
        <f>"Jeanne d'Arc"</f>
        <v>Jeanne d'Arc</v>
      </c>
      <c r="AP238" t="str">
        <f>"MULHOUSE"</f>
        <v>MULHOUSE</v>
      </c>
      <c r="AQ238" t="str">
        <f>"Strasbourg"</f>
        <v>Strasbourg</v>
      </c>
    </row>
    <row r="239" spans="1:43" x14ac:dyDescent="0.25">
      <c r="A239" t="str">
        <f t="shared" si="47"/>
        <v>2A,2A Att,2A ex Prem.A,T00000</v>
      </c>
      <c r="B239" t="str">
        <f>"MONCEL"</f>
        <v>MONCEL</v>
      </c>
      <c r="C239" t="str">
        <f>"Emile"</f>
        <v>Emile</v>
      </c>
      <c r="D239" t="str">
        <f>"023-2515"</f>
        <v>023-2515</v>
      </c>
      <c r="E239" t="str">
        <f>"071056432EF"</f>
        <v>071056432EF</v>
      </c>
      <c r="F239" t="str">
        <f t="shared" si="45"/>
        <v>0352480F</v>
      </c>
      <c r="G239" t="str">
        <f t="shared" si="46"/>
        <v>O</v>
      </c>
      <c r="H239">
        <v>10</v>
      </c>
      <c r="I239">
        <v>2003</v>
      </c>
      <c r="J239">
        <v>1</v>
      </c>
      <c r="K239" t="str">
        <f>""</f>
        <v/>
      </c>
      <c r="L239">
        <v>10</v>
      </c>
      <c r="M239">
        <v>2021</v>
      </c>
      <c r="N239" t="str">
        <f t="shared" si="48"/>
        <v>E</v>
      </c>
      <c r="O239" t="str">
        <f t="shared" ref="O239:O244" si="50">"D"</f>
        <v>D</v>
      </c>
      <c r="P239">
        <v>0</v>
      </c>
      <c r="Q239">
        <v>100</v>
      </c>
      <c r="R239">
        <v>100</v>
      </c>
      <c r="S239">
        <v>35200</v>
      </c>
      <c r="T239">
        <v>100</v>
      </c>
      <c r="U239">
        <v>35200</v>
      </c>
      <c r="V239" t="str">
        <f>"TOEIC 1A le 24/05/20024 920"</f>
        <v>TOEIC 1A le 24/05/20024 920</v>
      </c>
      <c r="W239">
        <v>45</v>
      </c>
      <c r="X239">
        <v>0</v>
      </c>
      <c r="Y239">
        <v>6000577</v>
      </c>
      <c r="Z239">
        <v>2</v>
      </c>
      <c r="AA239">
        <v>27</v>
      </c>
      <c r="AB239" t="str">
        <f>""</f>
        <v/>
      </c>
      <c r="AC239" t="str">
        <f>""</f>
        <v/>
      </c>
      <c r="AD239" t="str">
        <f>""</f>
        <v/>
      </c>
      <c r="AE239">
        <v>2021</v>
      </c>
      <c r="AF239">
        <v>2023</v>
      </c>
      <c r="AG239" t="str">
        <f>"Rennes"</f>
        <v>Rennes</v>
      </c>
      <c r="AH239" t="str">
        <f>"Rennes"</f>
        <v>Rennes</v>
      </c>
      <c r="AI239" t="str">
        <f>""</f>
        <v/>
      </c>
      <c r="AJ239" t="str">
        <f>""</f>
        <v/>
      </c>
      <c r="AK239" t="str">
        <f>""</f>
        <v/>
      </c>
      <c r="AL239">
        <v>34</v>
      </c>
      <c r="AM239" t="str">
        <f>""</f>
        <v/>
      </c>
      <c r="AN239" t="str">
        <f>""</f>
        <v/>
      </c>
      <c r="AO239" t="str">
        <f>"Lycée Joseph-Marie Carriat"</f>
        <v>Lycée Joseph-Marie Carriat</v>
      </c>
      <c r="AP239" t="str">
        <f>"BOURG-EN-BRESSE (01)"</f>
        <v>BOURG-EN-BRESSE (01)</v>
      </c>
      <c r="AQ239" t="str">
        <f>"Lyon"</f>
        <v>Lyon</v>
      </c>
    </row>
    <row r="240" spans="1:43" x14ac:dyDescent="0.25">
      <c r="A240" t="str">
        <f t="shared" si="47"/>
        <v>2A,2A Att,2A ex Prem.A,T00000</v>
      </c>
      <c r="B240" t="str">
        <f>"MONLEON"</f>
        <v>MONLEON</v>
      </c>
      <c r="C240" t="str">
        <f>"Cédric"</f>
        <v>Cédric</v>
      </c>
      <c r="D240" t="str">
        <f>"023-2469"</f>
        <v>023-2469</v>
      </c>
      <c r="E240" t="str">
        <f>"072198628CE"</f>
        <v>072198628CE</v>
      </c>
      <c r="F240" t="str">
        <f t="shared" si="45"/>
        <v>0352480F</v>
      </c>
      <c r="G240" t="str">
        <f t="shared" si="46"/>
        <v>O</v>
      </c>
      <c r="H240">
        <v>10</v>
      </c>
      <c r="I240">
        <v>2002</v>
      </c>
      <c r="J240">
        <v>1</v>
      </c>
      <c r="K240" t="str">
        <f>"S"</f>
        <v>S</v>
      </c>
      <c r="L240">
        <v>4</v>
      </c>
      <c r="M240">
        <v>2020</v>
      </c>
      <c r="N240" t="str">
        <f t="shared" si="48"/>
        <v>E</v>
      </c>
      <c r="O240" t="str">
        <f t="shared" si="50"/>
        <v>D</v>
      </c>
      <c r="P240">
        <v>0</v>
      </c>
      <c r="Q240">
        <v>100</v>
      </c>
      <c r="R240">
        <v>100</v>
      </c>
      <c r="S240" t="str">
        <f>"Renne"</f>
        <v>Renne</v>
      </c>
      <c r="T240">
        <v>100</v>
      </c>
      <c r="U240" t="str">
        <f>"Renne"</f>
        <v>Renne</v>
      </c>
      <c r="V240" t="str">
        <f>""</f>
        <v/>
      </c>
      <c r="W240">
        <v>52</v>
      </c>
      <c r="X240">
        <v>0</v>
      </c>
      <c r="Y240">
        <v>6000577</v>
      </c>
      <c r="Z240">
        <v>2</v>
      </c>
      <c r="AA240">
        <v>27</v>
      </c>
      <c r="AB240" t="str">
        <f>""</f>
        <v/>
      </c>
      <c r="AC240" t="str">
        <f>""</f>
        <v/>
      </c>
      <c r="AD240" t="str">
        <f>""</f>
        <v/>
      </c>
      <c r="AE240">
        <v>2021</v>
      </c>
      <c r="AF240">
        <v>2023</v>
      </c>
      <c r="AG240">
        <v>35700</v>
      </c>
      <c r="AH240">
        <v>35700</v>
      </c>
      <c r="AI240" t="str">
        <f>""</f>
        <v/>
      </c>
      <c r="AJ240" t="str">
        <f>""</f>
        <v/>
      </c>
      <c r="AK240" t="str">
        <f>""</f>
        <v/>
      </c>
      <c r="AL240">
        <v>61</v>
      </c>
      <c r="AM240" t="str">
        <f>""</f>
        <v/>
      </c>
      <c r="AN240" t="str">
        <f>""</f>
        <v/>
      </c>
      <c r="AO240" t="str">
        <f>"Marguerite Filhol"</f>
        <v>Marguerite Filhol</v>
      </c>
      <c r="AP240" t="str">
        <f>"FUMEL"</f>
        <v>FUMEL</v>
      </c>
      <c r="AQ240" t="str">
        <f>"Bordeaux"</f>
        <v>Bordeaux</v>
      </c>
    </row>
    <row r="241" spans="1:43" x14ac:dyDescent="0.25">
      <c r="A241" t="str">
        <f t="shared" si="47"/>
        <v>2A,2A Att,2A ex Prem.A,T00000</v>
      </c>
      <c r="B241" t="str">
        <f>"MOURET"</f>
        <v>MOURET</v>
      </c>
      <c r="C241" t="str">
        <f>"Agathe"</f>
        <v>Agathe</v>
      </c>
      <c r="D241" t="str">
        <f>"023-2395"</f>
        <v>023-2395</v>
      </c>
      <c r="E241" t="str">
        <f>"060085372BH"</f>
        <v>060085372BH</v>
      </c>
      <c r="F241" t="str">
        <f t="shared" si="45"/>
        <v>0352480F</v>
      </c>
      <c r="G241" t="str">
        <f t="shared" si="46"/>
        <v>O</v>
      </c>
      <c r="H241">
        <v>10</v>
      </c>
      <c r="I241">
        <v>2003</v>
      </c>
      <c r="J241">
        <v>2</v>
      </c>
      <c r="K241" t="str">
        <f>"ES"</f>
        <v>ES</v>
      </c>
      <c r="L241">
        <v>25</v>
      </c>
      <c r="M241">
        <v>2021</v>
      </c>
      <c r="N241" t="str">
        <f t="shared" si="48"/>
        <v>E</v>
      </c>
      <c r="O241" t="str">
        <f t="shared" si="50"/>
        <v>D</v>
      </c>
      <c r="P241">
        <v>0</v>
      </c>
      <c r="Q241">
        <v>100</v>
      </c>
      <c r="R241">
        <v>100</v>
      </c>
      <c r="S241">
        <v>35700</v>
      </c>
      <c r="T241">
        <v>100</v>
      </c>
      <c r="U241">
        <v>35700</v>
      </c>
      <c r="V241" t="str">
        <f>"Déléguée 2023/2024  TOEIC 1A le 24/05/20024 985"</f>
        <v>Déléguée 2023/2024  TOEIC 1A le 24/05/20024 985</v>
      </c>
      <c r="W241">
        <v>31</v>
      </c>
      <c r="X241">
        <v>0</v>
      </c>
      <c r="Y241">
        <v>6000577</v>
      </c>
      <c r="Z241">
        <v>2</v>
      </c>
      <c r="AA241">
        <v>27</v>
      </c>
      <c r="AB241" t="str">
        <f>""</f>
        <v/>
      </c>
      <c r="AC241" t="str">
        <f>""</f>
        <v/>
      </c>
      <c r="AD241" t="str">
        <f>""</f>
        <v/>
      </c>
      <c r="AE241">
        <v>2021</v>
      </c>
      <c r="AF241">
        <v>2023</v>
      </c>
      <c r="AG241" t="str">
        <f>"Rennes"</f>
        <v>Rennes</v>
      </c>
      <c r="AH241" t="str">
        <f>"Rennes"</f>
        <v>Rennes</v>
      </c>
      <c r="AI241" t="str">
        <f>""</f>
        <v/>
      </c>
      <c r="AJ241" t="str">
        <f>""</f>
        <v/>
      </c>
      <c r="AK241" t="str">
        <f>""</f>
        <v/>
      </c>
      <c r="AL241">
        <v>37</v>
      </c>
      <c r="AM241" t="str">
        <f>""</f>
        <v/>
      </c>
      <c r="AN241" t="str">
        <f>""</f>
        <v/>
      </c>
      <c r="AO241" t="str">
        <f>"Notre dame du Grandchamp"</f>
        <v>Notre dame du Grandchamp</v>
      </c>
      <c r="AP241" t="str">
        <f>"VERSAILLES"</f>
        <v>VERSAILLES</v>
      </c>
      <c r="AQ241" t="str">
        <f>"Versailles"</f>
        <v>Versailles</v>
      </c>
    </row>
    <row r="242" spans="1:43" x14ac:dyDescent="0.25">
      <c r="A242" t="str">
        <f t="shared" si="47"/>
        <v>2A,2A Att,2A ex Prem.A,T00000</v>
      </c>
      <c r="B242" t="str">
        <f>"POIRIER"</f>
        <v>POIRIER</v>
      </c>
      <c r="C242" t="str">
        <f>"Gaspard"</f>
        <v>Gaspard</v>
      </c>
      <c r="D242" t="str">
        <f>"023-2358"</f>
        <v>023-2358</v>
      </c>
      <c r="E242" t="str">
        <f>"100703047CF"</f>
        <v>100703047CF</v>
      </c>
      <c r="F242" t="str">
        <f t="shared" si="45"/>
        <v>0352480F</v>
      </c>
      <c r="G242" t="str">
        <f t="shared" si="46"/>
        <v>O</v>
      </c>
      <c r="H242">
        <v>10</v>
      </c>
      <c r="I242">
        <v>2003</v>
      </c>
      <c r="J242">
        <v>1</v>
      </c>
      <c r="K242" t="str">
        <f>"C"</f>
        <v>C</v>
      </c>
      <c r="L242">
        <v>2</v>
      </c>
      <c r="M242">
        <v>2021</v>
      </c>
      <c r="N242" t="str">
        <f t="shared" si="48"/>
        <v>E</v>
      </c>
      <c r="O242" t="str">
        <f t="shared" si="50"/>
        <v>D</v>
      </c>
      <c r="P242">
        <v>0</v>
      </c>
      <c r="Q242">
        <v>100</v>
      </c>
      <c r="R242">
        <v>100</v>
      </c>
      <c r="S242">
        <v>35170</v>
      </c>
      <c r="T242">
        <v>100</v>
      </c>
      <c r="U242">
        <v>35170</v>
      </c>
      <c r="V242" t="str">
        <f>"TOEIC 1A le 24/05/20024 835"</f>
        <v>TOEIC 1A le 24/05/20024 835</v>
      </c>
      <c r="W242">
        <v>82</v>
      </c>
      <c r="X242">
        <v>0</v>
      </c>
      <c r="Y242">
        <v>6000577</v>
      </c>
      <c r="Z242">
        <v>2</v>
      </c>
      <c r="AA242">
        <v>27</v>
      </c>
      <c r="AB242" t="str">
        <f>""</f>
        <v/>
      </c>
      <c r="AC242" t="str">
        <f>""</f>
        <v/>
      </c>
      <c r="AD242" t="str">
        <f>""</f>
        <v/>
      </c>
      <c r="AE242">
        <v>2021</v>
      </c>
      <c r="AF242">
        <v>2023</v>
      </c>
      <c r="AG242" t="str">
        <f>"Bruz"</f>
        <v>Bruz</v>
      </c>
      <c r="AH242" t="str">
        <f>"Bruz"</f>
        <v>Bruz</v>
      </c>
      <c r="AI242" t="str">
        <f>""</f>
        <v/>
      </c>
      <c r="AJ242" t="str">
        <f>""</f>
        <v/>
      </c>
      <c r="AK242" t="str">
        <f>""</f>
        <v/>
      </c>
      <c r="AL242">
        <v>22</v>
      </c>
      <c r="AM242" t="str">
        <f>""</f>
        <v/>
      </c>
      <c r="AN242" t="str">
        <f>""</f>
        <v/>
      </c>
      <c r="AO242" t="str">
        <f>"Adolphe Thiers"</f>
        <v>Adolphe Thiers</v>
      </c>
      <c r="AP242" t="str">
        <f>"MARSEILLE"</f>
        <v>MARSEILLE</v>
      </c>
      <c r="AQ242" t="str">
        <f>"Aix-Marseille"</f>
        <v>Aix-Marseille</v>
      </c>
    </row>
    <row r="243" spans="1:43" x14ac:dyDescent="0.25">
      <c r="A243" t="str">
        <f t="shared" si="47"/>
        <v>2A,2A Att,2A ex Prem.A,T00000</v>
      </c>
      <c r="B243" t="str">
        <f>"POUJADE"</f>
        <v>POUJADE</v>
      </c>
      <c r="C243" t="str">
        <f>"Cécile"</f>
        <v>Cécile</v>
      </c>
      <c r="D243" t="str">
        <f>"023-2517"</f>
        <v>023-2517</v>
      </c>
      <c r="E243" t="str">
        <f>"050117835CJ"</f>
        <v>050117835CJ</v>
      </c>
      <c r="F243" t="str">
        <f t="shared" si="45"/>
        <v>0352480F</v>
      </c>
      <c r="G243" t="str">
        <f t="shared" si="46"/>
        <v>O</v>
      </c>
      <c r="H243">
        <v>10</v>
      </c>
      <c r="I243">
        <v>2002</v>
      </c>
      <c r="J243">
        <v>2</v>
      </c>
      <c r="K243" t="str">
        <f>"S"</f>
        <v>S</v>
      </c>
      <c r="L243">
        <v>18</v>
      </c>
      <c r="M243">
        <v>2020</v>
      </c>
      <c r="N243" t="str">
        <f t="shared" si="48"/>
        <v>E</v>
      </c>
      <c r="O243" t="str">
        <f t="shared" si="50"/>
        <v>D</v>
      </c>
      <c r="P243">
        <v>0</v>
      </c>
      <c r="Q243">
        <v>100</v>
      </c>
      <c r="R243">
        <v>100</v>
      </c>
      <c r="S243">
        <v>35170</v>
      </c>
      <c r="T243">
        <v>100</v>
      </c>
      <c r="U243">
        <v>35170</v>
      </c>
      <c r="V243" t="str">
        <f>""</f>
        <v/>
      </c>
      <c r="W243">
        <v>74</v>
      </c>
      <c r="X243">
        <v>0</v>
      </c>
      <c r="Y243">
        <v>6000577</v>
      </c>
      <c r="Z243">
        <v>2</v>
      </c>
      <c r="AA243">
        <v>27</v>
      </c>
      <c r="AB243" t="str">
        <f>""</f>
        <v/>
      </c>
      <c r="AC243" t="str">
        <f>""</f>
        <v/>
      </c>
      <c r="AD243" t="str">
        <f>""</f>
        <v/>
      </c>
      <c r="AE243">
        <v>2020</v>
      </c>
      <c r="AF243">
        <v>2023</v>
      </c>
      <c r="AG243" t="str">
        <f>"Bruz"</f>
        <v>Bruz</v>
      </c>
      <c r="AH243" t="str">
        <f>"Bruz"</f>
        <v>Bruz</v>
      </c>
      <c r="AI243" t="str">
        <f>""</f>
        <v/>
      </c>
      <c r="AJ243" t="str">
        <f>""</f>
        <v/>
      </c>
      <c r="AK243" t="str">
        <f>""</f>
        <v/>
      </c>
      <c r="AL243">
        <v>34</v>
      </c>
      <c r="AM243" t="str">
        <f>""</f>
        <v/>
      </c>
      <c r="AN243" t="str">
        <f>""</f>
        <v/>
      </c>
      <c r="AO243" t="str">
        <f>"Dessaignes"</f>
        <v>Dessaignes</v>
      </c>
      <c r="AP243" t="str">
        <f>"BLOIS"</f>
        <v>BLOIS</v>
      </c>
      <c r="AQ243" t="str">
        <f>"Orléans-Tours"</f>
        <v>Orléans-Tours</v>
      </c>
    </row>
    <row r="244" spans="1:43" x14ac:dyDescent="0.25">
      <c r="A244" t="str">
        <f t="shared" si="47"/>
        <v>2A,2A Att,2A ex Prem.A,T00000</v>
      </c>
      <c r="B244" t="str">
        <f>"RAKOTOMALALA"</f>
        <v>RAKOTOMALALA</v>
      </c>
      <c r="C244" t="str">
        <f>"Clément"</f>
        <v>Clément</v>
      </c>
      <c r="D244" t="str">
        <f>"023-2457"</f>
        <v>023-2457</v>
      </c>
      <c r="E244" t="str">
        <f>"090186291EB"</f>
        <v>090186291EB</v>
      </c>
      <c r="F244" t="str">
        <f t="shared" si="45"/>
        <v>0352480F</v>
      </c>
      <c r="G244" t="str">
        <f t="shared" si="46"/>
        <v>O</v>
      </c>
      <c r="H244">
        <v>10</v>
      </c>
      <c r="I244">
        <v>2003</v>
      </c>
      <c r="J244">
        <v>1</v>
      </c>
      <c r="K244" t="str">
        <f>"S"</f>
        <v>S</v>
      </c>
      <c r="L244">
        <v>10</v>
      </c>
      <c r="M244">
        <v>2021</v>
      </c>
      <c r="N244" t="str">
        <f t="shared" si="48"/>
        <v>E</v>
      </c>
      <c r="O244" t="str">
        <f t="shared" si="50"/>
        <v>D</v>
      </c>
      <c r="P244">
        <v>0</v>
      </c>
      <c r="Q244">
        <v>100</v>
      </c>
      <c r="R244">
        <v>100</v>
      </c>
      <c r="S244">
        <v>35170</v>
      </c>
      <c r="T244">
        <v>100</v>
      </c>
      <c r="U244">
        <v>35170</v>
      </c>
      <c r="V244" t="str">
        <f>"TOEIC 1A le 24/05/20024 920"</f>
        <v>TOEIC 1A le 24/05/20024 920</v>
      </c>
      <c r="W244">
        <v>38</v>
      </c>
      <c r="X244">
        <v>0</v>
      </c>
      <c r="Y244">
        <v>6000577</v>
      </c>
      <c r="Z244">
        <v>2</v>
      </c>
      <c r="AA244">
        <v>27</v>
      </c>
      <c r="AB244" t="str">
        <f>""</f>
        <v/>
      </c>
      <c r="AC244" t="str">
        <f>""</f>
        <v/>
      </c>
      <c r="AD244" t="str">
        <f>""</f>
        <v/>
      </c>
      <c r="AE244">
        <v>2021</v>
      </c>
      <c r="AF244">
        <v>2023</v>
      </c>
      <c r="AG244" t="str">
        <f>"BRUZ"</f>
        <v>BRUZ</v>
      </c>
      <c r="AH244" t="str">
        <f>"BRUZ"</f>
        <v>BRUZ</v>
      </c>
      <c r="AI244" t="str">
        <f>""</f>
        <v/>
      </c>
      <c r="AJ244" t="str">
        <f>""</f>
        <v/>
      </c>
      <c r="AK244" t="str">
        <f>""</f>
        <v/>
      </c>
      <c r="AL244">
        <v>34</v>
      </c>
      <c r="AM244" t="str">
        <f>""</f>
        <v/>
      </c>
      <c r="AN244" t="str">
        <f>""</f>
        <v/>
      </c>
      <c r="AO244" t="str">
        <f>"Lycée La Xavière"</f>
        <v>Lycée La Xavière</v>
      </c>
      <c r="AP244" t="str">
        <f>"LYON 08"</f>
        <v>LYON 08</v>
      </c>
      <c r="AQ244" t="str">
        <f>"Lyon"</f>
        <v>Lyon</v>
      </c>
    </row>
    <row r="245" spans="1:43" x14ac:dyDescent="0.25">
      <c r="A245" t="str">
        <f t="shared" si="47"/>
        <v>2A,2A Att,2A ex Prem.A,T00000</v>
      </c>
      <c r="B245" t="str">
        <f>"SALECK"</f>
        <v>SALECK</v>
      </c>
      <c r="C245" t="str">
        <f>"Mohamed"</f>
        <v>Mohamed</v>
      </c>
      <c r="D245" t="str">
        <f>"023-2503"</f>
        <v>023-2503</v>
      </c>
      <c r="E245" t="str">
        <f>"061155047FJ"</f>
        <v>061155047FJ</v>
      </c>
      <c r="F245" t="str">
        <f t="shared" si="45"/>
        <v>0352480F</v>
      </c>
      <c r="G245" t="str">
        <f t="shared" si="46"/>
        <v>O</v>
      </c>
      <c r="H245">
        <v>10</v>
      </c>
      <c r="I245">
        <v>2003</v>
      </c>
      <c r="J245">
        <v>1</v>
      </c>
      <c r="K245" t="str">
        <f>"S"</f>
        <v>S</v>
      </c>
      <c r="L245">
        <v>5</v>
      </c>
      <c r="M245">
        <v>2021</v>
      </c>
      <c r="N245" t="str">
        <f t="shared" si="48"/>
        <v>E</v>
      </c>
      <c r="O245" t="str">
        <f>"A"</f>
        <v>A</v>
      </c>
      <c r="P245">
        <v>0</v>
      </c>
      <c r="Q245">
        <v>100</v>
      </c>
      <c r="R245">
        <v>100</v>
      </c>
      <c r="S245" t="str">
        <f>""</f>
        <v/>
      </c>
      <c r="T245">
        <v>100</v>
      </c>
      <c r="U245" t="str">
        <f>""</f>
        <v/>
      </c>
      <c r="V245" t="str">
        <f>"Changement de nom de naissance suite à la modification de son état-civil (11/06/2024)  TOEIC 1A 24-05-2024: 935"</f>
        <v>Changement de nom de naissance suite à la modification de son état-civil (11/06/2024)  TOEIC 1A 24-05-2024: 935</v>
      </c>
      <c r="W245">
        <v>54</v>
      </c>
      <c r="X245">
        <v>0</v>
      </c>
      <c r="Y245">
        <v>6000577</v>
      </c>
      <c r="Z245">
        <v>2</v>
      </c>
      <c r="AA245">
        <v>27</v>
      </c>
      <c r="AB245" t="str">
        <f>""</f>
        <v/>
      </c>
      <c r="AC245" t="str">
        <f>""</f>
        <v/>
      </c>
      <c r="AD245" t="str">
        <f>""</f>
        <v/>
      </c>
      <c r="AE245">
        <v>2021</v>
      </c>
      <c r="AF245">
        <v>2023</v>
      </c>
      <c r="AG245" t="str">
        <f>""</f>
        <v/>
      </c>
      <c r="AH245" t="str">
        <f>""</f>
        <v/>
      </c>
      <c r="AI245" t="str">
        <f>""</f>
        <v/>
      </c>
      <c r="AJ245" t="str">
        <f>""</f>
        <v/>
      </c>
      <c r="AK245" t="str">
        <f>""</f>
        <v/>
      </c>
      <c r="AL245">
        <v>99</v>
      </c>
      <c r="AM245" t="str">
        <f>""</f>
        <v/>
      </c>
      <c r="AN245" t="str">
        <f>""</f>
        <v/>
      </c>
      <c r="AO245" t="str">
        <f>"Jean Rostand"</f>
        <v>Jean Rostand</v>
      </c>
      <c r="AP245" t="str">
        <f>"IFS"</f>
        <v>IFS</v>
      </c>
      <c r="AQ245" t="str">
        <f>"Caen"</f>
        <v>Caen</v>
      </c>
    </row>
    <row r="246" spans="1:43" x14ac:dyDescent="0.25">
      <c r="A246" t="str">
        <f t="shared" si="47"/>
        <v>2A,2A Att,2A ex Prem.A,T00000</v>
      </c>
      <c r="B246" t="str">
        <f>"SOCARD"</f>
        <v>SOCARD</v>
      </c>
      <c r="C246" t="str">
        <f>"André-Raymond"</f>
        <v>André-Raymond</v>
      </c>
      <c r="D246" t="str">
        <f>"022-2295"</f>
        <v>022-2295</v>
      </c>
      <c r="E246" t="str">
        <f>"110959829CD"</f>
        <v>110959829CD</v>
      </c>
      <c r="F246" t="str">
        <f t="shared" si="45"/>
        <v>0352480F</v>
      </c>
      <c r="G246" t="str">
        <f t="shared" si="46"/>
        <v>O</v>
      </c>
      <c r="H246">
        <v>10</v>
      </c>
      <c r="I246">
        <v>2002</v>
      </c>
      <c r="J246">
        <v>1</v>
      </c>
      <c r="K246" t="str">
        <f>"S"</f>
        <v>S</v>
      </c>
      <c r="L246">
        <v>18</v>
      </c>
      <c r="M246">
        <v>2019</v>
      </c>
      <c r="N246" t="str">
        <f t="shared" si="48"/>
        <v>E</v>
      </c>
      <c r="O246" t="str">
        <f>"A"</f>
        <v>A</v>
      </c>
      <c r="P246">
        <v>0</v>
      </c>
      <c r="Q246">
        <v>100</v>
      </c>
      <c r="R246">
        <v>100</v>
      </c>
      <c r="S246">
        <v>35200</v>
      </c>
      <c r="T246">
        <v>100</v>
      </c>
      <c r="U246">
        <v>35200</v>
      </c>
      <c r="V246" t="str">
        <f>""</f>
        <v/>
      </c>
      <c r="W246">
        <v>38</v>
      </c>
      <c r="X246">
        <v>0</v>
      </c>
      <c r="Y246">
        <v>6000577</v>
      </c>
      <c r="Z246">
        <v>2</v>
      </c>
      <c r="AA246">
        <v>27</v>
      </c>
      <c r="AB246" t="str">
        <f>""</f>
        <v/>
      </c>
      <c r="AC246" t="str">
        <f>""</f>
        <v/>
      </c>
      <c r="AD246" t="str">
        <f>""</f>
        <v/>
      </c>
      <c r="AE246">
        <v>2022</v>
      </c>
      <c r="AF246">
        <v>2022</v>
      </c>
      <c r="AG246" t="str">
        <f>"Rennes"</f>
        <v>Rennes</v>
      </c>
      <c r="AH246" t="str">
        <f>"Rennes"</f>
        <v>Rennes</v>
      </c>
      <c r="AI246" t="str">
        <f>""</f>
        <v/>
      </c>
      <c r="AJ246" t="str">
        <f>""</f>
        <v/>
      </c>
      <c r="AK246" t="str">
        <f>""</f>
        <v/>
      </c>
      <c r="AL246">
        <v>34</v>
      </c>
      <c r="AM246" t="str">
        <f>""</f>
        <v/>
      </c>
      <c r="AN246" t="str">
        <f>""</f>
        <v/>
      </c>
      <c r="AO246" t="str">
        <f>"Jean Moulin"</f>
        <v>Jean Moulin</v>
      </c>
      <c r="AP246" t="str">
        <f>"ST AMAND MONTROND"</f>
        <v>ST AMAND MONTROND</v>
      </c>
      <c r="AQ246" t="str">
        <f>"Orléans-Tours"</f>
        <v>Orléans-Tours</v>
      </c>
    </row>
    <row r="247" spans="1:43" x14ac:dyDescent="0.25">
      <c r="A247" t="str">
        <f t="shared" si="47"/>
        <v>2A,2A Att,2A ex Prem.A,T00000</v>
      </c>
      <c r="B247" t="str">
        <f>"VINCLAIR"</f>
        <v>VINCLAIR</v>
      </c>
      <c r="C247" t="str">
        <f>"Marius"</f>
        <v>Marius</v>
      </c>
      <c r="D247" t="str">
        <f>"023-2428"</f>
        <v>023-2428</v>
      </c>
      <c r="E247" t="str">
        <f>"060019631JK"</f>
        <v>060019631JK</v>
      </c>
      <c r="F247" t="str">
        <f t="shared" si="45"/>
        <v>0352480F</v>
      </c>
      <c r="G247" t="str">
        <f t="shared" si="46"/>
        <v>O</v>
      </c>
      <c r="H247">
        <v>10</v>
      </c>
      <c r="I247">
        <v>2003</v>
      </c>
      <c r="J247">
        <v>1</v>
      </c>
      <c r="K247" t="str">
        <f>"NBGE"</f>
        <v>NBGE</v>
      </c>
      <c r="L247">
        <v>5</v>
      </c>
      <c r="M247">
        <v>2021</v>
      </c>
      <c r="N247" t="str">
        <f t="shared" si="48"/>
        <v>E</v>
      </c>
      <c r="O247" t="str">
        <f>"D"</f>
        <v>D</v>
      </c>
      <c r="P247">
        <v>0</v>
      </c>
      <c r="Q247">
        <v>100</v>
      </c>
      <c r="R247">
        <v>100</v>
      </c>
      <c r="S247">
        <v>35131</v>
      </c>
      <c r="T247">
        <v>100</v>
      </c>
      <c r="U247">
        <v>35131</v>
      </c>
      <c r="V247" t="str">
        <f>""</f>
        <v/>
      </c>
      <c r="W247">
        <v>34</v>
      </c>
      <c r="X247">
        <v>0</v>
      </c>
      <c r="Y247">
        <v>6000577</v>
      </c>
      <c r="Z247">
        <v>2</v>
      </c>
      <c r="AA247">
        <v>27</v>
      </c>
      <c r="AB247" t="str">
        <f>""</f>
        <v/>
      </c>
      <c r="AC247" t="str">
        <f>""</f>
        <v/>
      </c>
      <c r="AD247" t="str">
        <f>""</f>
        <v/>
      </c>
      <c r="AE247">
        <v>2021</v>
      </c>
      <c r="AF247">
        <v>2023</v>
      </c>
      <c r="AG247" t="str">
        <f>"Chartres-de-Bretagne"</f>
        <v>Chartres-de-Bretagne</v>
      </c>
      <c r="AH247" t="str">
        <f>"Chartres-de-Bretagne"</f>
        <v>Chartres-de-Bretagne</v>
      </c>
      <c r="AI247" t="str">
        <f>""</f>
        <v/>
      </c>
      <c r="AJ247" t="str">
        <f>""</f>
        <v/>
      </c>
      <c r="AK247" t="str">
        <f>""</f>
        <v/>
      </c>
      <c r="AL247">
        <v>34</v>
      </c>
      <c r="AM247" t="str">
        <f>""</f>
        <v/>
      </c>
      <c r="AN247" t="str">
        <f>""</f>
        <v/>
      </c>
      <c r="AO247" t="str">
        <f>"Lycée Alain"</f>
        <v>Lycée Alain</v>
      </c>
      <c r="AP247" t="str">
        <f>"ALENÇON"</f>
        <v>ALENÇON</v>
      </c>
      <c r="AQ247" t="str">
        <f>"Caen"</f>
        <v>Caen</v>
      </c>
    </row>
    <row r="248" spans="1:43" x14ac:dyDescent="0.25">
      <c r="A248" t="str">
        <f t="shared" si="47"/>
        <v>2A,2A Att,2A ex Prem.A,T00000</v>
      </c>
      <c r="B248" t="str">
        <f>"WINCKELL"</f>
        <v>WINCKELL</v>
      </c>
      <c r="C248" t="str">
        <f>"Romain"</f>
        <v>Romain</v>
      </c>
      <c r="D248" t="str">
        <f>"023-2519"</f>
        <v>023-2519</v>
      </c>
      <c r="E248" t="str">
        <f>"060083864HA"</f>
        <v>060083864HA</v>
      </c>
      <c r="F248" t="str">
        <f t="shared" si="45"/>
        <v>0352480F</v>
      </c>
      <c r="G248" t="str">
        <f t="shared" si="46"/>
        <v>O</v>
      </c>
      <c r="H248">
        <v>10</v>
      </c>
      <c r="I248">
        <v>2003</v>
      </c>
      <c r="J248">
        <v>1</v>
      </c>
      <c r="K248" t="str">
        <f>"ES"</f>
        <v>ES</v>
      </c>
      <c r="L248">
        <v>16</v>
      </c>
      <c r="M248">
        <v>2021</v>
      </c>
      <c r="N248" t="str">
        <f t="shared" si="48"/>
        <v>E</v>
      </c>
      <c r="O248" t="str">
        <f>"D"</f>
        <v>D</v>
      </c>
      <c r="P248">
        <v>0</v>
      </c>
      <c r="Q248">
        <v>100</v>
      </c>
      <c r="R248">
        <v>100</v>
      </c>
      <c r="S248">
        <v>35170</v>
      </c>
      <c r="T248">
        <v>100</v>
      </c>
      <c r="U248">
        <v>35170</v>
      </c>
      <c r="V248" t="str">
        <f>""</f>
        <v/>
      </c>
      <c r="W248">
        <v>38</v>
      </c>
      <c r="X248">
        <v>0</v>
      </c>
      <c r="Y248">
        <v>6000577</v>
      </c>
      <c r="Z248">
        <v>2</v>
      </c>
      <c r="AA248">
        <v>27</v>
      </c>
      <c r="AB248" t="str">
        <f>""</f>
        <v/>
      </c>
      <c r="AC248" t="str">
        <f>""</f>
        <v/>
      </c>
      <c r="AD248" t="str">
        <f>""</f>
        <v/>
      </c>
      <c r="AE248">
        <v>2021</v>
      </c>
      <c r="AF248">
        <v>2023</v>
      </c>
      <c r="AG248" t="str">
        <f>"Bruz"</f>
        <v>Bruz</v>
      </c>
      <c r="AH248" t="str">
        <f>"Bruz"</f>
        <v>Bruz</v>
      </c>
      <c r="AI248" t="str">
        <f>""</f>
        <v/>
      </c>
      <c r="AJ248" t="str">
        <f>""</f>
        <v/>
      </c>
      <c r="AK248" t="str">
        <f>""</f>
        <v/>
      </c>
      <c r="AL248">
        <v>38</v>
      </c>
      <c r="AM248" t="str">
        <f>""</f>
        <v/>
      </c>
      <c r="AN248" t="str">
        <f>""</f>
        <v/>
      </c>
      <c r="AO248" t="str">
        <f>"Lycée Raymond Naves"</f>
        <v>Lycée Raymond Naves</v>
      </c>
      <c r="AP248" t="str">
        <f>"TOULOUSE"</f>
        <v>TOULOUSE</v>
      </c>
      <c r="AQ248" t="str">
        <f>"Toulouse"</f>
        <v>Toulouse</v>
      </c>
    </row>
    <row r="249" spans="1:43" x14ac:dyDescent="0.25">
      <c r="A249" t="str">
        <f t="shared" ref="A249:A269" si="51">"2A,2A Ing,2A AST,T00000"</f>
        <v>2A,2A Ing,2A AST,T00000</v>
      </c>
      <c r="B249" t="str">
        <f>"AANKOUD"</f>
        <v>AANKOUD</v>
      </c>
      <c r="C249" t="str">
        <f>"Nora"</f>
        <v>Nora</v>
      </c>
      <c r="D249" t="str">
        <f>"024-2647"</f>
        <v>024-2647</v>
      </c>
      <c r="E249" t="str">
        <f>"080609755FJ"</f>
        <v>080609755FJ</v>
      </c>
      <c r="F249" t="str">
        <f t="shared" si="45"/>
        <v>0352480F</v>
      </c>
      <c r="G249" t="str">
        <f t="shared" si="46"/>
        <v>O</v>
      </c>
      <c r="H249">
        <v>10</v>
      </c>
      <c r="I249">
        <v>2002</v>
      </c>
      <c r="J249">
        <v>2</v>
      </c>
      <c r="K249" t="str">
        <f>"ES"</f>
        <v>ES</v>
      </c>
      <c r="L249">
        <v>14</v>
      </c>
      <c r="M249">
        <v>2020</v>
      </c>
      <c r="N249" t="str">
        <f>"H"</f>
        <v>H</v>
      </c>
      <c r="O249" t="str">
        <f>"N"</f>
        <v>N</v>
      </c>
      <c r="P249">
        <v>0</v>
      </c>
      <c r="Q249">
        <v>100</v>
      </c>
      <c r="R249">
        <v>100</v>
      </c>
      <c r="S249">
        <v>35000</v>
      </c>
      <c r="T249">
        <v>100</v>
      </c>
      <c r="U249">
        <v>35000</v>
      </c>
      <c r="V249" t="str">
        <f>""</f>
        <v/>
      </c>
      <c r="W249">
        <v>63</v>
      </c>
      <c r="X249">
        <v>0</v>
      </c>
      <c r="Y249">
        <v>6000577</v>
      </c>
      <c r="Z249">
        <v>2</v>
      </c>
      <c r="AA249">
        <v>27</v>
      </c>
      <c r="AB249" t="str">
        <f>""</f>
        <v/>
      </c>
      <c r="AC249" t="str">
        <f>""</f>
        <v/>
      </c>
      <c r="AD249" t="str">
        <f>""</f>
        <v/>
      </c>
      <c r="AE249">
        <v>2020</v>
      </c>
      <c r="AF249">
        <v>2024</v>
      </c>
      <c r="AG249" t="str">
        <f>"RENNES"</f>
        <v>RENNES</v>
      </c>
      <c r="AH249" t="str">
        <f>"RENNES"</f>
        <v>RENNES</v>
      </c>
      <c r="AI249" t="str">
        <f>""</f>
        <v/>
      </c>
      <c r="AJ249" t="str">
        <f>""</f>
        <v/>
      </c>
      <c r="AK249" t="str">
        <f>""</f>
        <v/>
      </c>
      <c r="AL249">
        <v>85</v>
      </c>
      <c r="AM249" t="str">
        <f>""</f>
        <v/>
      </c>
      <c r="AN249" t="str">
        <f>""</f>
        <v/>
      </c>
      <c r="AO249" t="str">
        <f>"Bréquigny"</f>
        <v>Bréquigny</v>
      </c>
      <c r="AP249" t="str">
        <f>"RENNES"</f>
        <v>RENNES</v>
      </c>
      <c r="AQ249" t="str">
        <f>"Rennes"</f>
        <v>Rennes</v>
      </c>
    </row>
    <row r="250" spans="1:43" x14ac:dyDescent="0.25">
      <c r="A250" t="str">
        <f t="shared" si="51"/>
        <v>2A,2A Ing,2A AST,T00000</v>
      </c>
      <c r="B250" t="str">
        <f>"ABDELWAHID"</f>
        <v>ABDELWAHID</v>
      </c>
      <c r="C250" t="str">
        <f>"Ali Nour Guedemi"</f>
        <v>Ali Nour Guedemi</v>
      </c>
      <c r="D250" t="str">
        <f>"024-2612"</f>
        <v>024-2612</v>
      </c>
      <c r="E250" t="str">
        <f>"233403034BF"</f>
        <v>233403034BF</v>
      </c>
      <c r="F250" t="str">
        <f t="shared" si="45"/>
        <v>0352480F</v>
      </c>
      <c r="G250" t="str">
        <f t="shared" si="46"/>
        <v>O</v>
      </c>
      <c r="H250">
        <v>10</v>
      </c>
      <c r="I250">
        <v>1998</v>
      </c>
      <c r="J250">
        <v>1</v>
      </c>
      <c r="K250" t="str">
        <f>"S"</f>
        <v>S</v>
      </c>
      <c r="L250">
        <v>0</v>
      </c>
      <c r="M250">
        <v>2017</v>
      </c>
      <c r="N250" t="str">
        <f>""</f>
        <v/>
      </c>
      <c r="O250" t="str">
        <f>"E"</f>
        <v>E</v>
      </c>
      <c r="P250">
        <v>0</v>
      </c>
      <c r="Q250">
        <v>344</v>
      </c>
      <c r="R250">
        <v>100</v>
      </c>
      <c r="S250">
        <v>35170</v>
      </c>
      <c r="T250">
        <v>100</v>
      </c>
      <c r="U250">
        <v>35170</v>
      </c>
      <c r="V250" t="str">
        <f>""</f>
        <v/>
      </c>
      <c r="W250">
        <v>0</v>
      </c>
      <c r="X250">
        <v>0</v>
      </c>
      <c r="Y250">
        <v>6000577</v>
      </c>
      <c r="Z250">
        <v>2</v>
      </c>
      <c r="AA250">
        <v>27</v>
      </c>
      <c r="AB250" t="str">
        <f>""</f>
        <v/>
      </c>
      <c r="AC250" t="str">
        <f>""</f>
        <v/>
      </c>
      <c r="AD250" t="str">
        <f>""</f>
        <v/>
      </c>
      <c r="AE250">
        <v>2024</v>
      </c>
      <c r="AF250">
        <v>2024</v>
      </c>
      <c r="AG250" t="str">
        <f>"Bruz"</f>
        <v>Bruz</v>
      </c>
      <c r="AH250" t="str">
        <f>"Bruz"</f>
        <v>Bruz</v>
      </c>
      <c r="AI250" t="str">
        <f>""</f>
        <v/>
      </c>
      <c r="AJ250" t="str">
        <f>""</f>
        <v/>
      </c>
      <c r="AK250" t="str">
        <f>""</f>
        <v/>
      </c>
      <c r="AL250">
        <v>0</v>
      </c>
      <c r="AM250" t="str">
        <f>""</f>
        <v/>
      </c>
      <c r="AN250" t="str">
        <f>""</f>
        <v/>
      </c>
      <c r="AO250" t="str">
        <f>"Ibnou Cina"</f>
        <v>Ibnou Cina</v>
      </c>
      <c r="AP250" t="str">
        <f>"N'DJAMÉNA"</f>
        <v>N'DJAMÉNA</v>
      </c>
      <c r="AQ250" t="str">
        <f>"Etranger"</f>
        <v>Etranger</v>
      </c>
    </row>
    <row r="251" spans="1:43" x14ac:dyDescent="0.25">
      <c r="A251" t="str">
        <f t="shared" si="51"/>
        <v>2A,2A Ing,2A AST,T00000</v>
      </c>
      <c r="B251" t="str">
        <f>"AHOUETOGNON"</f>
        <v>AHOUETOGNON</v>
      </c>
      <c r="C251" t="str">
        <f>"Agossou Martin"</f>
        <v>Agossou Martin</v>
      </c>
      <c r="D251" t="str">
        <f>"024-2595"</f>
        <v>024-2595</v>
      </c>
      <c r="E251" t="str">
        <f>"233396584GD"</f>
        <v>233396584GD</v>
      </c>
      <c r="F251" t="str">
        <f t="shared" si="45"/>
        <v>0352480F</v>
      </c>
      <c r="G251" t="str">
        <f t="shared" si="46"/>
        <v>O</v>
      </c>
      <c r="H251">
        <v>10</v>
      </c>
      <c r="I251">
        <v>2000</v>
      </c>
      <c r="J251">
        <v>1</v>
      </c>
      <c r="K251" t="str">
        <f>"C"</f>
        <v>C</v>
      </c>
      <c r="L251">
        <v>0</v>
      </c>
      <c r="M251">
        <v>2018</v>
      </c>
      <c r="N251" t="str">
        <f>"R"</f>
        <v>R</v>
      </c>
      <c r="O251">
        <v>2</v>
      </c>
      <c r="P251">
        <v>0</v>
      </c>
      <c r="Q251">
        <v>327</v>
      </c>
      <c r="R251">
        <v>100</v>
      </c>
      <c r="S251">
        <v>35170</v>
      </c>
      <c r="T251">
        <v>100</v>
      </c>
      <c r="U251">
        <v>35170</v>
      </c>
      <c r="V251" t="str">
        <f>""</f>
        <v/>
      </c>
      <c r="W251">
        <v>10</v>
      </c>
      <c r="X251">
        <v>0</v>
      </c>
      <c r="Y251">
        <v>6000577</v>
      </c>
      <c r="Z251">
        <v>2</v>
      </c>
      <c r="AA251">
        <v>27</v>
      </c>
      <c r="AB251" t="str">
        <f>""</f>
        <v/>
      </c>
      <c r="AC251" t="str">
        <f>""</f>
        <v/>
      </c>
      <c r="AD251" t="str">
        <f>""</f>
        <v/>
      </c>
      <c r="AE251">
        <v>2024</v>
      </c>
      <c r="AF251">
        <v>2024</v>
      </c>
      <c r="AG251" t="str">
        <f>""</f>
        <v/>
      </c>
      <c r="AH251" t="str">
        <f>""</f>
        <v/>
      </c>
      <c r="AI251" t="str">
        <f>""</f>
        <v/>
      </c>
      <c r="AJ251" t="str">
        <f>""</f>
        <v/>
      </c>
      <c r="AK251" t="str">
        <f>""</f>
        <v/>
      </c>
      <c r="AL251">
        <v>10</v>
      </c>
      <c r="AM251" t="str">
        <f>""</f>
        <v/>
      </c>
      <c r="AN251" t="str">
        <f>""</f>
        <v/>
      </c>
      <c r="AO251" t="str">
        <f>"COLEGE D'ENSEIGNEMENT GENERAL 1 DE DOGBO"</f>
        <v>COLEGE D'ENSEIGNEMENT GENERAL 1 DE DOGBO</v>
      </c>
      <c r="AP251" t="str">
        <f>"DOGBO"</f>
        <v>DOGBO</v>
      </c>
      <c r="AQ251" t="str">
        <f>"Etranger"</f>
        <v>Etranger</v>
      </c>
    </row>
    <row r="252" spans="1:43" x14ac:dyDescent="0.25">
      <c r="A252" t="str">
        <f t="shared" si="51"/>
        <v>2A,2A Ing,2A AST,T00000</v>
      </c>
      <c r="B252" t="str">
        <f>"ALAPINI"</f>
        <v>ALAPINI</v>
      </c>
      <c r="C252" t="str">
        <f>"Pascale Mariane"</f>
        <v>Pascale Mariane</v>
      </c>
      <c r="D252" t="str">
        <f>"024-2598"</f>
        <v>024-2598</v>
      </c>
      <c r="E252" t="str">
        <f>"233396586GB"</f>
        <v>233396586GB</v>
      </c>
      <c r="F252" t="str">
        <f t="shared" si="45"/>
        <v>0352480F</v>
      </c>
      <c r="G252" t="str">
        <f t="shared" si="46"/>
        <v>O</v>
      </c>
      <c r="H252">
        <v>10</v>
      </c>
      <c r="I252">
        <v>2002</v>
      </c>
      <c r="J252">
        <v>2</v>
      </c>
      <c r="K252" t="str">
        <f>""</f>
        <v/>
      </c>
      <c r="L252" t="str">
        <f>""</f>
        <v/>
      </c>
      <c r="M252" t="str">
        <f>""</f>
        <v/>
      </c>
      <c r="N252" t="str">
        <f>"R"</f>
        <v>R</v>
      </c>
      <c r="O252" t="str">
        <f>"N"</f>
        <v>N</v>
      </c>
      <c r="P252">
        <v>0</v>
      </c>
      <c r="Q252">
        <v>327</v>
      </c>
      <c r="R252">
        <v>100</v>
      </c>
      <c r="S252">
        <v>35170</v>
      </c>
      <c r="T252">
        <v>100</v>
      </c>
      <c r="U252">
        <v>35170</v>
      </c>
      <c r="V252" t="str">
        <f>""</f>
        <v/>
      </c>
      <c r="W252">
        <v>34</v>
      </c>
      <c r="X252">
        <v>0</v>
      </c>
      <c r="Y252">
        <v>6000577</v>
      </c>
      <c r="Z252">
        <v>2</v>
      </c>
      <c r="AA252">
        <v>27</v>
      </c>
      <c r="AB252" t="str">
        <f>""</f>
        <v/>
      </c>
      <c r="AC252" t="str">
        <f>""</f>
        <v/>
      </c>
      <c r="AD252" t="str">
        <f>""</f>
        <v/>
      </c>
      <c r="AE252">
        <v>2024</v>
      </c>
      <c r="AF252">
        <v>2024</v>
      </c>
      <c r="AG252" t="str">
        <f>"BRUZ"</f>
        <v>BRUZ</v>
      </c>
      <c r="AH252" t="str">
        <f>"BRUZ"</f>
        <v>BRUZ</v>
      </c>
      <c r="AI252" t="str">
        <f>""</f>
        <v/>
      </c>
      <c r="AJ252" t="str">
        <f>""</f>
        <v/>
      </c>
      <c r="AK252" t="str">
        <f>""</f>
        <v/>
      </c>
      <c r="AL252">
        <v>21</v>
      </c>
      <c r="AM252" t="str">
        <f>""</f>
        <v/>
      </c>
      <c r="AN252" t="str">
        <f>""</f>
        <v/>
      </c>
      <c r="AO252" t="str">
        <f>""</f>
        <v/>
      </c>
      <c r="AP252" t="str">
        <f>""</f>
        <v/>
      </c>
      <c r="AQ252" t="str">
        <f>""</f>
        <v/>
      </c>
    </row>
    <row r="253" spans="1:43" x14ac:dyDescent="0.25">
      <c r="A253" t="str">
        <f t="shared" si="51"/>
        <v>2A,2A Ing,2A AST,T00000</v>
      </c>
      <c r="B253" t="str">
        <f>"BOCO"</f>
        <v>BOCO</v>
      </c>
      <c r="C253" t="str">
        <f>"Toussaint"</f>
        <v>Toussaint</v>
      </c>
      <c r="D253" t="str">
        <f>"024-2607"</f>
        <v>024-2607</v>
      </c>
      <c r="E253" t="str">
        <f>"233403023CG"</f>
        <v>233403023CG</v>
      </c>
      <c r="F253" t="str">
        <f t="shared" si="45"/>
        <v>0352480F</v>
      </c>
      <c r="G253" t="str">
        <f t="shared" si="46"/>
        <v>O</v>
      </c>
      <c r="H253">
        <v>10</v>
      </c>
      <c r="I253">
        <v>2001</v>
      </c>
      <c r="J253">
        <v>1</v>
      </c>
      <c r="K253" t="str">
        <f>"C"</f>
        <v>C</v>
      </c>
      <c r="L253">
        <v>0</v>
      </c>
      <c r="M253">
        <v>2019</v>
      </c>
      <c r="N253" t="str">
        <f>"E"</f>
        <v>E</v>
      </c>
      <c r="O253" t="str">
        <f>"N"</f>
        <v>N</v>
      </c>
      <c r="P253">
        <v>0</v>
      </c>
      <c r="Q253">
        <v>327</v>
      </c>
      <c r="R253">
        <v>100</v>
      </c>
      <c r="S253">
        <v>35170</v>
      </c>
      <c r="T253">
        <v>100</v>
      </c>
      <c r="U253">
        <v>35170</v>
      </c>
      <c r="V253" t="str">
        <f>""</f>
        <v/>
      </c>
      <c r="W253">
        <v>99</v>
      </c>
      <c r="X253">
        <v>0</v>
      </c>
      <c r="Y253">
        <v>6000577</v>
      </c>
      <c r="Z253">
        <v>2</v>
      </c>
      <c r="AA253">
        <v>27</v>
      </c>
      <c r="AB253" t="str">
        <f>""</f>
        <v/>
      </c>
      <c r="AC253" t="str">
        <f>""</f>
        <v/>
      </c>
      <c r="AD253" t="str">
        <f>""</f>
        <v/>
      </c>
      <c r="AE253">
        <v>2024</v>
      </c>
      <c r="AF253">
        <v>2024</v>
      </c>
      <c r="AG253" t="str">
        <f>"BRUZ"</f>
        <v>BRUZ</v>
      </c>
      <c r="AH253" t="str">
        <f>"BRUZ"</f>
        <v>BRUZ</v>
      </c>
      <c r="AI253" t="str">
        <f>""</f>
        <v/>
      </c>
      <c r="AJ253" t="str">
        <f>""</f>
        <v/>
      </c>
      <c r="AK253" t="str">
        <f>""</f>
        <v/>
      </c>
      <c r="AL253">
        <v>21</v>
      </c>
      <c r="AM253" t="str">
        <f>""</f>
        <v/>
      </c>
      <c r="AN253" t="str">
        <f>""</f>
        <v/>
      </c>
      <c r="AO253" t="str">
        <f>"Collège d'Enseignement Général 1 de Savè"</f>
        <v>Collège d'Enseignement Général 1 de Savè</v>
      </c>
      <c r="AP253" t="str">
        <f>"SAVÈ"</f>
        <v>SAVÈ</v>
      </c>
      <c r="AQ253" t="str">
        <f>"Etranger"</f>
        <v>Etranger</v>
      </c>
    </row>
    <row r="254" spans="1:43" x14ac:dyDescent="0.25">
      <c r="A254" t="str">
        <f t="shared" si="51"/>
        <v>2A,2A Ing,2A AST,T00000</v>
      </c>
      <c r="B254" t="str">
        <f>"DIALLO"</f>
        <v>DIALLO</v>
      </c>
      <c r="C254" t="str">
        <f>"Abou"</f>
        <v>Abou</v>
      </c>
      <c r="D254" t="str">
        <f>"024-2630"</f>
        <v>024-2630</v>
      </c>
      <c r="E254" t="str">
        <f>"213306055EK"</f>
        <v>213306055EK</v>
      </c>
      <c r="F254" t="str">
        <f t="shared" si="45"/>
        <v>0352480F</v>
      </c>
      <c r="G254" t="str">
        <f t="shared" si="46"/>
        <v>O</v>
      </c>
      <c r="H254">
        <v>10</v>
      </c>
      <c r="I254">
        <v>2001</v>
      </c>
      <c r="J254">
        <v>1</v>
      </c>
      <c r="K254" t="str">
        <f>"C"</f>
        <v>C</v>
      </c>
      <c r="L254">
        <v>0</v>
      </c>
      <c r="M254">
        <v>2029</v>
      </c>
      <c r="N254" t="str">
        <f>"R"</f>
        <v>R</v>
      </c>
      <c r="O254" t="str">
        <f>"N"</f>
        <v>N</v>
      </c>
      <c r="P254">
        <v>0</v>
      </c>
      <c r="Q254">
        <v>336</v>
      </c>
      <c r="R254">
        <v>100</v>
      </c>
      <c r="S254">
        <v>35170</v>
      </c>
      <c r="T254">
        <v>100</v>
      </c>
      <c r="U254">
        <v>35170</v>
      </c>
      <c r="V254" t="str">
        <f>""</f>
        <v/>
      </c>
      <c r="W254">
        <v>33</v>
      </c>
      <c r="X254">
        <v>0</v>
      </c>
      <c r="Y254">
        <v>6000577</v>
      </c>
      <c r="Z254">
        <v>2</v>
      </c>
      <c r="AA254">
        <v>27</v>
      </c>
      <c r="AB254" t="str">
        <f>""</f>
        <v/>
      </c>
      <c r="AC254" t="str">
        <f>""</f>
        <v/>
      </c>
      <c r="AD254" t="str">
        <f>""</f>
        <v/>
      </c>
      <c r="AE254">
        <v>2024</v>
      </c>
      <c r="AF254">
        <v>2024</v>
      </c>
      <c r="AG254" t="str">
        <f>"Bruz"</f>
        <v>Bruz</v>
      </c>
      <c r="AH254" t="str">
        <f>"Bruz"</f>
        <v>Bruz</v>
      </c>
      <c r="AI254" t="str">
        <f>""</f>
        <v/>
      </c>
      <c r="AJ254" t="str">
        <f>""</f>
        <v/>
      </c>
      <c r="AK254" t="str">
        <f>""</f>
        <v/>
      </c>
      <c r="AL254">
        <v>0</v>
      </c>
      <c r="AM254" t="str">
        <f>""</f>
        <v/>
      </c>
      <c r="AN254" t="str">
        <f>""</f>
        <v/>
      </c>
      <c r="AO254" t="str">
        <f>"ZemZem"</f>
        <v>ZemZem</v>
      </c>
      <c r="AP254" t="str">
        <f>"NOUAKCHOTT"</f>
        <v>NOUAKCHOTT</v>
      </c>
      <c r="AQ254" t="str">
        <f>"Etranger"</f>
        <v>Etranger</v>
      </c>
    </row>
    <row r="255" spans="1:43" x14ac:dyDescent="0.25">
      <c r="A255" t="str">
        <f t="shared" si="51"/>
        <v>2A,2A Ing,2A AST,T00000</v>
      </c>
      <c r="B255" t="str">
        <f>"DJIOKO SADIO"</f>
        <v>DJIOKO SADIO</v>
      </c>
      <c r="C255" t="str">
        <f>"Charlin"</f>
        <v>Charlin</v>
      </c>
      <c r="D255" t="str">
        <f>"024-2603"</f>
        <v>024-2603</v>
      </c>
      <c r="E255" t="str">
        <f>"233396600EH"</f>
        <v>233396600EH</v>
      </c>
      <c r="F255" t="str">
        <f t="shared" si="45"/>
        <v>0352480F</v>
      </c>
      <c r="G255" t="str">
        <f t="shared" si="46"/>
        <v>O</v>
      </c>
      <c r="H255">
        <v>10</v>
      </c>
      <c r="I255">
        <v>2000</v>
      </c>
      <c r="J255">
        <v>1</v>
      </c>
      <c r="K255" t="str">
        <f>"C"</f>
        <v>C</v>
      </c>
      <c r="L255">
        <v>0</v>
      </c>
      <c r="M255">
        <v>2018</v>
      </c>
      <c r="N255" t="str">
        <f>"E"</f>
        <v>E</v>
      </c>
      <c r="O255" t="str">
        <f>"I"</f>
        <v>I</v>
      </c>
      <c r="P255">
        <v>0</v>
      </c>
      <c r="Q255">
        <v>322</v>
      </c>
      <c r="R255">
        <v>100</v>
      </c>
      <c r="S255">
        <v>35170</v>
      </c>
      <c r="T255">
        <v>100</v>
      </c>
      <c r="U255">
        <v>35170</v>
      </c>
      <c r="V255" t="str">
        <f>""</f>
        <v/>
      </c>
      <c r="W255">
        <v>22</v>
      </c>
      <c r="X255">
        <v>0</v>
      </c>
      <c r="Y255">
        <v>6000577</v>
      </c>
      <c r="Z255">
        <v>2</v>
      </c>
      <c r="AA255">
        <v>27</v>
      </c>
      <c r="AB255" t="str">
        <f>""</f>
        <v/>
      </c>
      <c r="AC255" t="str">
        <f>""</f>
        <v/>
      </c>
      <c r="AD255" t="str">
        <f>""</f>
        <v/>
      </c>
      <c r="AE255">
        <v>2024</v>
      </c>
      <c r="AF255">
        <v>2024</v>
      </c>
      <c r="AG255" t="str">
        <f>"Bruz"</f>
        <v>Bruz</v>
      </c>
      <c r="AH255" t="str">
        <f>"Bruz"</f>
        <v>Bruz</v>
      </c>
      <c r="AI255" t="str">
        <f>""</f>
        <v/>
      </c>
      <c r="AJ255" t="str">
        <f>""</f>
        <v/>
      </c>
      <c r="AK255" t="str">
        <f>""</f>
        <v/>
      </c>
      <c r="AL255">
        <v>85</v>
      </c>
      <c r="AM255" t="str">
        <f>""</f>
        <v/>
      </c>
      <c r="AN255" t="str">
        <f>""</f>
        <v/>
      </c>
      <c r="AO255" t="str">
        <f>"Lycée Bilingue de Mendong"</f>
        <v>Lycée Bilingue de Mendong</v>
      </c>
      <c r="AP255" t="str">
        <f>"YAOUNDÉ"</f>
        <v>YAOUNDÉ</v>
      </c>
      <c r="AQ255" t="str">
        <f>"Etranger"</f>
        <v>Etranger</v>
      </c>
    </row>
    <row r="256" spans="1:43" x14ac:dyDescent="0.25">
      <c r="A256" t="str">
        <f t="shared" si="51"/>
        <v>2A,2A Ing,2A AST,T00000</v>
      </c>
      <c r="B256" t="str">
        <f>"FANTA"</f>
        <v>FANTA</v>
      </c>
      <c r="C256" t="str">
        <f>"Cynthia"</f>
        <v>Cynthia</v>
      </c>
      <c r="D256" t="str">
        <f>"024-2610"</f>
        <v>024-2610</v>
      </c>
      <c r="E256" t="str">
        <f>""</f>
        <v/>
      </c>
      <c r="F256" t="str">
        <f t="shared" si="45"/>
        <v>0352480F</v>
      </c>
      <c r="G256" t="str">
        <f t="shared" si="46"/>
        <v>O</v>
      </c>
      <c r="H256">
        <v>10</v>
      </c>
      <c r="I256">
        <v>2000</v>
      </c>
      <c r="J256">
        <v>2</v>
      </c>
      <c r="K256" t="str">
        <f>"C"</f>
        <v>C</v>
      </c>
      <c r="L256">
        <v>0</v>
      </c>
      <c r="M256">
        <v>2017</v>
      </c>
      <c r="N256" t="str">
        <f>"E"</f>
        <v>E</v>
      </c>
      <c r="O256">
        <v>2</v>
      </c>
      <c r="P256">
        <v>0</v>
      </c>
      <c r="Q256">
        <v>322</v>
      </c>
      <c r="R256">
        <v>100</v>
      </c>
      <c r="S256" t="str">
        <f>"RENNE"</f>
        <v>RENNE</v>
      </c>
      <c r="T256">
        <v>100</v>
      </c>
      <c r="U256" t="str">
        <f>"RENNE"</f>
        <v>RENNE</v>
      </c>
      <c r="V256" t="str">
        <f>""</f>
        <v/>
      </c>
      <c r="W256">
        <v>86</v>
      </c>
      <c r="X256">
        <v>0</v>
      </c>
      <c r="Y256">
        <v>6000577</v>
      </c>
      <c r="Z256">
        <v>2</v>
      </c>
      <c r="AA256">
        <v>27</v>
      </c>
      <c r="AB256" t="str">
        <f>""</f>
        <v/>
      </c>
      <c r="AC256" t="str">
        <f>""</f>
        <v/>
      </c>
      <c r="AD256" t="str">
        <f>""</f>
        <v/>
      </c>
      <c r="AE256">
        <v>2024</v>
      </c>
      <c r="AF256">
        <v>2024</v>
      </c>
      <c r="AG256" t="str">
        <f>""</f>
        <v/>
      </c>
      <c r="AH256" t="str">
        <f>""</f>
        <v/>
      </c>
      <c r="AI256" t="str">
        <f>""</f>
        <v/>
      </c>
      <c r="AJ256" t="str">
        <f>""</f>
        <v/>
      </c>
      <c r="AK256" t="str">
        <f>""</f>
        <v/>
      </c>
      <c r="AL256">
        <v>99</v>
      </c>
      <c r="AM256" t="str">
        <f>""</f>
        <v/>
      </c>
      <c r="AN256" t="str">
        <f>""</f>
        <v/>
      </c>
      <c r="AO256" t="str">
        <f>"college catholique pere monti"</f>
        <v>college catholique pere monti</v>
      </c>
      <c r="AP256" t="str">
        <f>"YAOUNDE"</f>
        <v>YAOUNDE</v>
      </c>
      <c r="AQ256" t="str">
        <f>"Etranger"</f>
        <v>Etranger</v>
      </c>
    </row>
    <row r="257" spans="1:43" x14ac:dyDescent="0.25">
      <c r="A257" t="str">
        <f t="shared" si="51"/>
        <v>2A,2A Ing,2A AST,T00000</v>
      </c>
      <c r="B257" t="str">
        <f>"GAYE"</f>
        <v>GAYE</v>
      </c>
      <c r="C257" t="str">
        <f>"Babacar"</f>
        <v>Babacar</v>
      </c>
      <c r="D257" t="str">
        <f>"024-2614"</f>
        <v>024-2614</v>
      </c>
      <c r="E257" t="str">
        <f>"203237844EJ"</f>
        <v>203237844EJ</v>
      </c>
      <c r="F257" t="str">
        <f t="shared" si="45"/>
        <v>0352480F</v>
      </c>
      <c r="G257" t="str">
        <f t="shared" si="46"/>
        <v>O</v>
      </c>
      <c r="H257">
        <v>10</v>
      </c>
      <c r="I257">
        <v>2000</v>
      </c>
      <c r="J257">
        <v>1</v>
      </c>
      <c r="K257" t="str">
        <f>""</f>
        <v/>
      </c>
      <c r="L257" t="str">
        <f>""</f>
        <v/>
      </c>
      <c r="M257" t="str">
        <f>""</f>
        <v/>
      </c>
      <c r="N257" t="str">
        <f>""</f>
        <v/>
      </c>
      <c r="O257" t="str">
        <f>""</f>
        <v/>
      </c>
      <c r="P257">
        <v>0</v>
      </c>
      <c r="Q257">
        <v>341</v>
      </c>
      <c r="R257">
        <v>100</v>
      </c>
      <c r="S257">
        <v>35170</v>
      </c>
      <c r="T257">
        <v>100</v>
      </c>
      <c r="U257">
        <v>35170</v>
      </c>
      <c r="V257" t="str">
        <f>""</f>
        <v/>
      </c>
      <c r="W257">
        <v>0</v>
      </c>
      <c r="X257">
        <v>0</v>
      </c>
      <c r="Y257">
        <v>6000577</v>
      </c>
      <c r="Z257">
        <v>2</v>
      </c>
      <c r="AA257">
        <v>27</v>
      </c>
      <c r="AB257" t="str">
        <f>""</f>
        <v/>
      </c>
      <c r="AC257" t="str">
        <f>""</f>
        <v/>
      </c>
      <c r="AD257" t="str">
        <f>""</f>
        <v/>
      </c>
      <c r="AE257">
        <v>2024</v>
      </c>
      <c r="AF257">
        <v>2024</v>
      </c>
      <c r="AG257" t="str">
        <f>"Bruz"</f>
        <v>Bruz</v>
      </c>
      <c r="AH257" t="str">
        <f>"Bruz"</f>
        <v>Bruz</v>
      </c>
      <c r="AI257" t="str">
        <f>""</f>
        <v/>
      </c>
      <c r="AJ257" t="str">
        <f>""</f>
        <v/>
      </c>
      <c r="AK257" t="str">
        <f>""</f>
        <v/>
      </c>
      <c r="AL257">
        <v>0</v>
      </c>
      <c r="AM257" t="str">
        <f>""</f>
        <v/>
      </c>
      <c r="AN257" t="str">
        <f>""</f>
        <v/>
      </c>
      <c r="AO257" t="str">
        <f>""</f>
        <v/>
      </c>
      <c r="AP257" t="str">
        <f>""</f>
        <v/>
      </c>
      <c r="AQ257" t="str">
        <f>""</f>
        <v/>
      </c>
    </row>
    <row r="258" spans="1:43" x14ac:dyDescent="0.25">
      <c r="A258" t="str">
        <f t="shared" si="51"/>
        <v>2A,2A Ing,2A AST,T00000</v>
      </c>
      <c r="B258" t="str">
        <f>"GOZAN"</f>
        <v>GOZAN</v>
      </c>
      <c r="C258" t="str">
        <f>"Richard"</f>
        <v>Richard</v>
      </c>
      <c r="D258" t="str">
        <f>"024-2608"</f>
        <v>024-2608</v>
      </c>
      <c r="E258" t="str">
        <f>"233403026CD"</f>
        <v>233403026CD</v>
      </c>
      <c r="F258" t="str">
        <f t="shared" ref="F258:F321" si="52">"0352480F"</f>
        <v>0352480F</v>
      </c>
      <c r="G258" t="str">
        <f t="shared" ref="G258:G321" si="53">"O"</f>
        <v>O</v>
      </c>
      <c r="H258">
        <v>10</v>
      </c>
      <c r="I258">
        <v>2000</v>
      </c>
      <c r="J258">
        <v>1</v>
      </c>
      <c r="K258" t="str">
        <f>"C"</f>
        <v>C</v>
      </c>
      <c r="L258">
        <v>0</v>
      </c>
      <c r="M258">
        <v>2018</v>
      </c>
      <c r="N258" t="str">
        <f>"R"</f>
        <v>R</v>
      </c>
      <c r="O258">
        <v>2</v>
      </c>
      <c r="P258">
        <v>0</v>
      </c>
      <c r="Q258">
        <v>345</v>
      </c>
      <c r="R258">
        <v>100</v>
      </c>
      <c r="S258">
        <v>35700</v>
      </c>
      <c r="T258">
        <v>100</v>
      </c>
      <c r="U258">
        <v>35700</v>
      </c>
      <c r="V258" t="str">
        <f>""</f>
        <v/>
      </c>
      <c r="W258">
        <v>0</v>
      </c>
      <c r="X258">
        <v>0</v>
      </c>
      <c r="Y258">
        <v>6000577</v>
      </c>
      <c r="Z258">
        <v>2</v>
      </c>
      <c r="AA258">
        <v>27</v>
      </c>
      <c r="AB258" t="str">
        <f>""</f>
        <v/>
      </c>
      <c r="AC258" t="str">
        <f>""</f>
        <v/>
      </c>
      <c r="AD258" t="str">
        <f>""</f>
        <v/>
      </c>
      <c r="AE258">
        <v>2024</v>
      </c>
      <c r="AF258">
        <v>2024</v>
      </c>
      <c r="AG258" t="str">
        <f>"RENNES"</f>
        <v>RENNES</v>
      </c>
      <c r="AH258" t="str">
        <f>"RENNES"</f>
        <v>RENNES</v>
      </c>
      <c r="AI258" t="str">
        <f>""</f>
        <v/>
      </c>
      <c r="AJ258" t="str">
        <f>""</f>
        <v/>
      </c>
      <c r="AK258" t="str">
        <f>""</f>
        <v/>
      </c>
      <c r="AL258">
        <v>0</v>
      </c>
      <c r="AM258" t="str">
        <f>""</f>
        <v/>
      </c>
      <c r="AN258" t="str">
        <f>""</f>
        <v/>
      </c>
      <c r="AO258" t="str">
        <f>"Lycée de Gbenyedzi-Kopé"</f>
        <v>Lycée de Gbenyedzi-Kopé</v>
      </c>
      <c r="AP258" t="str">
        <f>"LOMÉ"</f>
        <v>LOMÉ</v>
      </c>
      <c r="AQ258" t="str">
        <f t="shared" ref="AQ258:AQ265" si="54">"Etranger"</f>
        <v>Etranger</v>
      </c>
    </row>
    <row r="259" spans="1:43" x14ac:dyDescent="0.25">
      <c r="A259" t="str">
        <f t="shared" si="51"/>
        <v>2A,2A Ing,2A AST,T00000</v>
      </c>
      <c r="B259" t="str">
        <f>"HMIDICH"</f>
        <v>HMIDICH</v>
      </c>
      <c r="C259" t="str">
        <f>"Oumayma"</f>
        <v>Oumayma</v>
      </c>
      <c r="D259" t="str">
        <f>"024-2605"</f>
        <v>024-2605</v>
      </c>
      <c r="E259" t="str">
        <f>"233329667FA"</f>
        <v>233329667FA</v>
      </c>
      <c r="F259" t="str">
        <f t="shared" si="52"/>
        <v>0352480F</v>
      </c>
      <c r="G259" t="str">
        <f t="shared" si="53"/>
        <v>O</v>
      </c>
      <c r="H259">
        <v>10</v>
      </c>
      <c r="I259">
        <v>2003</v>
      </c>
      <c r="J259">
        <v>2</v>
      </c>
      <c r="K259">
        <v>31</v>
      </c>
      <c r="L259">
        <v>0</v>
      </c>
      <c r="M259">
        <v>2020</v>
      </c>
      <c r="N259" t="str">
        <f>"R"</f>
        <v>R</v>
      </c>
      <c r="O259">
        <v>2</v>
      </c>
      <c r="P259">
        <v>0</v>
      </c>
      <c r="Q259">
        <v>350</v>
      </c>
      <c r="R259">
        <v>100</v>
      </c>
      <c r="S259">
        <v>35170</v>
      </c>
      <c r="T259">
        <v>100</v>
      </c>
      <c r="U259">
        <v>35170</v>
      </c>
      <c r="V259" t="str">
        <f>""</f>
        <v/>
      </c>
      <c r="W259">
        <v>34</v>
      </c>
      <c r="X259">
        <v>0</v>
      </c>
      <c r="Y259">
        <v>6000577</v>
      </c>
      <c r="Z259">
        <v>2</v>
      </c>
      <c r="AA259">
        <v>27</v>
      </c>
      <c r="AB259" t="str">
        <f>""</f>
        <v/>
      </c>
      <c r="AC259" t="str">
        <f>""</f>
        <v/>
      </c>
      <c r="AD259" t="str">
        <f>""</f>
        <v/>
      </c>
      <c r="AE259">
        <v>2024</v>
      </c>
      <c r="AF259">
        <v>2024</v>
      </c>
      <c r="AG259" t="str">
        <f>"Bruz"</f>
        <v>Bruz</v>
      </c>
      <c r="AH259" t="str">
        <f>"Bruz"</f>
        <v>Bruz</v>
      </c>
      <c r="AI259" t="str">
        <f>""</f>
        <v/>
      </c>
      <c r="AJ259" t="str">
        <f>""</f>
        <v/>
      </c>
      <c r="AK259" t="str">
        <f>""</f>
        <v/>
      </c>
      <c r="AL259">
        <v>47</v>
      </c>
      <c r="AM259" t="str">
        <f>""</f>
        <v/>
      </c>
      <c r="AN259" t="str">
        <f>""</f>
        <v/>
      </c>
      <c r="AO259" t="str">
        <f>"MEHDI BEN BARKA"</f>
        <v>MEHDI BEN BARKA</v>
      </c>
      <c r="AP259" t="str">
        <f>"OUJDA"</f>
        <v>OUJDA</v>
      </c>
      <c r="AQ259" t="str">
        <f t="shared" si="54"/>
        <v>Etranger</v>
      </c>
    </row>
    <row r="260" spans="1:43" x14ac:dyDescent="0.25">
      <c r="A260" t="str">
        <f t="shared" si="51"/>
        <v>2A,2A Ing,2A AST,T00000</v>
      </c>
      <c r="B260" t="str">
        <f>"KABASSINA"</f>
        <v>KABASSINA</v>
      </c>
      <c r="C260" t="str">
        <f>"Ange"</f>
        <v>Ange</v>
      </c>
      <c r="D260" t="str">
        <f>"024-2609"</f>
        <v>024-2609</v>
      </c>
      <c r="E260" t="str">
        <f>"233403027CC"</f>
        <v>233403027CC</v>
      </c>
      <c r="F260" t="str">
        <f t="shared" si="52"/>
        <v>0352480F</v>
      </c>
      <c r="G260" t="str">
        <f t="shared" si="53"/>
        <v>O</v>
      </c>
      <c r="H260">
        <v>10</v>
      </c>
      <c r="I260">
        <v>2003</v>
      </c>
      <c r="J260">
        <v>2</v>
      </c>
      <c r="K260" t="str">
        <f>"C"</f>
        <v>C</v>
      </c>
      <c r="L260">
        <v>0</v>
      </c>
      <c r="M260">
        <v>2020</v>
      </c>
      <c r="N260" t="str">
        <f>"R"</f>
        <v>R</v>
      </c>
      <c r="O260" t="str">
        <f>"E"</f>
        <v>E</v>
      </c>
      <c r="P260">
        <v>0</v>
      </c>
      <c r="Q260">
        <v>345</v>
      </c>
      <c r="R260">
        <v>100</v>
      </c>
      <c r="S260">
        <v>35000</v>
      </c>
      <c r="T260">
        <v>100</v>
      </c>
      <c r="U260">
        <v>35000</v>
      </c>
      <c r="V260" t="str">
        <f>""</f>
        <v/>
      </c>
      <c r="W260">
        <v>77</v>
      </c>
      <c r="X260">
        <v>0</v>
      </c>
      <c r="Y260">
        <v>6000577</v>
      </c>
      <c r="Z260">
        <v>2</v>
      </c>
      <c r="AA260">
        <v>27</v>
      </c>
      <c r="AB260" t="str">
        <f>""</f>
        <v/>
      </c>
      <c r="AC260" t="str">
        <f>""</f>
        <v/>
      </c>
      <c r="AD260" t="str">
        <f>""</f>
        <v/>
      </c>
      <c r="AE260">
        <v>2024</v>
      </c>
      <c r="AF260">
        <v>2024</v>
      </c>
      <c r="AG260" t="str">
        <f>"Rennes"</f>
        <v>Rennes</v>
      </c>
      <c r="AH260" t="str">
        <f>"Rennes"</f>
        <v>Rennes</v>
      </c>
      <c r="AI260" t="str">
        <f>""</f>
        <v/>
      </c>
      <c r="AJ260" t="str">
        <f>""</f>
        <v/>
      </c>
      <c r="AK260" t="str">
        <f>""</f>
        <v/>
      </c>
      <c r="AL260">
        <v>52</v>
      </c>
      <c r="AM260" t="str">
        <f>""</f>
        <v/>
      </c>
      <c r="AN260" t="str">
        <f>""</f>
        <v/>
      </c>
      <c r="AO260" t="str">
        <f>"Collège Chaminade"</f>
        <v>Collège Chaminade</v>
      </c>
      <c r="AP260" t="str">
        <f>"KARA"</f>
        <v>KARA</v>
      </c>
      <c r="AQ260" t="str">
        <f t="shared" si="54"/>
        <v>Etranger</v>
      </c>
    </row>
    <row r="261" spans="1:43" x14ac:dyDescent="0.25">
      <c r="A261" t="str">
        <f t="shared" si="51"/>
        <v>2A,2A Ing,2A AST,T00000</v>
      </c>
      <c r="B261" t="str">
        <f>"KAMBOU"</f>
        <v>KAMBOU</v>
      </c>
      <c r="C261" t="str">
        <f>"Hery Ruth"</f>
        <v>Hery Ruth</v>
      </c>
      <c r="D261" t="str">
        <f>"024-2601"</f>
        <v>024-2601</v>
      </c>
      <c r="E261" t="str">
        <f>"233350195JG"</f>
        <v>233350195JG</v>
      </c>
      <c r="F261" t="str">
        <f t="shared" si="52"/>
        <v>0352480F</v>
      </c>
      <c r="G261" t="str">
        <f t="shared" si="53"/>
        <v>O</v>
      </c>
      <c r="H261">
        <v>10</v>
      </c>
      <c r="I261">
        <v>2000</v>
      </c>
      <c r="J261">
        <v>2</v>
      </c>
      <c r="K261" t="str">
        <f>"S"</f>
        <v>S</v>
      </c>
      <c r="L261">
        <v>0</v>
      </c>
      <c r="M261">
        <v>2018</v>
      </c>
      <c r="N261" t="str">
        <f>"R"</f>
        <v>R</v>
      </c>
      <c r="O261" t="str">
        <f>"N"</f>
        <v>N</v>
      </c>
      <c r="P261">
        <v>0</v>
      </c>
      <c r="Q261">
        <v>326</v>
      </c>
      <c r="R261">
        <v>100</v>
      </c>
      <c r="S261">
        <v>35700</v>
      </c>
      <c r="T261">
        <v>100</v>
      </c>
      <c r="U261">
        <v>35700</v>
      </c>
      <c r="V261" t="str">
        <f>""</f>
        <v/>
      </c>
      <c r="W261">
        <v>42</v>
      </c>
      <c r="X261">
        <v>0</v>
      </c>
      <c r="Y261">
        <v>6000577</v>
      </c>
      <c r="Z261">
        <v>2</v>
      </c>
      <c r="AA261">
        <v>27</v>
      </c>
      <c r="AB261" t="str">
        <f>""</f>
        <v/>
      </c>
      <c r="AC261" t="str">
        <f>""</f>
        <v/>
      </c>
      <c r="AD261" t="str">
        <f>""</f>
        <v/>
      </c>
      <c r="AE261">
        <v>2024</v>
      </c>
      <c r="AF261">
        <v>2024</v>
      </c>
      <c r="AG261" t="str">
        <f>"RENNES"</f>
        <v>RENNES</v>
      </c>
      <c r="AH261" t="str">
        <f>"RENNES"</f>
        <v>RENNES</v>
      </c>
      <c r="AI261" t="str">
        <f>""</f>
        <v/>
      </c>
      <c r="AJ261" t="str">
        <f>""</f>
        <v/>
      </c>
      <c r="AK261" t="str">
        <f>""</f>
        <v/>
      </c>
      <c r="AL261">
        <v>85</v>
      </c>
      <c r="AM261" t="str">
        <f>""</f>
        <v/>
      </c>
      <c r="AN261" t="str">
        <f>""</f>
        <v/>
      </c>
      <c r="AO261" t="str">
        <f>"Lycée moderne 2 de Gagnoa(Côte d'Ivoire)"</f>
        <v>Lycée moderne 2 de Gagnoa(Côte d'Ivoire)</v>
      </c>
      <c r="AP261" t="str">
        <f>"GAGNOA"</f>
        <v>GAGNOA</v>
      </c>
      <c r="AQ261" t="str">
        <f t="shared" si="54"/>
        <v>Etranger</v>
      </c>
    </row>
    <row r="262" spans="1:43" x14ac:dyDescent="0.25">
      <c r="A262" t="str">
        <f t="shared" si="51"/>
        <v>2A,2A Ing,2A AST,T00000</v>
      </c>
      <c r="B262" t="str">
        <f>"KARIM"</f>
        <v>KARIM</v>
      </c>
      <c r="C262" t="str">
        <f>"Hiba"</f>
        <v>Hiba</v>
      </c>
      <c r="D262" t="str">
        <f>"024-2606"</f>
        <v>024-2606</v>
      </c>
      <c r="E262" t="str">
        <f>"233317112KC"</f>
        <v>233317112KC</v>
      </c>
      <c r="F262" t="str">
        <f t="shared" si="52"/>
        <v>0352480F</v>
      </c>
      <c r="G262" t="str">
        <f t="shared" si="53"/>
        <v>O</v>
      </c>
      <c r="H262">
        <v>10</v>
      </c>
      <c r="I262">
        <v>2002</v>
      </c>
      <c r="J262">
        <v>2</v>
      </c>
      <c r="K262">
        <v>31</v>
      </c>
      <c r="L262">
        <v>0</v>
      </c>
      <c r="M262">
        <v>2020</v>
      </c>
      <c r="N262" t="str">
        <f>"R"</f>
        <v>R</v>
      </c>
      <c r="O262" t="str">
        <f>"D"</f>
        <v>D</v>
      </c>
      <c r="P262">
        <v>0</v>
      </c>
      <c r="Q262">
        <v>350</v>
      </c>
      <c r="R262">
        <v>100</v>
      </c>
      <c r="S262" t="str">
        <f>""</f>
        <v/>
      </c>
      <c r="T262">
        <v>100</v>
      </c>
      <c r="U262" t="str">
        <f>""</f>
        <v/>
      </c>
      <c r="V262" t="str">
        <f>"Passage de l'échelon 5 à 6 (validation commission des bourses du 27/09/2024)."</f>
        <v>Passage de l'échelon 5 à 6 (validation commission des bourses du 27/09/2024).</v>
      </c>
      <c r="W262">
        <v>0</v>
      </c>
      <c r="X262">
        <v>0</v>
      </c>
      <c r="Y262">
        <v>6000577</v>
      </c>
      <c r="Z262">
        <v>2</v>
      </c>
      <c r="AA262">
        <v>27</v>
      </c>
      <c r="AB262" t="str">
        <f>""</f>
        <v/>
      </c>
      <c r="AC262" t="str">
        <f>""</f>
        <v/>
      </c>
      <c r="AD262" t="str">
        <f>""</f>
        <v/>
      </c>
      <c r="AE262">
        <v>2024</v>
      </c>
      <c r="AF262">
        <v>2024</v>
      </c>
      <c r="AG262" t="str">
        <f>""</f>
        <v/>
      </c>
      <c r="AH262" t="str">
        <f>""</f>
        <v/>
      </c>
      <c r="AI262" t="str">
        <f>""</f>
        <v/>
      </c>
      <c r="AJ262" t="str">
        <f>""</f>
        <v/>
      </c>
      <c r="AK262" t="str">
        <f>""</f>
        <v/>
      </c>
      <c r="AL262">
        <v>0</v>
      </c>
      <c r="AM262" t="str">
        <f>""</f>
        <v/>
      </c>
      <c r="AN262" t="str">
        <f>""</f>
        <v/>
      </c>
      <c r="AO262" t="str">
        <f>"Hexagone"</f>
        <v>Hexagone</v>
      </c>
      <c r="AP262" t="str">
        <f>"FES"</f>
        <v>FES</v>
      </c>
      <c r="AQ262" t="str">
        <f t="shared" si="54"/>
        <v>Etranger</v>
      </c>
    </row>
    <row r="263" spans="1:43" x14ac:dyDescent="0.25">
      <c r="A263" t="str">
        <f t="shared" si="51"/>
        <v>2A,2A Ing,2A AST,T00000</v>
      </c>
      <c r="B263" t="str">
        <f>"LABOU"</f>
        <v>LABOU</v>
      </c>
      <c r="C263" t="str">
        <f>"Komla Alex"</f>
        <v>Komla Alex</v>
      </c>
      <c r="D263" t="str">
        <f>"024-2599"</f>
        <v>024-2599</v>
      </c>
      <c r="E263" t="str">
        <f>"233396591FG"</f>
        <v>233396591FG</v>
      </c>
      <c r="F263" t="str">
        <f t="shared" si="52"/>
        <v>0352480F</v>
      </c>
      <c r="G263" t="str">
        <f t="shared" si="53"/>
        <v>O</v>
      </c>
      <c r="H263">
        <v>10</v>
      </c>
      <c r="I263">
        <v>2003</v>
      </c>
      <c r="J263">
        <v>1</v>
      </c>
      <c r="K263" t="str">
        <f>"C"</f>
        <v>C</v>
      </c>
      <c r="L263">
        <v>0</v>
      </c>
      <c r="M263">
        <v>2020</v>
      </c>
      <c r="N263" t="str">
        <f>""</f>
        <v/>
      </c>
      <c r="O263" t="str">
        <f>""</f>
        <v/>
      </c>
      <c r="P263">
        <v>0</v>
      </c>
      <c r="Q263">
        <v>345</v>
      </c>
      <c r="R263">
        <v>100</v>
      </c>
      <c r="S263" t="str">
        <f>""</f>
        <v/>
      </c>
      <c r="T263">
        <v>100</v>
      </c>
      <c r="U263" t="str">
        <f>""</f>
        <v/>
      </c>
      <c r="V263" t="str">
        <f>""</f>
        <v/>
      </c>
      <c r="W263">
        <v>0</v>
      </c>
      <c r="X263">
        <v>0</v>
      </c>
      <c r="Y263">
        <v>6000577</v>
      </c>
      <c r="Z263">
        <v>2</v>
      </c>
      <c r="AA263">
        <v>27</v>
      </c>
      <c r="AB263" t="str">
        <f>""</f>
        <v/>
      </c>
      <c r="AC263" t="str">
        <f>""</f>
        <v/>
      </c>
      <c r="AD263" t="str">
        <f>""</f>
        <v/>
      </c>
      <c r="AE263">
        <v>2024</v>
      </c>
      <c r="AF263">
        <v>2024</v>
      </c>
      <c r="AG263" t="str">
        <f>""</f>
        <v/>
      </c>
      <c r="AH263" t="str">
        <f>""</f>
        <v/>
      </c>
      <c r="AI263" t="str">
        <f>""</f>
        <v/>
      </c>
      <c r="AJ263" t="str">
        <f>""</f>
        <v/>
      </c>
      <c r="AK263" t="str">
        <f>""</f>
        <v/>
      </c>
      <c r="AL263">
        <v>0</v>
      </c>
      <c r="AM263" t="str">
        <f>""</f>
        <v/>
      </c>
      <c r="AN263" t="str">
        <f>""</f>
        <v/>
      </c>
      <c r="AO263" t="str">
        <f>"LYCEE SCIENTIFIQUE DE LOME"</f>
        <v>LYCEE SCIENTIFIQUE DE LOME</v>
      </c>
      <c r="AP263" t="str">
        <f>"LOME"</f>
        <v>LOME</v>
      </c>
      <c r="AQ263" t="str">
        <f t="shared" si="54"/>
        <v>Etranger</v>
      </c>
    </row>
    <row r="264" spans="1:43" x14ac:dyDescent="0.25">
      <c r="A264" t="str">
        <f t="shared" si="51"/>
        <v>2A,2A Ing,2A AST,T00000</v>
      </c>
      <c r="B264" t="str">
        <f>"LU"</f>
        <v>LU</v>
      </c>
      <c r="C264" t="str">
        <f>"Victoria"</f>
        <v>Victoria</v>
      </c>
      <c r="D264" t="str">
        <f>"024-2701"</f>
        <v>024-2701</v>
      </c>
      <c r="E264" t="str">
        <f>"233407962DE"</f>
        <v>233407962DE</v>
      </c>
      <c r="F264" t="str">
        <f t="shared" si="52"/>
        <v>0352480F</v>
      </c>
      <c r="G264" t="str">
        <f t="shared" si="53"/>
        <v>O</v>
      </c>
      <c r="H264">
        <v>10</v>
      </c>
      <c r="I264">
        <v>2004</v>
      </c>
      <c r="J264">
        <v>2</v>
      </c>
      <c r="K264">
        <v>37</v>
      </c>
      <c r="L264">
        <v>0</v>
      </c>
      <c r="M264">
        <v>2022</v>
      </c>
      <c r="N264" t="str">
        <f>"R"</f>
        <v>R</v>
      </c>
      <c r="O264">
        <v>1</v>
      </c>
      <c r="P264">
        <v>0</v>
      </c>
      <c r="Q264">
        <v>109</v>
      </c>
      <c r="R264">
        <v>100</v>
      </c>
      <c r="S264">
        <v>35170</v>
      </c>
      <c r="T264">
        <v>100</v>
      </c>
      <c r="U264">
        <v>35170</v>
      </c>
      <c r="V264" t="str">
        <f>""</f>
        <v/>
      </c>
      <c r="W264">
        <v>77</v>
      </c>
      <c r="X264">
        <v>0</v>
      </c>
      <c r="Y264">
        <v>6000577</v>
      </c>
      <c r="Z264">
        <v>2</v>
      </c>
      <c r="AA264">
        <v>27</v>
      </c>
      <c r="AB264" t="str">
        <f>""</f>
        <v/>
      </c>
      <c r="AC264" t="str">
        <f>""</f>
        <v/>
      </c>
      <c r="AD264" t="str">
        <f>""</f>
        <v/>
      </c>
      <c r="AE264">
        <v>2024</v>
      </c>
      <c r="AF264">
        <v>2024</v>
      </c>
      <c r="AG264" t="str">
        <f>"Bruz"</f>
        <v>Bruz</v>
      </c>
      <c r="AH264" t="str">
        <f>"Bruz"</f>
        <v>Bruz</v>
      </c>
      <c r="AI264" t="str">
        <f>""</f>
        <v/>
      </c>
      <c r="AJ264" t="str">
        <f>""</f>
        <v/>
      </c>
      <c r="AK264" t="str">
        <f>""</f>
        <v/>
      </c>
      <c r="AL264">
        <v>46</v>
      </c>
      <c r="AM264" t="str">
        <f>""</f>
        <v/>
      </c>
      <c r="AN264" t="str">
        <f>""</f>
        <v/>
      </c>
      <c r="AO264" t="str">
        <f>"Werner-von-Siemens-Gymnasium"</f>
        <v>Werner-von-Siemens-Gymnasium</v>
      </c>
      <c r="AP264" t="str">
        <f>"MUNICH"</f>
        <v>MUNICH</v>
      </c>
      <c r="AQ264" t="str">
        <f t="shared" si="54"/>
        <v>Etranger</v>
      </c>
    </row>
    <row r="265" spans="1:43" x14ac:dyDescent="0.25">
      <c r="A265" t="str">
        <f t="shared" si="51"/>
        <v>2A,2A Ing,2A AST,T00000</v>
      </c>
      <c r="B265" t="str">
        <f>"MINTOAMA"</f>
        <v>MINTOAMA</v>
      </c>
      <c r="C265" t="str">
        <f>"Yatoute"</f>
        <v>Yatoute</v>
      </c>
      <c r="D265" t="str">
        <f>"024-2600"</f>
        <v>024-2600</v>
      </c>
      <c r="E265" t="str">
        <f>"233396593FE"</f>
        <v>233396593FE</v>
      </c>
      <c r="F265" t="str">
        <f t="shared" si="52"/>
        <v>0352480F</v>
      </c>
      <c r="G265" t="str">
        <f t="shared" si="53"/>
        <v>O</v>
      </c>
      <c r="H265">
        <v>10</v>
      </c>
      <c r="I265">
        <v>1998</v>
      </c>
      <c r="J265">
        <v>1</v>
      </c>
      <c r="K265" t="str">
        <f>"C"</f>
        <v>C</v>
      </c>
      <c r="L265">
        <v>0</v>
      </c>
      <c r="M265">
        <v>2018</v>
      </c>
      <c r="N265" t="str">
        <f>"E"</f>
        <v>E</v>
      </c>
      <c r="O265" t="str">
        <f>"Z"</f>
        <v>Z</v>
      </c>
      <c r="P265">
        <v>0</v>
      </c>
      <c r="Q265">
        <v>345</v>
      </c>
      <c r="R265">
        <v>100</v>
      </c>
      <c r="S265">
        <v>35700</v>
      </c>
      <c r="T265">
        <v>100</v>
      </c>
      <c r="U265">
        <v>35700</v>
      </c>
      <c r="V265" t="str">
        <f>""</f>
        <v/>
      </c>
      <c r="W265">
        <v>10</v>
      </c>
      <c r="X265">
        <v>0</v>
      </c>
      <c r="Y265">
        <v>6000577</v>
      </c>
      <c r="Z265">
        <v>2</v>
      </c>
      <c r="AA265">
        <v>27</v>
      </c>
      <c r="AB265" t="str">
        <f>""</f>
        <v/>
      </c>
      <c r="AC265" t="str">
        <f>""</f>
        <v/>
      </c>
      <c r="AD265" t="str">
        <f>""</f>
        <v/>
      </c>
      <c r="AE265">
        <v>2024</v>
      </c>
      <c r="AF265">
        <v>2024</v>
      </c>
      <c r="AG265" t="str">
        <f>""</f>
        <v/>
      </c>
      <c r="AH265" t="str">
        <f>""</f>
        <v/>
      </c>
      <c r="AI265" t="str">
        <f>""</f>
        <v/>
      </c>
      <c r="AJ265" t="str">
        <f>""</f>
        <v/>
      </c>
      <c r="AK265" t="str">
        <f>""</f>
        <v/>
      </c>
      <c r="AL265">
        <v>10</v>
      </c>
      <c r="AM265" t="str">
        <f>""</f>
        <v/>
      </c>
      <c r="AN265" t="str">
        <f>""</f>
        <v/>
      </c>
      <c r="AO265" t="str">
        <f>"Lycée NASSABLE"</f>
        <v>Lycée NASSABLE</v>
      </c>
      <c r="AP265" t="str">
        <f>"DAPAONG"</f>
        <v>DAPAONG</v>
      </c>
      <c r="AQ265" t="str">
        <f t="shared" si="54"/>
        <v>Etranger</v>
      </c>
    </row>
    <row r="266" spans="1:43" x14ac:dyDescent="0.25">
      <c r="A266" t="str">
        <f t="shared" si="51"/>
        <v>2A,2A Ing,2A AST,T00000</v>
      </c>
      <c r="B266" t="str">
        <f>"MOUNTEKA NDONDON"</f>
        <v>MOUNTEKA NDONDON</v>
      </c>
      <c r="C266" t="str">
        <f>"Davick"</f>
        <v>Davick</v>
      </c>
      <c r="D266" t="str">
        <f>"024-2604"</f>
        <v>024-2604</v>
      </c>
      <c r="E266" t="str">
        <f>"233402847AJ"</f>
        <v>233402847AJ</v>
      </c>
      <c r="F266" t="str">
        <f t="shared" si="52"/>
        <v>0352480F</v>
      </c>
      <c r="G266" t="str">
        <f t="shared" si="53"/>
        <v>O</v>
      </c>
      <c r="H266">
        <v>10</v>
      </c>
      <c r="I266">
        <v>2002</v>
      </c>
      <c r="J266">
        <v>1</v>
      </c>
      <c r="K266" t="str">
        <f>"C"</f>
        <v>C</v>
      </c>
      <c r="L266">
        <v>99</v>
      </c>
      <c r="M266">
        <v>2024</v>
      </c>
      <c r="N266" t="str">
        <f>"R"</f>
        <v>R</v>
      </c>
      <c r="O266">
        <v>2</v>
      </c>
      <c r="P266">
        <v>0</v>
      </c>
      <c r="Q266">
        <v>324</v>
      </c>
      <c r="R266">
        <v>100</v>
      </c>
      <c r="S266">
        <v>35170</v>
      </c>
      <c r="T266">
        <v>100</v>
      </c>
      <c r="U266">
        <v>35170</v>
      </c>
      <c r="V266" t="str">
        <f>""</f>
        <v/>
      </c>
      <c r="W266">
        <v>74</v>
      </c>
      <c r="X266">
        <v>0</v>
      </c>
      <c r="Y266">
        <v>6000577</v>
      </c>
      <c r="Z266">
        <v>2</v>
      </c>
      <c r="AA266">
        <v>27</v>
      </c>
      <c r="AB266" t="str">
        <f>""</f>
        <v/>
      </c>
      <c r="AC266" t="str">
        <f>""</f>
        <v/>
      </c>
      <c r="AD266" t="str">
        <f>""</f>
        <v/>
      </c>
      <c r="AE266">
        <v>2024</v>
      </c>
      <c r="AF266">
        <v>2024</v>
      </c>
      <c r="AG266" t="str">
        <f>"BRUZ"</f>
        <v>BRUZ</v>
      </c>
      <c r="AH266" t="str">
        <f>"BRUZ"</f>
        <v>BRUZ</v>
      </c>
      <c r="AI266" t="str">
        <f>""</f>
        <v/>
      </c>
      <c r="AJ266" t="str">
        <f>""</f>
        <v/>
      </c>
      <c r="AK266" t="str">
        <f>""</f>
        <v/>
      </c>
      <c r="AL266">
        <v>85</v>
      </c>
      <c r="AM266" t="str">
        <f>""</f>
        <v/>
      </c>
      <c r="AN266" t="str">
        <f>""</f>
        <v/>
      </c>
      <c r="AO266" t="str">
        <f>"LYCEE INTERDEPARTEMENTAL DE OUESSO"</f>
        <v>LYCEE INTERDEPARTEMENTAL DE OUESSO</v>
      </c>
      <c r="AP266" t="str">
        <f>"OUESSO"</f>
        <v>OUESSO</v>
      </c>
      <c r="AQ266" t="str">
        <f>"Non défini ou sans objet"</f>
        <v>Non défini ou sans objet</v>
      </c>
    </row>
    <row r="267" spans="1:43" x14ac:dyDescent="0.25">
      <c r="A267" t="str">
        <f t="shared" si="51"/>
        <v>2A,2A Ing,2A AST,T00000</v>
      </c>
      <c r="B267" t="str">
        <f>"OROSAKIN"</f>
        <v>OROSAKIN</v>
      </c>
      <c r="C267" t="str">
        <f>"Daouda"</f>
        <v>Daouda</v>
      </c>
      <c r="D267" t="str">
        <f>"024-2602"</f>
        <v>024-2602</v>
      </c>
      <c r="E267" t="str">
        <f>"233396596FB"</f>
        <v>233396596FB</v>
      </c>
      <c r="F267" t="str">
        <f t="shared" si="52"/>
        <v>0352480F</v>
      </c>
      <c r="G267" t="str">
        <f t="shared" si="53"/>
        <v>O</v>
      </c>
      <c r="H267">
        <v>10</v>
      </c>
      <c r="I267">
        <v>2004</v>
      </c>
      <c r="J267">
        <v>1</v>
      </c>
      <c r="K267" t="str">
        <f>""</f>
        <v/>
      </c>
      <c r="L267" t="str">
        <f>""</f>
        <v/>
      </c>
      <c r="M267" t="str">
        <f>""</f>
        <v/>
      </c>
      <c r="N267" t="str">
        <f>""</f>
        <v/>
      </c>
      <c r="O267" t="str">
        <f>""</f>
        <v/>
      </c>
      <c r="P267">
        <v>0</v>
      </c>
      <c r="Q267">
        <v>326</v>
      </c>
      <c r="R267">
        <v>100</v>
      </c>
      <c r="S267">
        <v>35700</v>
      </c>
      <c r="T267">
        <v>100</v>
      </c>
      <c r="U267">
        <v>35700</v>
      </c>
      <c r="V267" t="str">
        <f>""</f>
        <v/>
      </c>
      <c r="W267">
        <v>0</v>
      </c>
      <c r="X267">
        <v>0</v>
      </c>
      <c r="Y267">
        <v>6000577</v>
      </c>
      <c r="Z267">
        <v>2</v>
      </c>
      <c r="AA267">
        <v>27</v>
      </c>
      <c r="AB267" t="str">
        <f>""</f>
        <v/>
      </c>
      <c r="AC267" t="str">
        <f>""</f>
        <v/>
      </c>
      <c r="AD267" t="str">
        <f>""</f>
        <v/>
      </c>
      <c r="AE267">
        <v>2024</v>
      </c>
      <c r="AF267">
        <v>2024</v>
      </c>
      <c r="AG267" t="str">
        <f>"Renes"</f>
        <v>Renes</v>
      </c>
      <c r="AH267" t="str">
        <f>"Renes"</f>
        <v>Renes</v>
      </c>
      <c r="AI267" t="str">
        <f>""</f>
        <v/>
      </c>
      <c r="AJ267" t="str">
        <f>""</f>
        <v/>
      </c>
      <c r="AK267" t="str">
        <f>""</f>
        <v/>
      </c>
      <c r="AL267">
        <v>0</v>
      </c>
      <c r="AM267" t="str">
        <f>""</f>
        <v/>
      </c>
      <c r="AN267" t="str">
        <f>""</f>
        <v/>
      </c>
      <c r="AO267" t="str">
        <f>""</f>
        <v/>
      </c>
      <c r="AP267" t="str">
        <f>""</f>
        <v/>
      </c>
      <c r="AQ267" t="str">
        <f>""</f>
        <v/>
      </c>
    </row>
    <row r="268" spans="1:43" x14ac:dyDescent="0.25">
      <c r="A268" t="str">
        <f t="shared" si="51"/>
        <v>2A,2A Ing,2A AST,T00000</v>
      </c>
      <c r="B268" t="str">
        <f>"RAZAFINDRATSIZA"</f>
        <v>RAZAFINDRATSIZA</v>
      </c>
      <c r="C268" t="str">
        <f>"Junior"</f>
        <v>Junior</v>
      </c>
      <c r="D268" t="str">
        <f>"024-2613"</f>
        <v>024-2613</v>
      </c>
      <c r="E268" t="str">
        <f>"233358079FK"</f>
        <v>233358079FK</v>
      </c>
      <c r="F268" t="str">
        <f t="shared" si="52"/>
        <v>0352480F</v>
      </c>
      <c r="G268" t="str">
        <f t="shared" si="53"/>
        <v>O</v>
      </c>
      <c r="H268">
        <v>10</v>
      </c>
      <c r="I268">
        <v>2001</v>
      </c>
      <c r="J268">
        <v>1</v>
      </c>
      <c r="K268" t="str">
        <f>"D"</f>
        <v>D</v>
      </c>
      <c r="L268">
        <v>0</v>
      </c>
      <c r="M268">
        <v>2018</v>
      </c>
      <c r="N268" t="str">
        <f>"R"</f>
        <v>R</v>
      </c>
      <c r="O268">
        <v>2</v>
      </c>
      <c r="P268">
        <v>0</v>
      </c>
      <c r="Q268">
        <v>333</v>
      </c>
      <c r="R268">
        <v>100</v>
      </c>
      <c r="S268">
        <v>35200</v>
      </c>
      <c r="T268">
        <v>100</v>
      </c>
      <c r="U268">
        <v>35200</v>
      </c>
      <c r="V268" t="str">
        <f>""</f>
        <v/>
      </c>
      <c r="W268">
        <v>77</v>
      </c>
      <c r="X268">
        <v>0</v>
      </c>
      <c r="Y268">
        <v>6000577</v>
      </c>
      <c r="Z268">
        <v>2</v>
      </c>
      <c r="AA268">
        <v>27</v>
      </c>
      <c r="AB268" t="str">
        <f>""</f>
        <v/>
      </c>
      <c r="AC268" t="str">
        <f>""</f>
        <v/>
      </c>
      <c r="AD268" t="str">
        <f>""</f>
        <v/>
      </c>
      <c r="AE268">
        <v>2024</v>
      </c>
      <c r="AF268">
        <v>2024</v>
      </c>
      <c r="AG268" t="str">
        <f>"Rennes"</f>
        <v>Rennes</v>
      </c>
      <c r="AH268" t="str">
        <f>"Rennes"</f>
        <v>Rennes</v>
      </c>
      <c r="AI268" t="str">
        <f>""</f>
        <v/>
      </c>
      <c r="AJ268" t="str">
        <f>""</f>
        <v/>
      </c>
      <c r="AK268" t="str">
        <f>""</f>
        <v/>
      </c>
      <c r="AL268">
        <v>85</v>
      </c>
      <c r="AM268" t="str">
        <f>""</f>
        <v/>
      </c>
      <c r="AN268" t="str">
        <f>""</f>
        <v/>
      </c>
      <c r="AO268" t="str">
        <f>"Lycée Privé La pie"</f>
        <v>Lycée Privé La pie</v>
      </c>
      <c r="AP268" t="str">
        <f>"MAMPIKONY"</f>
        <v>MAMPIKONY</v>
      </c>
      <c r="AQ268" t="str">
        <f>"Etranger"</f>
        <v>Etranger</v>
      </c>
    </row>
    <row r="269" spans="1:43" x14ac:dyDescent="0.25">
      <c r="A269" t="str">
        <f t="shared" si="51"/>
        <v>2A,2A Ing,2A AST,T00000</v>
      </c>
      <c r="B269" t="str">
        <f>"TEGUEM"</f>
        <v>TEGUEM</v>
      </c>
      <c r="C269" t="str">
        <f>"Michèle"</f>
        <v>Michèle</v>
      </c>
      <c r="D269" t="str">
        <f>"024-2611"</f>
        <v>024-2611</v>
      </c>
      <c r="E269" t="str">
        <f>"233403033BG"</f>
        <v>233403033BG</v>
      </c>
      <c r="F269" t="str">
        <f t="shared" si="52"/>
        <v>0352480F</v>
      </c>
      <c r="G269" t="str">
        <f t="shared" si="53"/>
        <v>O</v>
      </c>
      <c r="H269">
        <v>10</v>
      </c>
      <c r="I269">
        <v>2000</v>
      </c>
      <c r="J269">
        <v>2</v>
      </c>
      <c r="K269" t="str">
        <f>"C"</f>
        <v>C</v>
      </c>
      <c r="L269" t="str">
        <f>""</f>
        <v/>
      </c>
      <c r="M269">
        <v>2018</v>
      </c>
      <c r="N269" t="str">
        <f>"R"</f>
        <v>R</v>
      </c>
      <c r="O269" t="str">
        <f>"Q"</f>
        <v>Q</v>
      </c>
      <c r="P269">
        <v>0</v>
      </c>
      <c r="Q269">
        <v>322</v>
      </c>
      <c r="R269">
        <v>100</v>
      </c>
      <c r="S269">
        <v>35700</v>
      </c>
      <c r="T269">
        <v>100</v>
      </c>
      <c r="U269">
        <v>35700</v>
      </c>
      <c r="V269" t="str">
        <f>""</f>
        <v/>
      </c>
      <c r="W269">
        <v>55</v>
      </c>
      <c r="X269">
        <v>0</v>
      </c>
      <c r="Y269">
        <v>6000577</v>
      </c>
      <c r="Z269">
        <v>2</v>
      </c>
      <c r="AA269">
        <v>27</v>
      </c>
      <c r="AB269" t="str">
        <f>""</f>
        <v/>
      </c>
      <c r="AC269" t="str">
        <f>""</f>
        <v/>
      </c>
      <c r="AD269" t="str">
        <f>""</f>
        <v/>
      </c>
      <c r="AE269">
        <v>2024</v>
      </c>
      <c r="AF269">
        <v>2024</v>
      </c>
      <c r="AG269" t="str">
        <f>""</f>
        <v/>
      </c>
      <c r="AH269" t="str">
        <f>""</f>
        <v/>
      </c>
      <c r="AI269" t="str">
        <f>""</f>
        <v/>
      </c>
      <c r="AJ269" t="str">
        <f>""</f>
        <v/>
      </c>
      <c r="AK269" t="str">
        <f>""</f>
        <v/>
      </c>
      <c r="AL269">
        <v>0</v>
      </c>
      <c r="AM269" t="str">
        <f>""</f>
        <v/>
      </c>
      <c r="AN269" t="str">
        <f>""</f>
        <v/>
      </c>
      <c r="AO269" t="str">
        <f>"COLLEGE ADVENTISTE DE YAOUNDE"</f>
        <v>COLLEGE ADVENTISTE DE YAOUNDE</v>
      </c>
      <c r="AP269" t="str">
        <f>"YAOUNDE"</f>
        <v>YAOUNDE</v>
      </c>
      <c r="AQ269" t="str">
        <f>""</f>
        <v/>
      </c>
    </row>
    <row r="270" spans="1:43" x14ac:dyDescent="0.25">
      <c r="A270" t="str">
        <f>"2A,2A Ing,2A AST,T02650"</f>
        <v>2A,2A Ing,2A AST,T02650</v>
      </c>
      <c r="B270" t="str">
        <f>"ROBIN"</f>
        <v>ROBIN</v>
      </c>
      <c r="C270" t="str">
        <f>"Jules"</f>
        <v>Jules</v>
      </c>
      <c r="D270" t="str">
        <f>"024-2678"</f>
        <v>024-2678</v>
      </c>
      <c r="E270" t="str">
        <f>"090502603EG"</f>
        <v>090502603EG</v>
      </c>
      <c r="F270" t="str">
        <f t="shared" si="52"/>
        <v>0352480F</v>
      </c>
      <c r="G270" t="str">
        <f t="shared" si="53"/>
        <v>O</v>
      </c>
      <c r="H270">
        <v>10</v>
      </c>
      <c r="I270">
        <v>2003</v>
      </c>
      <c r="J270">
        <v>1</v>
      </c>
      <c r="K270" t="str">
        <f>"S"</f>
        <v>S</v>
      </c>
      <c r="L270">
        <v>14</v>
      </c>
      <c r="M270">
        <v>2020</v>
      </c>
      <c r="N270" t="str">
        <f t="shared" ref="N270:N301" si="55">"E"</f>
        <v>E</v>
      </c>
      <c r="O270" t="str">
        <f>"A"</f>
        <v>A</v>
      </c>
      <c r="P270">
        <v>0</v>
      </c>
      <c r="Q270">
        <v>100</v>
      </c>
      <c r="R270">
        <v>100</v>
      </c>
      <c r="S270">
        <v>35000</v>
      </c>
      <c r="T270">
        <v>100</v>
      </c>
      <c r="U270">
        <v>35000</v>
      </c>
      <c r="V270" t="str">
        <f>""</f>
        <v/>
      </c>
      <c r="W270">
        <v>31</v>
      </c>
      <c r="X270">
        <v>0</v>
      </c>
      <c r="Y270">
        <v>6000577</v>
      </c>
      <c r="Z270">
        <v>2</v>
      </c>
      <c r="AA270">
        <v>27</v>
      </c>
      <c r="AB270" t="str">
        <f>""</f>
        <v/>
      </c>
      <c r="AC270" t="str">
        <f>""</f>
        <v/>
      </c>
      <c r="AD270" t="str">
        <f>""</f>
        <v/>
      </c>
      <c r="AE270">
        <v>2020</v>
      </c>
      <c r="AF270">
        <v>2024</v>
      </c>
      <c r="AG270" t="str">
        <f>"Rennes"</f>
        <v>Rennes</v>
      </c>
      <c r="AH270" t="str">
        <f>"Rennes"</f>
        <v>Rennes</v>
      </c>
      <c r="AI270" t="str">
        <f>""</f>
        <v/>
      </c>
      <c r="AJ270" t="str">
        <f>""</f>
        <v/>
      </c>
      <c r="AK270" t="str">
        <f>""</f>
        <v/>
      </c>
      <c r="AL270">
        <v>42</v>
      </c>
      <c r="AM270" t="str">
        <f>""</f>
        <v/>
      </c>
      <c r="AN270" t="str">
        <f>""</f>
        <v/>
      </c>
      <c r="AO270" t="str">
        <f>"Fulgence Bienvenüe"</f>
        <v>Fulgence Bienvenüe</v>
      </c>
      <c r="AP270" t="str">
        <f>"LOUDÉAC"</f>
        <v>LOUDÉAC</v>
      </c>
      <c r="AQ270" t="str">
        <f>"Rennes"</f>
        <v>Rennes</v>
      </c>
    </row>
    <row r="271" spans="1:43" x14ac:dyDescent="0.25">
      <c r="A271" t="str">
        <f t="shared" ref="A271:A311" si="56">"2A,2A Ing,2A ex Prem.A,T00000"</f>
        <v>2A,2A Ing,2A ex Prem.A,T00000</v>
      </c>
      <c r="B271" t="str">
        <f>"ABOUZEID"</f>
        <v>ABOUZEID</v>
      </c>
      <c r="C271" t="str">
        <f>"Sarah"</f>
        <v>Sarah</v>
      </c>
      <c r="D271" t="str">
        <f>"023-2436"</f>
        <v>023-2436</v>
      </c>
      <c r="E271" t="str">
        <f>"9921D21321K"</f>
        <v>9921D21321K</v>
      </c>
      <c r="F271" t="str">
        <f t="shared" si="52"/>
        <v>0352480F</v>
      </c>
      <c r="G271" t="str">
        <f t="shared" si="53"/>
        <v>O</v>
      </c>
      <c r="H271">
        <v>10</v>
      </c>
      <c r="I271">
        <v>2003</v>
      </c>
      <c r="J271">
        <v>2</v>
      </c>
      <c r="K271" t="str">
        <f>"S"</f>
        <v>S</v>
      </c>
      <c r="L271">
        <v>4</v>
      </c>
      <c r="M271">
        <v>2021</v>
      </c>
      <c r="N271" t="str">
        <f t="shared" si="55"/>
        <v>E</v>
      </c>
      <c r="O271" t="str">
        <f>"D"</f>
        <v>D</v>
      </c>
      <c r="P271">
        <v>0</v>
      </c>
      <c r="Q271">
        <v>100</v>
      </c>
      <c r="R271">
        <v>100</v>
      </c>
      <c r="S271">
        <v>35170</v>
      </c>
      <c r="T271">
        <v>100</v>
      </c>
      <c r="U271">
        <v>35170</v>
      </c>
      <c r="V271" t="str">
        <f>"TOEIC 1A le 24/05/20024 950"</f>
        <v>TOEIC 1A le 24/05/20024 950</v>
      </c>
      <c r="W271">
        <v>23</v>
      </c>
      <c r="X271">
        <v>0</v>
      </c>
      <c r="Y271">
        <v>6000577</v>
      </c>
      <c r="Z271">
        <v>2</v>
      </c>
      <c r="AA271">
        <v>27</v>
      </c>
      <c r="AB271" t="str">
        <f>""</f>
        <v/>
      </c>
      <c r="AC271" t="str">
        <f>""</f>
        <v/>
      </c>
      <c r="AD271" t="str">
        <f>""</f>
        <v/>
      </c>
      <c r="AE271">
        <v>2021</v>
      </c>
      <c r="AF271">
        <v>2023</v>
      </c>
      <c r="AG271" t="str">
        <f>"Bruz"</f>
        <v>Bruz</v>
      </c>
      <c r="AH271" t="str">
        <f>"Bruz"</f>
        <v>Bruz</v>
      </c>
      <c r="AI271" t="str">
        <f>""</f>
        <v/>
      </c>
      <c r="AJ271" t="str">
        <f>""</f>
        <v/>
      </c>
      <c r="AK271" t="str">
        <f>""</f>
        <v/>
      </c>
      <c r="AL271">
        <v>34</v>
      </c>
      <c r="AM271" t="str">
        <f>""</f>
        <v/>
      </c>
      <c r="AN271" t="str">
        <f>""</f>
        <v/>
      </c>
      <c r="AO271" t="str">
        <f>"Lycée Paul Valery"</f>
        <v>Lycée Paul Valery</v>
      </c>
      <c r="AP271" t="str">
        <f>"MEKNES MAROC"</f>
        <v>MEKNES MAROC</v>
      </c>
      <c r="AQ271" t="str">
        <f>"Bordeaux"</f>
        <v>Bordeaux</v>
      </c>
    </row>
    <row r="272" spans="1:43" x14ac:dyDescent="0.25">
      <c r="A272" t="str">
        <f t="shared" si="56"/>
        <v>2A,2A Ing,2A ex Prem.A,T00000</v>
      </c>
      <c r="B272" t="str">
        <f>"ATTIG"</f>
        <v>ATTIG</v>
      </c>
      <c r="C272" t="str">
        <f>"Chahine"</f>
        <v>Chahine</v>
      </c>
      <c r="D272" t="str">
        <f>"023-2513"</f>
        <v>023-2513</v>
      </c>
      <c r="E272" t="str">
        <f>"223435660FH"</f>
        <v>223435660FH</v>
      </c>
      <c r="F272" t="str">
        <f t="shared" si="52"/>
        <v>0352480F</v>
      </c>
      <c r="G272" t="str">
        <f t="shared" si="53"/>
        <v>O</v>
      </c>
      <c r="H272">
        <v>10</v>
      </c>
      <c r="I272">
        <v>2003</v>
      </c>
      <c r="J272">
        <v>1</v>
      </c>
      <c r="K272">
        <v>31</v>
      </c>
      <c r="L272">
        <v>0</v>
      </c>
      <c r="M272">
        <v>2021</v>
      </c>
      <c r="N272" t="str">
        <f t="shared" si="55"/>
        <v>E</v>
      </c>
      <c r="O272" t="str">
        <f>"D"</f>
        <v>D</v>
      </c>
      <c r="P272">
        <v>0</v>
      </c>
      <c r="Q272">
        <v>351</v>
      </c>
      <c r="R272">
        <v>100</v>
      </c>
      <c r="S272">
        <v>35200</v>
      </c>
      <c r="T272">
        <v>100</v>
      </c>
      <c r="U272">
        <v>35200</v>
      </c>
      <c r="V272" t="str">
        <f>"Exonération des droits de scolarité le 08/09/2023 par Ronan lE SAOUT  TOEIC 1A le 24/05/20024 975"</f>
        <v>Exonération des droits de scolarité le 08/09/2023 par Ronan lE SAOUT  TOEIC 1A le 24/05/20024 975</v>
      </c>
      <c r="W272">
        <v>34</v>
      </c>
      <c r="X272">
        <v>0</v>
      </c>
      <c r="Y272">
        <v>6000577</v>
      </c>
      <c r="Z272">
        <v>2</v>
      </c>
      <c r="AA272">
        <v>27</v>
      </c>
      <c r="AB272" t="str">
        <f>""</f>
        <v/>
      </c>
      <c r="AC272" t="str">
        <f>""</f>
        <v/>
      </c>
      <c r="AD272" t="str">
        <f>""</f>
        <v/>
      </c>
      <c r="AE272">
        <v>2023</v>
      </c>
      <c r="AF272">
        <v>2023</v>
      </c>
      <c r="AG272" t="str">
        <f>"Rennes"</f>
        <v>Rennes</v>
      </c>
      <c r="AH272" t="str">
        <f>"Rennes"</f>
        <v>Rennes</v>
      </c>
      <c r="AI272" t="str">
        <f>""</f>
        <v/>
      </c>
      <c r="AJ272" t="str">
        <f>""</f>
        <v/>
      </c>
      <c r="AK272" t="str">
        <f>""</f>
        <v/>
      </c>
      <c r="AL272">
        <v>34</v>
      </c>
      <c r="AM272" t="str">
        <f>""</f>
        <v/>
      </c>
      <c r="AN272" t="str">
        <f>""</f>
        <v/>
      </c>
      <c r="AO272" t="str">
        <f>"Lycée pilote de Monastir"</f>
        <v>Lycée pilote de Monastir</v>
      </c>
      <c r="AP272" t="str">
        <f>"MONASTIR, TUNISIE"</f>
        <v>MONASTIR, TUNISIE</v>
      </c>
      <c r="AQ272" t="str">
        <f>"Etranger"</f>
        <v>Etranger</v>
      </c>
    </row>
    <row r="273" spans="1:43" x14ac:dyDescent="0.25">
      <c r="A273" t="str">
        <f t="shared" si="56"/>
        <v>2A,2A Ing,2A ex Prem.A,T00000</v>
      </c>
      <c r="B273" t="str">
        <f>"BABINGUI"</f>
        <v>BABINGUI</v>
      </c>
      <c r="C273" t="str">
        <f>"Anaïs"</f>
        <v>Anaïs</v>
      </c>
      <c r="D273" t="str">
        <f>"023-2544"</f>
        <v>023-2544</v>
      </c>
      <c r="E273" t="str">
        <f>"070231758CF"</f>
        <v>070231758CF</v>
      </c>
      <c r="F273" t="str">
        <f t="shared" si="52"/>
        <v>0352480F</v>
      </c>
      <c r="G273" t="str">
        <f t="shared" si="53"/>
        <v>O</v>
      </c>
      <c r="H273">
        <v>10</v>
      </c>
      <c r="I273">
        <v>2003</v>
      </c>
      <c r="J273">
        <v>2</v>
      </c>
      <c r="K273" t="str">
        <f>"S"</f>
        <v>S</v>
      </c>
      <c r="L273">
        <v>10</v>
      </c>
      <c r="M273">
        <v>2021</v>
      </c>
      <c r="N273" t="str">
        <f t="shared" si="55"/>
        <v>E</v>
      </c>
      <c r="O273" t="str">
        <f>"C"</f>
        <v>C</v>
      </c>
      <c r="P273">
        <v>0</v>
      </c>
      <c r="Q273">
        <v>100</v>
      </c>
      <c r="R273">
        <v>100</v>
      </c>
      <c r="S273">
        <v>35170</v>
      </c>
      <c r="T273">
        <v>100</v>
      </c>
      <c r="U273">
        <v>35170</v>
      </c>
      <c r="V273" t="str">
        <f>"Déléguée 2023/2024 - CE  TOEIC 1A le 24/05/20024 970"</f>
        <v>Déléguée 2023/2024 - CE  TOEIC 1A le 24/05/20024 970</v>
      </c>
      <c r="W273">
        <v>47</v>
      </c>
      <c r="X273">
        <v>0</v>
      </c>
      <c r="Y273">
        <v>6000577</v>
      </c>
      <c r="Z273">
        <v>2</v>
      </c>
      <c r="AA273">
        <v>27</v>
      </c>
      <c r="AB273" t="str">
        <f>""</f>
        <v/>
      </c>
      <c r="AC273" t="str">
        <f>""</f>
        <v/>
      </c>
      <c r="AD273" t="str">
        <f>""</f>
        <v/>
      </c>
      <c r="AE273">
        <v>2</v>
      </c>
      <c r="AF273">
        <v>2023</v>
      </c>
      <c r="AG273" t="str">
        <f>"Bruz"</f>
        <v>Bruz</v>
      </c>
      <c r="AH273" t="str">
        <f>"Bruz"</f>
        <v>Bruz</v>
      </c>
      <c r="AI273" t="str">
        <f>""</f>
        <v/>
      </c>
      <c r="AJ273" t="str">
        <f>""</f>
        <v/>
      </c>
      <c r="AK273" t="str">
        <f>""</f>
        <v/>
      </c>
      <c r="AL273">
        <v>38</v>
      </c>
      <c r="AM273" t="str">
        <f>""</f>
        <v/>
      </c>
      <c r="AN273" t="str">
        <f>""</f>
        <v/>
      </c>
      <c r="AO273" t="str">
        <f>"Louis Armand"</f>
        <v>Louis Armand</v>
      </c>
      <c r="AP273" t="str">
        <f>"VILLEFRANCHE-SUR-SAÔNE"</f>
        <v>VILLEFRANCHE-SUR-SAÔNE</v>
      </c>
      <c r="AQ273" t="str">
        <f>"Lyon"</f>
        <v>Lyon</v>
      </c>
    </row>
    <row r="274" spans="1:43" x14ac:dyDescent="0.25">
      <c r="A274" t="str">
        <f t="shared" si="56"/>
        <v>2A,2A Ing,2A ex Prem.A,T00000</v>
      </c>
      <c r="B274" t="str">
        <f>"BADJI"</f>
        <v>BADJI</v>
      </c>
      <c r="C274" t="str">
        <f>"Aliou"</f>
        <v>Aliou</v>
      </c>
      <c r="D274" t="str">
        <f>"023-2499"</f>
        <v>023-2499</v>
      </c>
      <c r="E274" t="str">
        <f>"213068997DK"</f>
        <v>213068997DK</v>
      </c>
      <c r="F274" t="str">
        <f t="shared" si="52"/>
        <v>0352480F</v>
      </c>
      <c r="G274" t="str">
        <f t="shared" si="53"/>
        <v>O</v>
      </c>
      <c r="H274">
        <v>10</v>
      </c>
      <c r="I274">
        <v>2003</v>
      </c>
      <c r="J274">
        <v>1</v>
      </c>
      <c r="K274" t="str">
        <f>"S"</f>
        <v>S</v>
      </c>
      <c r="L274">
        <v>0</v>
      </c>
      <c r="M274">
        <v>2021</v>
      </c>
      <c r="N274" t="str">
        <f t="shared" si="55"/>
        <v>E</v>
      </c>
      <c r="O274" t="str">
        <f>"A"</f>
        <v>A</v>
      </c>
      <c r="P274">
        <v>0</v>
      </c>
      <c r="Q274">
        <v>341</v>
      </c>
      <c r="R274">
        <v>100</v>
      </c>
      <c r="S274">
        <v>35200</v>
      </c>
      <c r="T274">
        <v>100</v>
      </c>
      <c r="U274">
        <v>35200</v>
      </c>
      <c r="V274" t="str">
        <f>"TOEIC 1A le 24/05/20024 830"</f>
        <v>TOEIC 1A le 24/05/20024 830</v>
      </c>
      <c r="W274">
        <v>0</v>
      </c>
      <c r="X274">
        <v>0</v>
      </c>
      <c r="Y274">
        <v>6000577</v>
      </c>
      <c r="Z274">
        <v>2</v>
      </c>
      <c r="AA274">
        <v>27</v>
      </c>
      <c r="AB274" t="str">
        <f>""</f>
        <v/>
      </c>
      <c r="AC274" t="str">
        <f>""</f>
        <v/>
      </c>
      <c r="AD274" t="str">
        <f>""</f>
        <v/>
      </c>
      <c r="AE274">
        <v>2021</v>
      </c>
      <c r="AF274">
        <v>2023</v>
      </c>
      <c r="AG274" t="str">
        <f>"Rennes"</f>
        <v>Rennes</v>
      </c>
      <c r="AH274" t="str">
        <f>"Rennes"</f>
        <v>Rennes</v>
      </c>
      <c r="AI274" t="str">
        <f>""</f>
        <v/>
      </c>
      <c r="AJ274" t="str">
        <f>""</f>
        <v/>
      </c>
      <c r="AK274" t="str">
        <f>""</f>
        <v/>
      </c>
      <c r="AL274">
        <v>0</v>
      </c>
      <c r="AM274" t="str">
        <f>""</f>
        <v/>
      </c>
      <c r="AN274" t="str">
        <f>""</f>
        <v/>
      </c>
      <c r="AO274" t="str">
        <f>"Lycée Scientifique d'excellence de Diourbel"</f>
        <v>Lycée Scientifique d'excellence de Diourbel</v>
      </c>
      <c r="AP274" t="str">
        <f>"DIOURBEL"</f>
        <v>DIOURBEL</v>
      </c>
      <c r="AQ274" t="str">
        <f>"Etranger"</f>
        <v>Etranger</v>
      </c>
    </row>
    <row r="275" spans="1:43" x14ac:dyDescent="0.25">
      <c r="A275" t="str">
        <f t="shared" si="56"/>
        <v>2A,2A Ing,2A ex Prem.A,T00000</v>
      </c>
      <c r="B275" t="str">
        <f>"BARBET"</f>
        <v>BARBET</v>
      </c>
      <c r="C275" t="str">
        <f>"Louise"</f>
        <v>Louise</v>
      </c>
      <c r="D275" t="str">
        <f>"023-2434"</f>
        <v>023-2434</v>
      </c>
      <c r="E275" t="str">
        <f>"070070088KD"</f>
        <v>070070088KD</v>
      </c>
      <c r="F275" t="str">
        <f t="shared" si="52"/>
        <v>0352480F</v>
      </c>
      <c r="G275" t="str">
        <f t="shared" si="53"/>
        <v>O</v>
      </c>
      <c r="H275">
        <v>10</v>
      </c>
      <c r="I275">
        <v>2003</v>
      </c>
      <c r="J275">
        <v>2</v>
      </c>
      <c r="K275" t="str">
        <f>"NBGE"</f>
        <v>NBGE</v>
      </c>
      <c r="L275">
        <v>5</v>
      </c>
      <c r="M275">
        <v>2021</v>
      </c>
      <c r="N275" t="str">
        <f t="shared" si="55"/>
        <v>E</v>
      </c>
      <c r="O275" t="str">
        <f t="shared" ref="O275:O280" si="57">"D"</f>
        <v>D</v>
      </c>
      <c r="P275">
        <v>0</v>
      </c>
      <c r="Q275">
        <v>100</v>
      </c>
      <c r="R275">
        <v>100</v>
      </c>
      <c r="S275" t="str">
        <f>"35 17"</f>
        <v>35 17</v>
      </c>
      <c r="T275">
        <v>100</v>
      </c>
      <c r="U275" t="str">
        <f>"35 17"</f>
        <v>35 17</v>
      </c>
      <c r="V275" t="str">
        <f>"Attribution bourse au mérite : 900 EUR  TOEIC 1A le 24/05/20024 885"</f>
        <v>Attribution bourse au mérite : 900 EUR  TOEIC 1A le 24/05/20024 885</v>
      </c>
      <c r="W275">
        <v>0</v>
      </c>
      <c r="X275">
        <v>0</v>
      </c>
      <c r="Y275">
        <v>6000577</v>
      </c>
      <c r="Z275">
        <v>2</v>
      </c>
      <c r="AA275">
        <v>27</v>
      </c>
      <c r="AB275" t="str">
        <f>""</f>
        <v/>
      </c>
      <c r="AC275" t="str">
        <f>""</f>
        <v/>
      </c>
      <c r="AD275" t="str">
        <f>""</f>
        <v/>
      </c>
      <c r="AE275">
        <v>2021</v>
      </c>
      <c r="AF275">
        <v>2023</v>
      </c>
      <c r="AG275" t="str">
        <f>"Bruz"</f>
        <v>Bruz</v>
      </c>
      <c r="AH275" t="str">
        <f>"Bruz"</f>
        <v>Bruz</v>
      </c>
      <c r="AI275" t="str">
        <f>""</f>
        <v/>
      </c>
      <c r="AJ275" t="str">
        <f>""</f>
        <v/>
      </c>
      <c r="AK275" t="str">
        <f>""</f>
        <v/>
      </c>
      <c r="AL275">
        <v>56</v>
      </c>
      <c r="AM275" t="str">
        <f>""</f>
        <v/>
      </c>
      <c r="AN275" t="str">
        <f>""</f>
        <v/>
      </c>
      <c r="AO275" t="str">
        <f>"Lycée Institut Saint-Lô"</f>
        <v>Lycée Institut Saint-Lô</v>
      </c>
      <c r="AP275" t="str">
        <f>"AGNEAUX"</f>
        <v>AGNEAUX</v>
      </c>
      <c r="AQ275" t="str">
        <f>"Caen"</f>
        <v>Caen</v>
      </c>
    </row>
    <row r="276" spans="1:43" x14ac:dyDescent="0.25">
      <c r="A276" t="str">
        <f t="shared" si="56"/>
        <v>2A,2A Ing,2A ex Prem.A,T00000</v>
      </c>
      <c r="B276" t="str">
        <f>"BAZEILLE"</f>
        <v>BAZEILLE</v>
      </c>
      <c r="C276" t="str">
        <f>"Melvin"</f>
        <v>Melvin</v>
      </c>
      <c r="D276" t="str">
        <f>"023-2482"</f>
        <v>023-2482</v>
      </c>
      <c r="E276" t="str">
        <f>"071035817KG"</f>
        <v>071035817KG</v>
      </c>
      <c r="F276" t="str">
        <f t="shared" si="52"/>
        <v>0352480F</v>
      </c>
      <c r="G276" t="str">
        <f t="shared" si="53"/>
        <v>O</v>
      </c>
      <c r="H276">
        <v>10</v>
      </c>
      <c r="I276">
        <v>2003</v>
      </c>
      <c r="J276">
        <v>1</v>
      </c>
      <c r="K276" t="str">
        <f>"S"</f>
        <v>S</v>
      </c>
      <c r="L276">
        <v>25</v>
      </c>
      <c r="M276">
        <v>2021</v>
      </c>
      <c r="N276" t="str">
        <f t="shared" si="55"/>
        <v>E</v>
      </c>
      <c r="O276" t="str">
        <f t="shared" si="57"/>
        <v>D</v>
      </c>
      <c r="P276">
        <v>0</v>
      </c>
      <c r="Q276">
        <v>100</v>
      </c>
      <c r="R276">
        <v>100</v>
      </c>
      <c r="S276">
        <v>35200</v>
      </c>
      <c r="T276">
        <v>100</v>
      </c>
      <c r="U276">
        <v>35200</v>
      </c>
      <c r="V276" t="str">
        <f>"TOEIC 1A le 24/05/20024 910"</f>
        <v>TOEIC 1A le 24/05/20024 910</v>
      </c>
      <c r="W276">
        <v>0</v>
      </c>
      <c r="X276">
        <v>0</v>
      </c>
      <c r="Y276">
        <v>6000577</v>
      </c>
      <c r="Z276">
        <v>2</v>
      </c>
      <c r="AA276">
        <v>27</v>
      </c>
      <c r="AB276" t="str">
        <f>""</f>
        <v/>
      </c>
      <c r="AC276" t="str">
        <f>""</f>
        <v/>
      </c>
      <c r="AD276" t="str">
        <f>""</f>
        <v/>
      </c>
      <c r="AE276">
        <v>2021</v>
      </c>
      <c r="AF276">
        <v>2023</v>
      </c>
      <c r="AG276" t="str">
        <f>"Rennes"</f>
        <v>Rennes</v>
      </c>
      <c r="AH276" t="str">
        <f>"Rennes"</f>
        <v>Rennes</v>
      </c>
      <c r="AI276" t="str">
        <f>""</f>
        <v/>
      </c>
      <c r="AJ276" t="str">
        <f>""</f>
        <v/>
      </c>
      <c r="AK276" t="str">
        <f>""</f>
        <v/>
      </c>
      <c r="AL276">
        <v>54</v>
      </c>
      <c r="AM276" t="str">
        <f>""</f>
        <v/>
      </c>
      <c r="AN276" t="str">
        <f>""</f>
        <v/>
      </c>
      <c r="AO276" t="str">
        <f>"Lycée Hoche"</f>
        <v>Lycée Hoche</v>
      </c>
      <c r="AP276" t="str">
        <f>"VERSAILLES"</f>
        <v>VERSAILLES</v>
      </c>
      <c r="AQ276" t="str">
        <f>"Versailles"</f>
        <v>Versailles</v>
      </c>
    </row>
    <row r="277" spans="1:43" x14ac:dyDescent="0.25">
      <c r="A277" t="str">
        <f t="shared" si="56"/>
        <v>2A,2A Ing,2A ex Prem.A,T00000</v>
      </c>
      <c r="B277" t="str">
        <f>"BEN MOUSSA"</f>
        <v>BEN MOUSSA</v>
      </c>
      <c r="C277" t="str">
        <f>"Ines"</f>
        <v>Ines</v>
      </c>
      <c r="D277" t="str">
        <f>"023-2514"</f>
        <v>023-2514</v>
      </c>
      <c r="E277" t="str">
        <f>"223434667JA"</f>
        <v>223434667JA</v>
      </c>
      <c r="F277" t="str">
        <f t="shared" si="52"/>
        <v>0352480F</v>
      </c>
      <c r="G277" t="str">
        <f t="shared" si="53"/>
        <v>O</v>
      </c>
      <c r="H277">
        <v>10</v>
      </c>
      <c r="I277">
        <v>2002</v>
      </c>
      <c r="J277">
        <v>2</v>
      </c>
      <c r="K277" t="str">
        <f>""</f>
        <v/>
      </c>
      <c r="L277" t="str">
        <f>""</f>
        <v/>
      </c>
      <c r="M277" t="str">
        <f>""</f>
        <v/>
      </c>
      <c r="N277" t="str">
        <f t="shared" si="55"/>
        <v>E</v>
      </c>
      <c r="O277" t="str">
        <f t="shared" si="57"/>
        <v>D</v>
      </c>
      <c r="P277">
        <v>0</v>
      </c>
      <c r="Q277">
        <v>351</v>
      </c>
      <c r="R277">
        <v>100</v>
      </c>
      <c r="S277" t="str">
        <f>""</f>
        <v/>
      </c>
      <c r="T277">
        <v>100</v>
      </c>
      <c r="U277" t="str">
        <f>""</f>
        <v/>
      </c>
      <c r="V277" t="str">
        <f>"Exonération des droits de scolarité 23-24 par la commision des bourses du 3 octobre 2023  TOEIC 1A le 24/05/2024 905"</f>
        <v>Exonération des droits de scolarité 23-24 par la commision des bourses du 3 octobre 2023  TOEIC 1A le 24/05/2024 905</v>
      </c>
      <c r="W277">
        <v>0</v>
      </c>
      <c r="X277">
        <v>0</v>
      </c>
      <c r="Y277">
        <v>6000577</v>
      </c>
      <c r="Z277">
        <v>2</v>
      </c>
      <c r="AA277">
        <v>27</v>
      </c>
      <c r="AB277" t="str">
        <f>""</f>
        <v/>
      </c>
      <c r="AC277" t="str">
        <f>""</f>
        <v/>
      </c>
      <c r="AD277" t="str">
        <f>""</f>
        <v/>
      </c>
      <c r="AE277" t="str">
        <f>""</f>
        <v/>
      </c>
      <c r="AF277">
        <v>2023</v>
      </c>
      <c r="AG277" t="str">
        <f>""</f>
        <v/>
      </c>
      <c r="AH277" t="str">
        <f>""</f>
        <v/>
      </c>
      <c r="AI277" t="str">
        <f>""</f>
        <v/>
      </c>
      <c r="AJ277" t="str">
        <f>""</f>
        <v/>
      </c>
      <c r="AK277" t="str">
        <f>""</f>
        <v/>
      </c>
      <c r="AL277">
        <v>0</v>
      </c>
      <c r="AM277" t="str">
        <f>""</f>
        <v/>
      </c>
      <c r="AN277" t="str">
        <f>""</f>
        <v/>
      </c>
      <c r="AO277" t="str">
        <f>""</f>
        <v/>
      </c>
      <c r="AP277" t="str">
        <f>""</f>
        <v/>
      </c>
      <c r="AQ277" t="str">
        <f>""</f>
        <v/>
      </c>
    </row>
    <row r="278" spans="1:43" x14ac:dyDescent="0.25">
      <c r="A278" t="str">
        <f t="shared" si="56"/>
        <v>2A,2A Ing,2A ex Prem.A,T00000</v>
      </c>
      <c r="B278" t="str">
        <f>"BERLAND"</f>
        <v>BERLAND</v>
      </c>
      <c r="C278" t="str">
        <f>"Yanis"</f>
        <v>Yanis</v>
      </c>
      <c r="D278" t="str">
        <f>"023-2441"</f>
        <v>023-2441</v>
      </c>
      <c r="E278" t="str">
        <f>"120863591FJ"</f>
        <v>120863591FJ</v>
      </c>
      <c r="F278" t="str">
        <f t="shared" si="52"/>
        <v>0352480F</v>
      </c>
      <c r="G278" t="str">
        <f t="shared" si="53"/>
        <v>O</v>
      </c>
      <c r="H278">
        <v>10</v>
      </c>
      <c r="I278">
        <v>2003</v>
      </c>
      <c r="J278">
        <v>1</v>
      </c>
      <c r="K278" t="str">
        <f>"S"</f>
        <v>S</v>
      </c>
      <c r="L278">
        <v>14</v>
      </c>
      <c r="M278">
        <v>2021</v>
      </c>
      <c r="N278" t="str">
        <f t="shared" si="55"/>
        <v>E</v>
      </c>
      <c r="O278" t="str">
        <f t="shared" si="57"/>
        <v>D</v>
      </c>
      <c r="P278">
        <v>0</v>
      </c>
      <c r="Q278">
        <v>100</v>
      </c>
      <c r="R278">
        <v>100</v>
      </c>
      <c r="S278">
        <v>35720</v>
      </c>
      <c r="T278">
        <v>100</v>
      </c>
      <c r="U278">
        <v>35720</v>
      </c>
      <c r="V278" t="str">
        <f>"TOEIC 1A le 24/05/20024 805"</f>
        <v>TOEIC 1A le 24/05/20024 805</v>
      </c>
      <c r="W278">
        <v>55</v>
      </c>
      <c r="X278">
        <v>0</v>
      </c>
      <c r="Y278">
        <v>6000577</v>
      </c>
      <c r="Z278">
        <v>2</v>
      </c>
      <c r="AA278">
        <v>27</v>
      </c>
      <c r="AB278" t="str">
        <f>""</f>
        <v/>
      </c>
      <c r="AC278" t="str">
        <f>""</f>
        <v/>
      </c>
      <c r="AD278" t="str">
        <f>""</f>
        <v/>
      </c>
      <c r="AE278">
        <v>2021</v>
      </c>
      <c r="AF278">
        <v>2023</v>
      </c>
      <c r="AG278" t="str">
        <f>"Plesder"</f>
        <v>Plesder</v>
      </c>
      <c r="AH278" t="str">
        <f>"Plesder"</f>
        <v>Plesder</v>
      </c>
      <c r="AI278" t="str">
        <f>""</f>
        <v/>
      </c>
      <c r="AJ278" t="str">
        <f>""</f>
        <v/>
      </c>
      <c r="AK278" t="str">
        <f>""</f>
        <v/>
      </c>
      <c r="AL278">
        <v>55</v>
      </c>
      <c r="AM278" t="str">
        <f>""</f>
        <v/>
      </c>
      <c r="AN278" t="str">
        <f>""</f>
        <v/>
      </c>
      <c r="AO278" t="str">
        <f>"Lycée F.R. de Chateaubriand"</f>
        <v>Lycée F.R. de Chateaubriand</v>
      </c>
      <c r="AP278" t="str">
        <f>"COMBOURG"</f>
        <v>COMBOURG</v>
      </c>
      <c r="AQ278" t="str">
        <f>"Rennes"</f>
        <v>Rennes</v>
      </c>
    </row>
    <row r="279" spans="1:43" x14ac:dyDescent="0.25">
      <c r="A279" t="str">
        <f t="shared" si="56"/>
        <v>2A,2A Ing,2A ex Prem.A,T00000</v>
      </c>
      <c r="B279" t="str">
        <f>"CHIRRANE"</f>
        <v>CHIRRANE</v>
      </c>
      <c r="C279" t="str">
        <f>"Zakariya"</f>
        <v>Zakariya</v>
      </c>
      <c r="D279" t="str">
        <f>"023-2493"</f>
        <v>023-2493</v>
      </c>
      <c r="E279" t="str">
        <f>"101085079HG"</f>
        <v>101085079HG</v>
      </c>
      <c r="F279" t="str">
        <f t="shared" si="52"/>
        <v>0352480F</v>
      </c>
      <c r="G279" t="str">
        <f t="shared" si="53"/>
        <v>O</v>
      </c>
      <c r="H279">
        <v>10</v>
      </c>
      <c r="I279">
        <v>2003</v>
      </c>
      <c r="J279">
        <v>1</v>
      </c>
      <c r="K279" t="str">
        <f>"C"</f>
        <v>C</v>
      </c>
      <c r="L279">
        <v>24</v>
      </c>
      <c r="M279">
        <v>2021</v>
      </c>
      <c r="N279" t="str">
        <f t="shared" si="55"/>
        <v>E</v>
      </c>
      <c r="O279" t="str">
        <f t="shared" si="57"/>
        <v>D</v>
      </c>
      <c r="P279">
        <v>0</v>
      </c>
      <c r="Q279">
        <v>100</v>
      </c>
      <c r="R279">
        <v>100</v>
      </c>
      <c r="S279">
        <v>35700</v>
      </c>
      <c r="T279">
        <v>100</v>
      </c>
      <c r="U279">
        <v>35700</v>
      </c>
      <c r="V279" t="str">
        <f>""</f>
        <v/>
      </c>
      <c r="W279">
        <v>99</v>
      </c>
      <c r="X279">
        <v>0</v>
      </c>
      <c r="Y279">
        <v>6000577</v>
      </c>
      <c r="Z279">
        <v>2</v>
      </c>
      <c r="AA279">
        <v>27</v>
      </c>
      <c r="AB279" t="str">
        <f>""</f>
        <v/>
      </c>
      <c r="AC279" t="str">
        <f>""</f>
        <v/>
      </c>
      <c r="AD279" t="str">
        <f>""</f>
        <v/>
      </c>
      <c r="AE279">
        <v>2023</v>
      </c>
      <c r="AF279">
        <v>2023</v>
      </c>
      <c r="AG279" t="str">
        <f>"Rennes"</f>
        <v>Rennes</v>
      </c>
      <c r="AH279" t="str">
        <f>"Rennes"</f>
        <v>Rennes</v>
      </c>
      <c r="AI279" t="str">
        <f>""</f>
        <v/>
      </c>
      <c r="AJ279" t="str">
        <f>""</f>
        <v/>
      </c>
      <c r="AK279" t="str">
        <f>""</f>
        <v/>
      </c>
      <c r="AL279">
        <v>56</v>
      </c>
      <c r="AM279" t="str">
        <f>""</f>
        <v/>
      </c>
      <c r="AN279" t="str">
        <f>""</f>
        <v/>
      </c>
      <c r="AO279" t="str">
        <f>"Pablo Picasso"</f>
        <v>Pablo Picasso</v>
      </c>
      <c r="AP279" t="str">
        <f>"FONTENAY-SOUS-BOIS"</f>
        <v>FONTENAY-SOUS-BOIS</v>
      </c>
      <c r="AQ279" t="str">
        <f>"Créteil"</f>
        <v>Créteil</v>
      </c>
    </row>
    <row r="280" spans="1:43" x14ac:dyDescent="0.25">
      <c r="A280" t="str">
        <f t="shared" si="56"/>
        <v>2A,2A Ing,2A ex Prem.A,T00000</v>
      </c>
      <c r="B280" t="str">
        <f>"COURTEL"</f>
        <v>COURTEL</v>
      </c>
      <c r="C280" t="str">
        <f>"Juliette"</f>
        <v>Juliette</v>
      </c>
      <c r="D280" t="str">
        <f>"023-2433"</f>
        <v>023-2433</v>
      </c>
      <c r="E280" t="str">
        <f>"071216920KC"</f>
        <v>071216920KC</v>
      </c>
      <c r="F280" t="str">
        <f t="shared" si="52"/>
        <v>0352480F</v>
      </c>
      <c r="G280" t="str">
        <f t="shared" si="53"/>
        <v>O</v>
      </c>
      <c r="H280">
        <v>10</v>
      </c>
      <c r="I280">
        <v>2002</v>
      </c>
      <c r="J280">
        <v>2</v>
      </c>
      <c r="K280" t="str">
        <f>"S"</f>
        <v>S</v>
      </c>
      <c r="L280">
        <v>2</v>
      </c>
      <c r="M280">
        <v>2020</v>
      </c>
      <c r="N280" t="str">
        <f t="shared" si="55"/>
        <v>E</v>
      </c>
      <c r="O280" t="str">
        <f t="shared" si="57"/>
        <v>D</v>
      </c>
      <c r="P280">
        <v>0</v>
      </c>
      <c r="Q280">
        <v>100</v>
      </c>
      <c r="R280">
        <v>100</v>
      </c>
      <c r="S280">
        <v>35000</v>
      </c>
      <c r="T280">
        <v>100</v>
      </c>
      <c r="U280">
        <v>35000</v>
      </c>
      <c r="V280" t="str">
        <f>"TOEIC 1A le 24/05/20024 885"</f>
        <v>TOEIC 1A le 24/05/20024 885</v>
      </c>
      <c r="W280">
        <v>55</v>
      </c>
      <c r="X280">
        <v>0</v>
      </c>
      <c r="Y280">
        <v>6000577</v>
      </c>
      <c r="Z280">
        <v>2</v>
      </c>
      <c r="AA280">
        <v>27</v>
      </c>
      <c r="AB280" t="str">
        <f>""</f>
        <v/>
      </c>
      <c r="AC280" t="str">
        <f>""</f>
        <v/>
      </c>
      <c r="AD280" t="str">
        <f>""</f>
        <v/>
      </c>
      <c r="AE280">
        <v>2020</v>
      </c>
      <c r="AF280">
        <v>2023</v>
      </c>
      <c r="AG280" t="str">
        <f>"Rennes"</f>
        <v>Rennes</v>
      </c>
      <c r="AH280" t="str">
        <f>"Rennes"</f>
        <v>Rennes</v>
      </c>
      <c r="AI280" t="str">
        <f>""</f>
        <v/>
      </c>
      <c r="AJ280" t="str">
        <f>""</f>
        <v/>
      </c>
      <c r="AK280" t="str">
        <f>""</f>
        <v/>
      </c>
      <c r="AL280">
        <v>54</v>
      </c>
      <c r="AM280" t="str">
        <f>""</f>
        <v/>
      </c>
      <c r="AN280" t="str">
        <f>""</f>
        <v/>
      </c>
      <c r="AO280" t="str">
        <f>"lycée Stephan Hessel"</f>
        <v>lycée Stephan Hessel</v>
      </c>
      <c r="AP280" t="str">
        <f>"VAISON LA ROMAINE"</f>
        <v>VAISON LA ROMAINE</v>
      </c>
      <c r="AQ280" t="str">
        <f>"Aix-Marseille"</f>
        <v>Aix-Marseille</v>
      </c>
    </row>
    <row r="281" spans="1:43" x14ac:dyDescent="0.25">
      <c r="A281" t="str">
        <f t="shared" si="56"/>
        <v>2A,2A Ing,2A ex Prem.A,T00000</v>
      </c>
      <c r="B281" t="str">
        <f>"DRINE"</f>
        <v>DRINE</v>
      </c>
      <c r="C281" t="str">
        <f>"Ikram"</f>
        <v>Ikram</v>
      </c>
      <c r="D281" t="str">
        <f>"023-2415"</f>
        <v>023-2415</v>
      </c>
      <c r="E281" t="str">
        <f>"03140V01EJ3"</f>
        <v>03140V01EJ3</v>
      </c>
      <c r="F281" t="str">
        <f t="shared" si="52"/>
        <v>0352480F</v>
      </c>
      <c r="G281" t="str">
        <f t="shared" si="53"/>
        <v>O</v>
      </c>
      <c r="H281">
        <v>10</v>
      </c>
      <c r="I281">
        <v>2001</v>
      </c>
      <c r="J281">
        <v>2</v>
      </c>
      <c r="K281">
        <v>31</v>
      </c>
      <c r="L281">
        <v>0</v>
      </c>
      <c r="M281">
        <v>2020</v>
      </c>
      <c r="N281" t="str">
        <f t="shared" si="55"/>
        <v>E</v>
      </c>
      <c r="O281" t="str">
        <f>"N"</f>
        <v>N</v>
      </c>
      <c r="P281">
        <v>0</v>
      </c>
      <c r="Q281">
        <v>351</v>
      </c>
      <c r="R281">
        <v>100</v>
      </c>
      <c r="S281">
        <v>35170</v>
      </c>
      <c r="T281">
        <v>100</v>
      </c>
      <c r="U281">
        <v>35170</v>
      </c>
      <c r="V281" t="str">
        <f>"TOEIC 1A le 24/05/20024 625"</f>
        <v>TOEIC 1A le 24/05/20024 625</v>
      </c>
      <c r="W281">
        <v>0</v>
      </c>
      <c r="X281">
        <v>0</v>
      </c>
      <c r="Y281">
        <v>6000577</v>
      </c>
      <c r="Z281">
        <v>2</v>
      </c>
      <c r="AA281">
        <v>27</v>
      </c>
      <c r="AB281" t="str">
        <f>""</f>
        <v/>
      </c>
      <c r="AC281" t="str">
        <f>""</f>
        <v/>
      </c>
      <c r="AD281" t="str">
        <f>""</f>
        <v/>
      </c>
      <c r="AE281">
        <v>2023</v>
      </c>
      <c r="AF281">
        <v>2023</v>
      </c>
      <c r="AG281" t="str">
        <f>"Bruz"</f>
        <v>Bruz</v>
      </c>
      <c r="AH281" t="str">
        <f>"Bruz"</f>
        <v>Bruz</v>
      </c>
      <c r="AI281" t="str">
        <f>""</f>
        <v/>
      </c>
      <c r="AJ281" t="str">
        <f>""</f>
        <v/>
      </c>
      <c r="AK281" t="str">
        <f>""</f>
        <v/>
      </c>
      <c r="AL281">
        <v>81</v>
      </c>
      <c r="AM281" t="str">
        <f>""</f>
        <v/>
      </c>
      <c r="AN281" t="str">
        <f>""</f>
        <v/>
      </c>
      <c r="AO281" t="str">
        <f>"Lycée pilote Médenine"</f>
        <v>Lycée pilote Médenine</v>
      </c>
      <c r="AP281" t="str">
        <f>"MÉDNINE"</f>
        <v>MÉDNINE</v>
      </c>
      <c r="AQ281" t="str">
        <f>"Etranger"</f>
        <v>Etranger</v>
      </c>
    </row>
    <row r="282" spans="1:43" x14ac:dyDescent="0.25">
      <c r="A282" t="str">
        <f t="shared" si="56"/>
        <v>2A,2A Ing,2A ex Prem.A,T00000</v>
      </c>
      <c r="B282" t="str">
        <f>"ESTIFANOS"</f>
        <v>ESTIFANOS</v>
      </c>
      <c r="C282" t="str">
        <f>"Esete"</f>
        <v>Esete</v>
      </c>
      <c r="D282" t="str">
        <f>"022-2290"</f>
        <v>022-2290</v>
      </c>
      <c r="E282" t="str">
        <f>"090821368CD"</f>
        <v>090821368CD</v>
      </c>
      <c r="F282" t="str">
        <f t="shared" si="52"/>
        <v>0352480F</v>
      </c>
      <c r="G282" t="str">
        <f t="shared" si="53"/>
        <v>O</v>
      </c>
      <c r="H282">
        <v>10</v>
      </c>
      <c r="I282">
        <v>2002</v>
      </c>
      <c r="J282">
        <v>2</v>
      </c>
      <c r="K282" t="str">
        <f>"S"</f>
        <v>S</v>
      </c>
      <c r="L282">
        <v>24</v>
      </c>
      <c r="M282">
        <v>2019</v>
      </c>
      <c r="N282" t="str">
        <f t="shared" si="55"/>
        <v>E</v>
      </c>
      <c r="O282" t="str">
        <f>"D"</f>
        <v>D</v>
      </c>
      <c r="P282">
        <v>0</v>
      </c>
      <c r="Q282">
        <v>315</v>
      </c>
      <c r="R282">
        <v>100</v>
      </c>
      <c r="S282">
        <v>35136</v>
      </c>
      <c r="T282">
        <v>100</v>
      </c>
      <c r="U282">
        <v>35136</v>
      </c>
      <c r="V282" t="str">
        <f>"TOEIC passé à l'ENSAI le 22/05/2023 : score 820"</f>
        <v>TOEIC passé à l'ENSAI le 22/05/2023 : score 820</v>
      </c>
      <c r="W282">
        <v>0</v>
      </c>
      <c r="X282">
        <v>0</v>
      </c>
      <c r="Y282">
        <v>6000577</v>
      </c>
      <c r="Z282">
        <v>2</v>
      </c>
      <c r="AA282">
        <v>27</v>
      </c>
      <c r="AB282" t="str">
        <f>""</f>
        <v/>
      </c>
      <c r="AC282" t="str">
        <f>""</f>
        <v/>
      </c>
      <c r="AD282" t="str">
        <f>""</f>
        <v/>
      </c>
      <c r="AE282">
        <v>2019</v>
      </c>
      <c r="AF282">
        <v>2022</v>
      </c>
      <c r="AG282" t="str">
        <f>"Saint Jacques de la Lande"</f>
        <v>Saint Jacques de la Lande</v>
      </c>
      <c r="AH282" t="str">
        <f>"Saint Jacques de la Lande"</f>
        <v>Saint Jacques de la Lande</v>
      </c>
      <c r="AI282" t="str">
        <f>""</f>
        <v/>
      </c>
      <c r="AJ282" t="str">
        <f>""</f>
        <v/>
      </c>
      <c r="AK282" t="str">
        <f>""</f>
        <v/>
      </c>
      <c r="AL282">
        <v>0</v>
      </c>
      <c r="AM282" t="str">
        <f>""</f>
        <v/>
      </c>
      <c r="AN282" t="str">
        <f>""</f>
        <v/>
      </c>
      <c r="AO282" t="str">
        <f>"Paul Eluard"</f>
        <v>Paul Eluard</v>
      </c>
      <c r="AP282" t="str">
        <f>"SAINT-DENIS"</f>
        <v>SAINT-DENIS</v>
      </c>
      <c r="AQ282" t="str">
        <f>"Créteil"</f>
        <v>Créteil</v>
      </c>
    </row>
    <row r="283" spans="1:43" x14ac:dyDescent="0.25">
      <c r="A283" t="str">
        <f t="shared" si="56"/>
        <v>2A,2A Ing,2A ex Prem.A,T00000</v>
      </c>
      <c r="B283" t="str">
        <f>"FRANÇOIS"</f>
        <v>FRANÇOIS</v>
      </c>
      <c r="C283" t="str">
        <f>"Eliot"</f>
        <v>Eliot</v>
      </c>
      <c r="D283" t="str">
        <f>"023-2356"</f>
        <v>023-2356</v>
      </c>
      <c r="E283" t="str">
        <f>"133094679JJ"</f>
        <v>133094679JJ</v>
      </c>
      <c r="F283" t="str">
        <f t="shared" si="52"/>
        <v>0352480F</v>
      </c>
      <c r="G283" t="str">
        <f t="shared" si="53"/>
        <v>O</v>
      </c>
      <c r="H283">
        <v>10</v>
      </c>
      <c r="I283">
        <v>2022</v>
      </c>
      <c r="J283">
        <v>1</v>
      </c>
      <c r="K283" t="str">
        <f>"S"</f>
        <v>S</v>
      </c>
      <c r="L283">
        <v>17</v>
      </c>
      <c r="M283">
        <v>2020</v>
      </c>
      <c r="N283" t="str">
        <f t="shared" si="55"/>
        <v>E</v>
      </c>
      <c r="O283" t="str">
        <f>"N"</f>
        <v>N</v>
      </c>
      <c r="P283">
        <v>0</v>
      </c>
      <c r="Q283">
        <v>100</v>
      </c>
      <c r="R283">
        <v>100</v>
      </c>
      <c r="S283">
        <v>35170</v>
      </c>
      <c r="T283">
        <v>100</v>
      </c>
      <c r="U283">
        <v>35170</v>
      </c>
      <c r="V283" t="str">
        <f>"TOEIC 1A le 24/05/20024 850"</f>
        <v>TOEIC 1A le 24/05/20024 850</v>
      </c>
      <c r="W283">
        <v>21</v>
      </c>
      <c r="X283">
        <v>0</v>
      </c>
      <c r="Y283">
        <v>6000577</v>
      </c>
      <c r="Z283">
        <v>2</v>
      </c>
      <c r="AA283">
        <v>27</v>
      </c>
      <c r="AB283" t="str">
        <f>""</f>
        <v/>
      </c>
      <c r="AC283" t="str">
        <f>""</f>
        <v/>
      </c>
      <c r="AD283" t="str">
        <f>""</f>
        <v/>
      </c>
      <c r="AE283">
        <v>2020</v>
      </c>
      <c r="AF283">
        <v>2023</v>
      </c>
      <c r="AG283" t="str">
        <f>"Bruz"</f>
        <v>Bruz</v>
      </c>
      <c r="AH283" t="str">
        <f>"Bruz"</f>
        <v>Bruz</v>
      </c>
      <c r="AI283" t="str">
        <f>""</f>
        <v/>
      </c>
      <c r="AJ283" t="str">
        <f>""</f>
        <v/>
      </c>
      <c r="AK283" t="str">
        <f>""</f>
        <v/>
      </c>
      <c r="AL283">
        <v>54</v>
      </c>
      <c r="AM283" t="str">
        <f>""</f>
        <v/>
      </c>
      <c r="AN283" t="str">
        <f>""</f>
        <v/>
      </c>
      <c r="AO283" t="str">
        <f>"Henri Bergson"</f>
        <v>Henri Bergson</v>
      </c>
      <c r="AP283" t="str">
        <f>"ANGERS"</f>
        <v>ANGERS</v>
      </c>
      <c r="AQ283" t="str">
        <f>"Nantes"</f>
        <v>Nantes</v>
      </c>
    </row>
    <row r="284" spans="1:43" x14ac:dyDescent="0.25">
      <c r="A284" t="str">
        <f t="shared" si="56"/>
        <v>2A,2A Ing,2A ex Prem.A,T00000</v>
      </c>
      <c r="B284" t="str">
        <f>"GIBERT"</f>
        <v>GIBERT</v>
      </c>
      <c r="C284" t="str">
        <f>"Adrien"</f>
        <v>Adrien</v>
      </c>
      <c r="D284" t="str">
        <f>"023-2489"</f>
        <v>023-2489</v>
      </c>
      <c r="E284" t="str">
        <f>"061235784CF"</f>
        <v>061235784CF</v>
      </c>
      <c r="F284" t="str">
        <f t="shared" si="52"/>
        <v>0352480F</v>
      </c>
      <c r="G284" t="str">
        <f t="shared" si="53"/>
        <v>O</v>
      </c>
      <c r="H284">
        <v>10</v>
      </c>
      <c r="I284">
        <v>2002</v>
      </c>
      <c r="J284">
        <v>1</v>
      </c>
      <c r="K284" t="str">
        <f>"S"</f>
        <v>S</v>
      </c>
      <c r="L284">
        <v>5</v>
      </c>
      <c r="M284">
        <v>2020</v>
      </c>
      <c r="N284" t="str">
        <f t="shared" si="55"/>
        <v>E</v>
      </c>
      <c r="O284" t="str">
        <f>"D"</f>
        <v>D</v>
      </c>
      <c r="P284">
        <v>0</v>
      </c>
      <c r="Q284">
        <v>100</v>
      </c>
      <c r="R284">
        <v>100</v>
      </c>
      <c r="S284">
        <v>35170</v>
      </c>
      <c r="T284">
        <v>100</v>
      </c>
      <c r="U284">
        <v>35170</v>
      </c>
      <c r="V284" t="str">
        <f>"TOEIC 1A le 24/05/20024 850"</f>
        <v>TOEIC 1A le 24/05/20024 850</v>
      </c>
      <c r="W284">
        <v>34</v>
      </c>
      <c r="X284">
        <v>0</v>
      </c>
      <c r="Y284">
        <v>6000577</v>
      </c>
      <c r="Z284">
        <v>2</v>
      </c>
      <c r="AA284">
        <v>27</v>
      </c>
      <c r="AB284" t="str">
        <f>""</f>
        <v/>
      </c>
      <c r="AC284" t="str">
        <f>""</f>
        <v/>
      </c>
      <c r="AD284" t="str">
        <f>""</f>
        <v/>
      </c>
      <c r="AE284">
        <v>2020</v>
      </c>
      <c r="AF284">
        <v>2023</v>
      </c>
      <c r="AG284" t="str">
        <f>"Bruz"</f>
        <v>Bruz</v>
      </c>
      <c r="AH284" t="str">
        <f>"Bruz"</f>
        <v>Bruz</v>
      </c>
      <c r="AI284" t="str">
        <f>""</f>
        <v/>
      </c>
      <c r="AJ284" t="str">
        <f>""</f>
        <v/>
      </c>
      <c r="AK284" t="str">
        <f>""</f>
        <v/>
      </c>
      <c r="AL284">
        <v>34</v>
      </c>
      <c r="AM284" t="str">
        <f>""</f>
        <v/>
      </c>
      <c r="AN284" t="str">
        <f>""</f>
        <v/>
      </c>
      <c r="AO284" t="str">
        <f>"Gambier"</f>
        <v>Gambier</v>
      </c>
      <c r="AP284" t="str">
        <f>"LISIEUX"</f>
        <v>LISIEUX</v>
      </c>
      <c r="AQ284" t="str">
        <f>"Caen"</f>
        <v>Caen</v>
      </c>
    </row>
    <row r="285" spans="1:43" x14ac:dyDescent="0.25">
      <c r="A285" t="str">
        <f t="shared" si="56"/>
        <v>2A,2A Ing,2A ex Prem.A,T00000</v>
      </c>
      <c r="B285" t="str">
        <f>"GUEYE"</f>
        <v>GUEYE</v>
      </c>
      <c r="C285" t="str">
        <f>"Ibrahima Alain"</f>
        <v>Ibrahima Alain</v>
      </c>
      <c r="D285" t="str">
        <f>"023-2511"</f>
        <v>023-2511</v>
      </c>
      <c r="E285" t="str">
        <f>"213076178DG"</f>
        <v>213076178DG</v>
      </c>
      <c r="F285" t="str">
        <f t="shared" si="52"/>
        <v>0352480F</v>
      </c>
      <c r="G285" t="str">
        <f t="shared" si="53"/>
        <v>O</v>
      </c>
      <c r="H285">
        <v>10</v>
      </c>
      <c r="I285">
        <v>2001</v>
      </c>
      <c r="J285">
        <v>1</v>
      </c>
      <c r="K285" t="str">
        <f>"S"</f>
        <v>S</v>
      </c>
      <c r="L285">
        <v>0</v>
      </c>
      <c r="M285">
        <v>2021</v>
      </c>
      <c r="N285" t="str">
        <f t="shared" si="55"/>
        <v>E</v>
      </c>
      <c r="O285" t="str">
        <f>"D"</f>
        <v>D</v>
      </c>
      <c r="P285">
        <v>0</v>
      </c>
      <c r="Q285">
        <v>341</v>
      </c>
      <c r="R285">
        <v>100</v>
      </c>
      <c r="S285">
        <v>35700</v>
      </c>
      <c r="T285">
        <v>100</v>
      </c>
      <c r="U285">
        <v>35700</v>
      </c>
      <c r="V285" t="str">
        <f>""</f>
        <v/>
      </c>
      <c r="W285">
        <v>22</v>
      </c>
      <c r="X285">
        <v>0</v>
      </c>
      <c r="Y285">
        <v>6000577</v>
      </c>
      <c r="Z285">
        <v>2</v>
      </c>
      <c r="AA285">
        <v>27</v>
      </c>
      <c r="AB285" t="str">
        <f>""</f>
        <v/>
      </c>
      <c r="AC285" t="str">
        <f>""</f>
        <v/>
      </c>
      <c r="AD285" t="str">
        <f>""</f>
        <v/>
      </c>
      <c r="AE285" t="str">
        <f>""</f>
        <v/>
      </c>
      <c r="AF285">
        <v>2023</v>
      </c>
      <c r="AG285" t="str">
        <f>"Rennes"</f>
        <v>Rennes</v>
      </c>
      <c r="AH285" t="str">
        <f>"Rennes"</f>
        <v>Rennes</v>
      </c>
      <c r="AI285" t="str">
        <f>""</f>
        <v/>
      </c>
      <c r="AJ285" t="str">
        <f>""</f>
        <v/>
      </c>
      <c r="AK285" t="str">
        <f>""</f>
        <v/>
      </c>
      <c r="AL285">
        <v>0</v>
      </c>
      <c r="AM285" t="str">
        <f>""</f>
        <v/>
      </c>
      <c r="AN285" t="str">
        <f>""</f>
        <v/>
      </c>
      <c r="AO285" t="str">
        <f>"Lycée Scientifique d'Excellence"</f>
        <v>Lycée Scientifique d'Excellence</v>
      </c>
      <c r="AP285" t="str">
        <f>"DIOURBEL"</f>
        <v>DIOURBEL</v>
      </c>
      <c r="AQ285" t="str">
        <f>"Etranger"</f>
        <v>Etranger</v>
      </c>
    </row>
    <row r="286" spans="1:43" x14ac:dyDescent="0.25">
      <c r="A286" t="str">
        <f t="shared" si="56"/>
        <v>2A,2A Ing,2A ex Prem.A,T00000</v>
      </c>
      <c r="B286" t="str">
        <f>"GUIZANI"</f>
        <v>GUIZANI</v>
      </c>
      <c r="C286" t="str">
        <f>"Maryem"</f>
        <v>Maryem</v>
      </c>
      <c r="D286" t="str">
        <f>"023-2438"</f>
        <v>023-2438</v>
      </c>
      <c r="E286" t="str">
        <f>"223430961AD"</f>
        <v>223430961AD</v>
      </c>
      <c r="F286" t="str">
        <f t="shared" si="52"/>
        <v>0352480F</v>
      </c>
      <c r="G286" t="str">
        <f t="shared" si="53"/>
        <v>O</v>
      </c>
      <c r="H286">
        <v>10</v>
      </c>
      <c r="I286">
        <v>2003</v>
      </c>
      <c r="J286">
        <v>2</v>
      </c>
      <c r="K286">
        <v>31</v>
      </c>
      <c r="L286">
        <v>0</v>
      </c>
      <c r="M286">
        <v>2021</v>
      </c>
      <c r="N286" t="str">
        <f t="shared" si="55"/>
        <v>E</v>
      </c>
      <c r="O286" t="str">
        <f>"D"</f>
        <v>D</v>
      </c>
      <c r="P286">
        <v>0</v>
      </c>
      <c r="Q286">
        <v>351</v>
      </c>
      <c r="R286">
        <v>100</v>
      </c>
      <c r="S286">
        <v>35170</v>
      </c>
      <c r="T286">
        <v>100</v>
      </c>
      <c r="U286">
        <v>35170</v>
      </c>
      <c r="V286" t="str">
        <f>"Exonération partielle des frais de scolarité, ramenés à 2650 EUR au lieu de 4150 EUR par la commission des bourses du 3/10/2023  TOEIC 1A le 24/05/20024 985"</f>
        <v>Exonération partielle des frais de scolarité, ramenés à 2650 EUR au lieu de 4150 EUR par la commission des bourses du 3/10/2023  TOEIC 1A le 24/05/20024 985</v>
      </c>
      <c r="W286">
        <v>43</v>
      </c>
      <c r="X286">
        <v>0</v>
      </c>
      <c r="Y286">
        <v>6000577</v>
      </c>
      <c r="Z286">
        <v>2</v>
      </c>
      <c r="AA286">
        <v>27</v>
      </c>
      <c r="AB286" t="str">
        <f>""</f>
        <v/>
      </c>
      <c r="AC286" t="str">
        <f>""</f>
        <v/>
      </c>
      <c r="AD286" t="str">
        <f>""</f>
        <v/>
      </c>
      <c r="AE286">
        <v>2023</v>
      </c>
      <c r="AF286">
        <v>2023</v>
      </c>
      <c r="AG286" t="str">
        <f>"Bruz"</f>
        <v>Bruz</v>
      </c>
      <c r="AH286" t="str">
        <f>"Bruz"</f>
        <v>Bruz</v>
      </c>
      <c r="AI286" t="str">
        <f>""</f>
        <v/>
      </c>
      <c r="AJ286" t="str">
        <f>""</f>
        <v/>
      </c>
      <c r="AK286" t="str">
        <f>""</f>
        <v/>
      </c>
      <c r="AL286">
        <v>34</v>
      </c>
      <c r="AM286" t="str">
        <f>""</f>
        <v/>
      </c>
      <c r="AN286" t="str">
        <f>""</f>
        <v/>
      </c>
      <c r="AO286" t="str">
        <f>"Lycée Pilote Kairouan"</f>
        <v>Lycée Pilote Kairouan</v>
      </c>
      <c r="AP286" t="str">
        <f>"KAIROUAN"</f>
        <v>KAIROUAN</v>
      </c>
      <c r="AQ286" t="str">
        <f>"Etranger"</f>
        <v>Etranger</v>
      </c>
    </row>
    <row r="287" spans="1:43" x14ac:dyDescent="0.25">
      <c r="A287" t="str">
        <f t="shared" si="56"/>
        <v>2A,2A Ing,2A ex Prem.A,T00000</v>
      </c>
      <c r="B287" t="str">
        <f>"KANE"</f>
        <v>KANE</v>
      </c>
      <c r="C287" t="str">
        <f>"Mouhamadou Moustapha"</f>
        <v>Mouhamadou Moustapha</v>
      </c>
      <c r="D287" t="str">
        <f>"023-2534"</f>
        <v>023-2534</v>
      </c>
      <c r="E287" t="str">
        <f>"213031321HK"</f>
        <v>213031321HK</v>
      </c>
      <c r="F287" t="str">
        <f t="shared" si="52"/>
        <v>0352480F</v>
      </c>
      <c r="G287" t="str">
        <f t="shared" si="53"/>
        <v>O</v>
      </c>
      <c r="H287">
        <v>10</v>
      </c>
      <c r="I287">
        <v>2001</v>
      </c>
      <c r="J287">
        <v>1</v>
      </c>
      <c r="K287" t="str">
        <f>"S"</f>
        <v>S</v>
      </c>
      <c r="L287" t="str">
        <f>""</f>
        <v/>
      </c>
      <c r="M287">
        <v>2021</v>
      </c>
      <c r="N287" t="str">
        <f t="shared" si="55"/>
        <v>E</v>
      </c>
      <c r="O287" t="str">
        <f>"D"</f>
        <v>D</v>
      </c>
      <c r="P287">
        <v>0</v>
      </c>
      <c r="Q287" t="str">
        <f>""</f>
        <v/>
      </c>
      <c r="R287">
        <v>100</v>
      </c>
      <c r="S287">
        <v>35700</v>
      </c>
      <c r="T287">
        <v>100</v>
      </c>
      <c r="U287">
        <v>35700</v>
      </c>
      <c r="V287" t="str">
        <f>"TOEIC 1A le 24/05/20024 760"</f>
        <v>TOEIC 1A le 24/05/20024 760</v>
      </c>
      <c r="W287">
        <v>0</v>
      </c>
      <c r="X287">
        <v>0</v>
      </c>
      <c r="Y287">
        <v>6000577</v>
      </c>
      <c r="Z287">
        <v>2</v>
      </c>
      <c r="AA287">
        <v>27</v>
      </c>
      <c r="AB287" t="str">
        <f>""</f>
        <v/>
      </c>
      <c r="AC287" t="str">
        <f>""</f>
        <v/>
      </c>
      <c r="AD287" t="str">
        <f>""</f>
        <v/>
      </c>
      <c r="AE287" t="str">
        <f>""</f>
        <v/>
      </c>
      <c r="AF287">
        <v>2023</v>
      </c>
      <c r="AG287" t="str">
        <f>"Rennes"</f>
        <v>Rennes</v>
      </c>
      <c r="AH287" t="str">
        <f>"Rennes"</f>
        <v>Rennes</v>
      </c>
      <c r="AI287" t="str">
        <f>""</f>
        <v/>
      </c>
      <c r="AJ287" t="str">
        <f>""</f>
        <v/>
      </c>
      <c r="AK287" t="str">
        <f>""</f>
        <v/>
      </c>
      <c r="AL287">
        <v>0</v>
      </c>
      <c r="AM287" t="str">
        <f>""</f>
        <v/>
      </c>
      <c r="AN287" t="str">
        <f>""</f>
        <v/>
      </c>
      <c r="AO287" t="str">
        <f>"Lycée scientifique d'Excellence de Diourbel"</f>
        <v>Lycée scientifique d'Excellence de Diourbel</v>
      </c>
      <c r="AP287" t="str">
        <f>"DIOURBEL SENEGAL"</f>
        <v>DIOURBEL SENEGAL</v>
      </c>
      <c r="AQ287" t="str">
        <f>""</f>
        <v/>
      </c>
    </row>
    <row r="288" spans="1:43" x14ac:dyDescent="0.25">
      <c r="A288" t="str">
        <f t="shared" si="56"/>
        <v>2A,2A Ing,2A ex Prem.A,T00000</v>
      </c>
      <c r="B288" t="str">
        <f>"KANHONOU"</f>
        <v>KANHONOU</v>
      </c>
      <c r="C288" t="str">
        <f>"Lionel"</f>
        <v>Lionel</v>
      </c>
      <c r="D288" t="str">
        <f>"022-2148"</f>
        <v>022-2148</v>
      </c>
      <c r="E288" t="str">
        <f>"DJOJV109Y0"</f>
        <v>DJOJV109Y0</v>
      </c>
      <c r="F288" t="str">
        <f t="shared" si="52"/>
        <v>0352480F</v>
      </c>
      <c r="G288" t="str">
        <f t="shared" si="53"/>
        <v>O</v>
      </c>
      <c r="H288">
        <v>10</v>
      </c>
      <c r="I288">
        <v>1998</v>
      </c>
      <c r="J288">
        <v>1</v>
      </c>
      <c r="K288">
        <v>31</v>
      </c>
      <c r="L288">
        <v>0</v>
      </c>
      <c r="M288">
        <v>2016</v>
      </c>
      <c r="N288" t="str">
        <f t="shared" si="55"/>
        <v>E</v>
      </c>
      <c r="O288" t="str">
        <f>"C"</f>
        <v>C</v>
      </c>
      <c r="P288">
        <v>0</v>
      </c>
      <c r="Q288">
        <v>327</v>
      </c>
      <c r="R288">
        <v>100</v>
      </c>
      <c r="S288">
        <v>35510</v>
      </c>
      <c r="T288">
        <v>100</v>
      </c>
      <c r="U288">
        <v>35510</v>
      </c>
      <c r="V288" t="str">
        <f>""</f>
        <v/>
      </c>
      <c r="W288">
        <v>0</v>
      </c>
      <c r="X288">
        <v>0</v>
      </c>
      <c r="Y288">
        <v>6000577</v>
      </c>
      <c r="Z288">
        <v>2</v>
      </c>
      <c r="AA288">
        <v>27</v>
      </c>
      <c r="AB288" t="str">
        <f>""</f>
        <v/>
      </c>
      <c r="AC288" t="str">
        <f>""</f>
        <v/>
      </c>
      <c r="AD288" t="str">
        <f>""</f>
        <v/>
      </c>
      <c r="AE288">
        <v>2020</v>
      </c>
      <c r="AF288">
        <v>2022</v>
      </c>
      <c r="AG288" t="str">
        <f>"Cesson-Sevigne"</f>
        <v>Cesson-Sevigne</v>
      </c>
      <c r="AH288" t="str">
        <f>"Cesson-Sevigne"</f>
        <v>Cesson-Sevigne</v>
      </c>
      <c r="AI288" t="str">
        <f>""</f>
        <v/>
      </c>
      <c r="AJ288" t="str">
        <f>""</f>
        <v/>
      </c>
      <c r="AK288" t="str">
        <f>""</f>
        <v/>
      </c>
      <c r="AL288">
        <v>0</v>
      </c>
      <c r="AM288" t="str">
        <f>""</f>
        <v/>
      </c>
      <c r="AN288" t="str">
        <f>""</f>
        <v/>
      </c>
      <c r="AO288" t="str">
        <f>"lionel kanhonou"</f>
        <v>lionel kanhonou</v>
      </c>
      <c r="AP288" t="str">
        <f>"ABOMEY-CALAVI"</f>
        <v>ABOMEY-CALAVI</v>
      </c>
      <c r="AQ288" t="str">
        <f>"Etranger"</f>
        <v>Etranger</v>
      </c>
    </row>
    <row r="289" spans="1:43" x14ac:dyDescent="0.25">
      <c r="A289" t="str">
        <f t="shared" si="56"/>
        <v>2A,2A Ing,2A ex Prem.A,T00000</v>
      </c>
      <c r="B289" t="str">
        <f>"KIKI CHAHIRI"</f>
        <v>KIKI CHAHIRI</v>
      </c>
      <c r="C289" t="str">
        <f>"Oualid"</f>
        <v>Oualid</v>
      </c>
      <c r="D289" t="str">
        <f>"022-2206"</f>
        <v>022-2206</v>
      </c>
      <c r="E289" t="str">
        <f>"110548134FA"</f>
        <v>110548134FA</v>
      </c>
      <c r="F289" t="str">
        <f t="shared" si="52"/>
        <v>0352480F</v>
      </c>
      <c r="G289" t="str">
        <f t="shared" si="53"/>
        <v>O</v>
      </c>
      <c r="H289">
        <v>10</v>
      </c>
      <c r="I289">
        <v>2001</v>
      </c>
      <c r="J289">
        <v>1</v>
      </c>
      <c r="K289" t="str">
        <f>"ES"</f>
        <v>ES</v>
      </c>
      <c r="L289">
        <v>14</v>
      </c>
      <c r="M289">
        <v>2020</v>
      </c>
      <c r="N289" t="str">
        <f t="shared" si="55"/>
        <v>E</v>
      </c>
      <c r="O289" t="str">
        <f>"A"</f>
        <v>A</v>
      </c>
      <c r="P289">
        <v>0</v>
      </c>
      <c r="Q289">
        <v>134</v>
      </c>
      <c r="R289">
        <v>100</v>
      </c>
      <c r="S289">
        <v>35200</v>
      </c>
      <c r="T289">
        <v>100</v>
      </c>
      <c r="U289">
        <v>35200</v>
      </c>
      <c r="V289" t="str">
        <f>""</f>
        <v/>
      </c>
      <c r="W289">
        <v>0</v>
      </c>
      <c r="X289">
        <v>0</v>
      </c>
      <c r="Y289">
        <v>6000577</v>
      </c>
      <c r="Z289">
        <v>2</v>
      </c>
      <c r="AA289">
        <v>27</v>
      </c>
      <c r="AB289" t="str">
        <f>""</f>
        <v/>
      </c>
      <c r="AC289" t="str">
        <f>""</f>
        <v/>
      </c>
      <c r="AD289" t="str">
        <f>""</f>
        <v/>
      </c>
      <c r="AE289">
        <v>2020</v>
      </c>
      <c r="AF289">
        <v>2022</v>
      </c>
      <c r="AG289" t="str">
        <f>"Rennes"</f>
        <v>Rennes</v>
      </c>
      <c r="AH289" t="str">
        <f>"Rennes"</f>
        <v>Rennes</v>
      </c>
      <c r="AI289" t="str">
        <f>""</f>
        <v/>
      </c>
      <c r="AJ289" t="str">
        <f>""</f>
        <v/>
      </c>
      <c r="AK289" t="str">
        <f>""</f>
        <v/>
      </c>
      <c r="AL289">
        <v>0</v>
      </c>
      <c r="AM289" t="str">
        <f>""</f>
        <v/>
      </c>
      <c r="AN289" t="str">
        <f>""</f>
        <v/>
      </c>
      <c r="AO289" t="str">
        <f>"Lycée René Descartes"</f>
        <v>Lycée René Descartes</v>
      </c>
      <c r="AP289" t="str">
        <f>"35200 RENNES"</f>
        <v>35200 RENNES</v>
      </c>
      <c r="AQ289" t="str">
        <f>"Rennes"</f>
        <v>Rennes</v>
      </c>
    </row>
    <row r="290" spans="1:43" x14ac:dyDescent="0.25">
      <c r="A290" t="str">
        <f t="shared" si="56"/>
        <v>2A,2A Ing,2A ex Prem.A,T00000</v>
      </c>
      <c r="B290" t="str">
        <f>"KOUASSI"</f>
        <v>KOUASSI</v>
      </c>
      <c r="C290" t="str">
        <f>"Konan"</f>
        <v>Konan</v>
      </c>
      <c r="D290" t="str">
        <f>"023-2416"</f>
        <v>023-2416</v>
      </c>
      <c r="E290" t="str">
        <f>"213494752BH"</f>
        <v>213494752BH</v>
      </c>
      <c r="F290" t="str">
        <f t="shared" si="52"/>
        <v>0352480F</v>
      </c>
      <c r="G290" t="str">
        <f t="shared" si="53"/>
        <v>O</v>
      </c>
      <c r="H290">
        <v>10</v>
      </c>
      <c r="I290">
        <v>1998</v>
      </c>
      <c r="J290">
        <v>1</v>
      </c>
      <c r="K290" t="str">
        <f>"S"</f>
        <v>S</v>
      </c>
      <c r="L290">
        <v>0</v>
      </c>
      <c r="M290">
        <v>2017</v>
      </c>
      <c r="N290" t="str">
        <f t="shared" si="55"/>
        <v>E</v>
      </c>
      <c r="O290" t="str">
        <f>"N"</f>
        <v>N</v>
      </c>
      <c r="P290">
        <v>0</v>
      </c>
      <c r="Q290">
        <v>326</v>
      </c>
      <c r="R290">
        <v>100</v>
      </c>
      <c r="S290">
        <v>35000</v>
      </c>
      <c r="T290">
        <v>100</v>
      </c>
      <c r="U290">
        <v>35000</v>
      </c>
      <c r="V290" t="str">
        <f>"Demande d'exonération des frais de scolarité, décision prise à la commission des bourses du 28/09/2024"</f>
        <v>Demande d'exonération des frais de scolarité, décision prise à la commission des bourses du 28/09/2024</v>
      </c>
      <c r="W290">
        <v>99</v>
      </c>
      <c r="X290">
        <v>0</v>
      </c>
      <c r="Y290">
        <v>6000577</v>
      </c>
      <c r="Z290">
        <v>2</v>
      </c>
      <c r="AA290">
        <v>27</v>
      </c>
      <c r="AB290" t="str">
        <f>""</f>
        <v/>
      </c>
      <c r="AC290" t="str">
        <f>""</f>
        <v/>
      </c>
      <c r="AD290" t="str">
        <f>""</f>
        <v/>
      </c>
      <c r="AE290">
        <v>2022</v>
      </c>
      <c r="AF290">
        <v>2023</v>
      </c>
      <c r="AG290" t="str">
        <f>"rennes"</f>
        <v>rennes</v>
      </c>
      <c r="AH290" t="str">
        <f>"rennes"</f>
        <v>rennes</v>
      </c>
      <c r="AI290" t="str">
        <f>""</f>
        <v/>
      </c>
      <c r="AJ290" t="str">
        <f>""</f>
        <v/>
      </c>
      <c r="AK290" t="str">
        <f>""</f>
        <v/>
      </c>
      <c r="AL290">
        <v>0</v>
      </c>
      <c r="AM290" t="str">
        <f>""</f>
        <v/>
      </c>
      <c r="AN290" t="str">
        <f>""</f>
        <v/>
      </c>
      <c r="AO290" t="str">
        <f>"LYCEE MODERNE 2 DE BOUAKE"</f>
        <v>LYCEE MODERNE 2 DE BOUAKE</v>
      </c>
      <c r="AP290" t="str">
        <f>"BOUAKE"</f>
        <v>BOUAKE</v>
      </c>
      <c r="AQ290" t="str">
        <f>"Etranger"</f>
        <v>Etranger</v>
      </c>
    </row>
    <row r="291" spans="1:43" x14ac:dyDescent="0.25">
      <c r="A291" t="str">
        <f t="shared" si="56"/>
        <v>2A,2A Ing,2A ex Prem.A,T00000</v>
      </c>
      <c r="B291" t="str">
        <f>"LACOUR"</f>
        <v>LACOUR</v>
      </c>
      <c r="C291" t="str">
        <f>"Mélanie"</f>
        <v>Mélanie</v>
      </c>
      <c r="D291" t="str">
        <f>"023-2352"</f>
        <v>023-2352</v>
      </c>
      <c r="E291" t="str">
        <f>"071494222BG"</f>
        <v>071494222BG</v>
      </c>
      <c r="F291" t="str">
        <f t="shared" si="52"/>
        <v>0352480F</v>
      </c>
      <c r="G291" t="str">
        <f t="shared" si="53"/>
        <v>O</v>
      </c>
      <c r="H291">
        <v>10</v>
      </c>
      <c r="I291">
        <v>2002</v>
      </c>
      <c r="J291">
        <v>2</v>
      </c>
      <c r="K291" t="str">
        <f>"S"</f>
        <v>S</v>
      </c>
      <c r="L291">
        <v>4</v>
      </c>
      <c r="M291">
        <v>2020</v>
      </c>
      <c r="N291" t="str">
        <f t="shared" si="55"/>
        <v>E</v>
      </c>
      <c r="O291" t="str">
        <f>"N"</f>
        <v>N</v>
      </c>
      <c r="P291">
        <v>0</v>
      </c>
      <c r="Q291">
        <v>100</v>
      </c>
      <c r="R291">
        <v>100</v>
      </c>
      <c r="S291">
        <v>35136</v>
      </c>
      <c r="T291">
        <v>100</v>
      </c>
      <c r="U291">
        <v>35136</v>
      </c>
      <c r="V291" t="str">
        <f>"Déléguée 2023/2024"</f>
        <v>Déléguée 2023/2024</v>
      </c>
      <c r="W291">
        <v>46</v>
      </c>
      <c r="X291">
        <v>0</v>
      </c>
      <c r="Y291">
        <v>6000577</v>
      </c>
      <c r="Z291">
        <v>2</v>
      </c>
      <c r="AA291">
        <v>27</v>
      </c>
      <c r="AB291" t="str">
        <f>""</f>
        <v/>
      </c>
      <c r="AC291" t="str">
        <f>""</f>
        <v/>
      </c>
      <c r="AD291" t="str">
        <f>""</f>
        <v/>
      </c>
      <c r="AE291">
        <v>2020</v>
      </c>
      <c r="AF291">
        <v>2023</v>
      </c>
      <c r="AG291" t="str">
        <f>"Saint Jacques de la Lande"</f>
        <v>Saint Jacques de la Lande</v>
      </c>
      <c r="AH291" t="str">
        <f>"Saint Jacques de la Lande"</f>
        <v>Saint Jacques de la Lande</v>
      </c>
      <c r="AI291" t="str">
        <f>""</f>
        <v/>
      </c>
      <c r="AJ291" t="str">
        <f>""</f>
        <v/>
      </c>
      <c r="AK291" t="str">
        <f>""</f>
        <v/>
      </c>
      <c r="AL291">
        <v>52</v>
      </c>
      <c r="AM291" t="str">
        <f>""</f>
        <v/>
      </c>
      <c r="AN291" t="str">
        <f>""</f>
        <v/>
      </c>
      <c r="AO291" t="str">
        <f>"Lycée de la Mer"</f>
        <v>Lycée de la Mer</v>
      </c>
      <c r="AP291" t="str">
        <f>"GUJAN MESTRAS"</f>
        <v>GUJAN MESTRAS</v>
      </c>
      <c r="AQ291" t="str">
        <f>"Bordeaux"</f>
        <v>Bordeaux</v>
      </c>
    </row>
    <row r="292" spans="1:43" x14ac:dyDescent="0.25">
      <c r="A292" t="str">
        <f t="shared" si="56"/>
        <v>2A,2A Ing,2A ex Prem.A,T00000</v>
      </c>
      <c r="B292" t="str">
        <f>"LANNE"</f>
        <v>LANNE</v>
      </c>
      <c r="C292" t="str">
        <f>"Maïlis"</f>
        <v>Maïlis</v>
      </c>
      <c r="D292" t="str">
        <f>"023-2467"</f>
        <v>023-2467</v>
      </c>
      <c r="E292" t="str">
        <f>"071999326JJ"</f>
        <v>071999326JJ</v>
      </c>
      <c r="F292" t="str">
        <f t="shared" si="52"/>
        <v>0352480F</v>
      </c>
      <c r="G292" t="str">
        <f t="shared" si="53"/>
        <v>O</v>
      </c>
      <c r="H292">
        <v>10</v>
      </c>
      <c r="I292">
        <v>2004</v>
      </c>
      <c r="J292">
        <v>2</v>
      </c>
      <c r="K292" t="str">
        <f>"C"</f>
        <v>C</v>
      </c>
      <c r="L292">
        <v>14</v>
      </c>
      <c r="M292">
        <v>2021</v>
      </c>
      <c r="N292" t="str">
        <f t="shared" si="55"/>
        <v>E</v>
      </c>
      <c r="O292" t="str">
        <f>"D"</f>
        <v>D</v>
      </c>
      <c r="P292">
        <v>0</v>
      </c>
      <c r="Q292">
        <v>100</v>
      </c>
      <c r="R292">
        <v>100</v>
      </c>
      <c r="S292">
        <v>35136</v>
      </c>
      <c r="T292">
        <v>100</v>
      </c>
      <c r="U292">
        <v>35136</v>
      </c>
      <c r="V292" t="str">
        <f>""</f>
        <v/>
      </c>
      <c r="W292">
        <v>0</v>
      </c>
      <c r="X292">
        <v>0</v>
      </c>
      <c r="Y292">
        <v>6000577</v>
      </c>
      <c r="Z292">
        <v>2</v>
      </c>
      <c r="AA292">
        <v>27</v>
      </c>
      <c r="AB292" t="str">
        <f>""</f>
        <v/>
      </c>
      <c r="AC292" t="str">
        <f>""</f>
        <v/>
      </c>
      <c r="AD292" t="str">
        <f>""</f>
        <v/>
      </c>
      <c r="AE292">
        <v>2021</v>
      </c>
      <c r="AF292">
        <v>2023</v>
      </c>
      <c r="AG292" t="str">
        <f>"Saint Jacques de la Lande"</f>
        <v>Saint Jacques de la Lande</v>
      </c>
      <c r="AH292" t="str">
        <f>"Saint Jacques de la Lande"</f>
        <v>Saint Jacques de la Lande</v>
      </c>
      <c r="AI292" t="str">
        <f>""</f>
        <v/>
      </c>
      <c r="AJ292" t="str">
        <f>""</f>
        <v/>
      </c>
      <c r="AK292" t="str">
        <f>""</f>
        <v/>
      </c>
      <c r="AL292">
        <v>0</v>
      </c>
      <c r="AM292" t="str">
        <f>""</f>
        <v/>
      </c>
      <c r="AN292" t="str">
        <f>""</f>
        <v/>
      </c>
      <c r="AO292" t="str">
        <f>"Saint Joseph la salle"</f>
        <v>Saint Joseph la salle</v>
      </c>
      <c r="AP292" t="str">
        <f>"LORIENT"</f>
        <v>LORIENT</v>
      </c>
      <c r="AQ292" t="str">
        <f>"Rennes"</f>
        <v>Rennes</v>
      </c>
    </row>
    <row r="293" spans="1:43" x14ac:dyDescent="0.25">
      <c r="A293" t="str">
        <f t="shared" si="56"/>
        <v>2A,2A Ing,2A ex Prem.A,T00000</v>
      </c>
      <c r="B293" t="str">
        <f>"MADEC"</f>
        <v>MADEC</v>
      </c>
      <c r="C293" t="str">
        <f>"Jeanne"</f>
        <v>Jeanne</v>
      </c>
      <c r="D293" t="str">
        <f>"023-2354"</f>
        <v>023-2354</v>
      </c>
      <c r="E293" t="str">
        <f>"080756204HK"</f>
        <v>080756204HK</v>
      </c>
      <c r="F293" t="str">
        <f t="shared" si="52"/>
        <v>0352480F</v>
      </c>
      <c r="G293" t="str">
        <f t="shared" si="53"/>
        <v>O</v>
      </c>
      <c r="H293">
        <v>10</v>
      </c>
      <c r="I293">
        <v>2002</v>
      </c>
      <c r="J293">
        <v>2</v>
      </c>
      <c r="K293" t="str">
        <f>"S"</f>
        <v>S</v>
      </c>
      <c r="L293">
        <v>14</v>
      </c>
      <c r="M293">
        <v>2020</v>
      </c>
      <c r="N293" t="str">
        <f t="shared" si="55"/>
        <v>E</v>
      </c>
      <c r="O293" t="str">
        <f>"N"</f>
        <v>N</v>
      </c>
      <c r="P293">
        <v>0</v>
      </c>
      <c r="Q293">
        <v>100</v>
      </c>
      <c r="R293">
        <v>100</v>
      </c>
      <c r="S293">
        <v>35170</v>
      </c>
      <c r="T293">
        <v>100</v>
      </c>
      <c r="U293">
        <v>35170</v>
      </c>
      <c r="V293" t="str">
        <f>"TOEIC 1A le 24/05/20024 700"</f>
        <v>TOEIC 1A le 24/05/20024 700</v>
      </c>
      <c r="W293">
        <v>82</v>
      </c>
      <c r="X293">
        <v>0</v>
      </c>
      <c r="Y293">
        <v>6000577</v>
      </c>
      <c r="Z293">
        <v>2</v>
      </c>
      <c r="AA293">
        <v>27</v>
      </c>
      <c r="AB293" t="str">
        <f>""</f>
        <v/>
      </c>
      <c r="AC293" t="str">
        <f>""</f>
        <v/>
      </c>
      <c r="AD293" t="str">
        <f>""</f>
        <v/>
      </c>
      <c r="AE293">
        <v>2020</v>
      </c>
      <c r="AF293">
        <v>2023</v>
      </c>
      <c r="AG293" t="str">
        <f>"BRUZ"</f>
        <v>BRUZ</v>
      </c>
      <c r="AH293" t="str">
        <f>"BRUZ"</f>
        <v>BRUZ</v>
      </c>
      <c r="AI293" t="str">
        <f>""</f>
        <v/>
      </c>
      <c r="AJ293" t="str">
        <f>""</f>
        <v/>
      </c>
      <c r="AK293" t="str">
        <f>""</f>
        <v/>
      </c>
      <c r="AL293">
        <v>99</v>
      </c>
      <c r="AM293" t="str">
        <f>""</f>
        <v/>
      </c>
      <c r="AN293" t="str">
        <f>""</f>
        <v/>
      </c>
      <c r="AO293" t="str">
        <f>"Sainte Thérèse"</f>
        <v>Sainte Thérèse</v>
      </c>
      <c r="AP293" t="str">
        <f>"QUIMPER"</f>
        <v>QUIMPER</v>
      </c>
      <c r="AQ293" t="str">
        <f>"Rennes"</f>
        <v>Rennes</v>
      </c>
    </row>
    <row r="294" spans="1:43" x14ac:dyDescent="0.25">
      <c r="A294" t="str">
        <f t="shared" si="56"/>
        <v>2A,2A Ing,2A ex Prem.A,T00000</v>
      </c>
      <c r="B294" t="str">
        <f>"MAHJOUBI"</f>
        <v>MAHJOUBI</v>
      </c>
      <c r="C294" t="str">
        <f>"Beyrem"</f>
        <v>Beyrem</v>
      </c>
      <c r="D294" t="str">
        <f>"023-2477"</f>
        <v>023-2477</v>
      </c>
      <c r="E294" t="str">
        <f>"223433532FB"</f>
        <v>223433532FB</v>
      </c>
      <c r="F294" t="str">
        <f t="shared" si="52"/>
        <v>0352480F</v>
      </c>
      <c r="G294" t="str">
        <f t="shared" si="53"/>
        <v>O</v>
      </c>
      <c r="H294">
        <v>10</v>
      </c>
      <c r="I294">
        <v>2003</v>
      </c>
      <c r="J294">
        <v>1</v>
      </c>
      <c r="K294">
        <v>31</v>
      </c>
      <c r="L294">
        <v>0</v>
      </c>
      <c r="M294">
        <v>2021</v>
      </c>
      <c r="N294" t="str">
        <f t="shared" si="55"/>
        <v>E</v>
      </c>
      <c r="O294" t="str">
        <f>"D"</f>
        <v>D</v>
      </c>
      <c r="P294">
        <v>0</v>
      </c>
      <c r="Q294">
        <v>351</v>
      </c>
      <c r="R294">
        <v>100</v>
      </c>
      <c r="S294" t="str">
        <f>"BRUZ"</f>
        <v>BRUZ</v>
      </c>
      <c r="T294">
        <v>100</v>
      </c>
      <c r="U294" t="str">
        <f>"BRUZ"</f>
        <v>BRUZ</v>
      </c>
      <c r="V294" t="str">
        <f>"Exonération partielle des frais de scolarité, passés de 4150 EUR à 2650 EUR par la commission des bourses du 17/10.  TOEIC 1A le 24/05/20024 865"</f>
        <v>Exonération partielle des frais de scolarité, passés de 4150 EUR à 2650 EUR par la commission des bourses du 17/10.  TOEIC 1A le 24/05/20024 865</v>
      </c>
      <c r="W294">
        <v>34</v>
      </c>
      <c r="X294">
        <v>0</v>
      </c>
      <c r="Y294">
        <v>6000577</v>
      </c>
      <c r="Z294">
        <v>2</v>
      </c>
      <c r="AA294">
        <v>27</v>
      </c>
      <c r="AB294" t="str">
        <f>""</f>
        <v/>
      </c>
      <c r="AC294" t="str">
        <f>""</f>
        <v/>
      </c>
      <c r="AD294" t="str">
        <f>""</f>
        <v/>
      </c>
      <c r="AE294">
        <v>2023</v>
      </c>
      <c r="AF294">
        <v>2023</v>
      </c>
      <c r="AG294">
        <v>5170</v>
      </c>
      <c r="AH294">
        <v>5170</v>
      </c>
      <c r="AI294" t="str">
        <f>""</f>
        <v/>
      </c>
      <c r="AJ294" t="str">
        <f>""</f>
        <v/>
      </c>
      <c r="AK294" t="str">
        <f>""</f>
        <v/>
      </c>
      <c r="AL294">
        <v>99</v>
      </c>
      <c r="AM294" t="str">
        <f>""</f>
        <v/>
      </c>
      <c r="AN294" t="str">
        <f>""</f>
        <v/>
      </c>
      <c r="AO294" t="str">
        <f>"Lycée Ibnou Rachik"</f>
        <v>Lycée Ibnou Rachik</v>
      </c>
      <c r="AP294" t="str">
        <f>"EZZAHRA BEN AROUS"</f>
        <v>EZZAHRA BEN AROUS</v>
      </c>
      <c r="AQ294" t="str">
        <f>"Etranger"</f>
        <v>Etranger</v>
      </c>
    </row>
    <row r="295" spans="1:43" x14ac:dyDescent="0.25">
      <c r="A295" t="str">
        <f t="shared" si="56"/>
        <v>2A,2A Ing,2A ex Prem.A,T00000</v>
      </c>
      <c r="B295" t="str">
        <f>"MAKÉ"</f>
        <v>MAKÉ</v>
      </c>
      <c r="C295" t="str">
        <f>"Nina"</f>
        <v>Nina</v>
      </c>
      <c r="D295" t="str">
        <f>"023-2435"</f>
        <v>023-2435</v>
      </c>
      <c r="E295" t="str">
        <f>"081799580DF"</f>
        <v>081799580DF</v>
      </c>
      <c r="F295" t="str">
        <f t="shared" si="52"/>
        <v>0352480F</v>
      </c>
      <c r="G295" t="str">
        <f t="shared" si="53"/>
        <v>O</v>
      </c>
      <c r="H295">
        <v>10</v>
      </c>
      <c r="I295">
        <v>2003</v>
      </c>
      <c r="J295">
        <v>2</v>
      </c>
      <c r="K295" t="str">
        <f>""</f>
        <v/>
      </c>
      <c r="L295" t="str">
        <f>""</f>
        <v/>
      </c>
      <c r="M295">
        <v>2021</v>
      </c>
      <c r="N295" t="str">
        <f t="shared" si="55"/>
        <v>E</v>
      </c>
      <c r="O295" t="str">
        <f>"D"</f>
        <v>D</v>
      </c>
      <c r="P295">
        <v>0</v>
      </c>
      <c r="Q295">
        <v>100</v>
      </c>
      <c r="R295">
        <v>100</v>
      </c>
      <c r="S295">
        <v>35170</v>
      </c>
      <c r="T295">
        <v>100</v>
      </c>
      <c r="U295">
        <v>35170</v>
      </c>
      <c r="V295" t="str">
        <f>"TOEIC 1A le 24/05/20024 960"</f>
        <v>TOEIC 1A le 24/05/20024 960</v>
      </c>
      <c r="W295">
        <v>33</v>
      </c>
      <c r="X295">
        <v>0</v>
      </c>
      <c r="Y295">
        <v>6000577</v>
      </c>
      <c r="Z295">
        <v>2</v>
      </c>
      <c r="AA295">
        <v>27</v>
      </c>
      <c r="AB295" t="str">
        <f>""</f>
        <v/>
      </c>
      <c r="AC295" t="str">
        <f>""</f>
        <v/>
      </c>
      <c r="AD295" t="str">
        <f>""</f>
        <v/>
      </c>
      <c r="AE295">
        <v>2021</v>
      </c>
      <c r="AF295">
        <v>2023</v>
      </c>
      <c r="AG295" t="str">
        <f t="shared" ref="AG295:AH298" si="58">"Bruz"</f>
        <v>Bruz</v>
      </c>
      <c r="AH295" t="str">
        <f t="shared" si="58"/>
        <v>Bruz</v>
      </c>
      <c r="AI295" t="str">
        <f>""</f>
        <v/>
      </c>
      <c r="AJ295" t="str">
        <f>""</f>
        <v/>
      </c>
      <c r="AK295" t="str">
        <f>""</f>
        <v/>
      </c>
      <c r="AL295">
        <v>45</v>
      </c>
      <c r="AM295" t="str">
        <f>""</f>
        <v/>
      </c>
      <c r="AN295" t="str">
        <f>""</f>
        <v/>
      </c>
      <c r="AO295" t="str">
        <f>"Les Fontenelles"</f>
        <v>Les Fontenelles</v>
      </c>
      <c r="AP295" t="str">
        <f>"LOUVIERS"</f>
        <v>LOUVIERS</v>
      </c>
      <c r="AQ295" t="str">
        <f>""</f>
        <v/>
      </c>
    </row>
    <row r="296" spans="1:43" x14ac:dyDescent="0.25">
      <c r="A296" t="str">
        <f t="shared" si="56"/>
        <v>2A,2A Ing,2A ex Prem.A,T00000</v>
      </c>
      <c r="B296" t="str">
        <f>"MARCHETTI"</f>
        <v>MARCHETTI</v>
      </c>
      <c r="C296" t="str">
        <f>"Jules"</f>
        <v>Jules</v>
      </c>
      <c r="D296" t="str">
        <f>"023-2445"</f>
        <v>023-2445</v>
      </c>
      <c r="E296" t="str">
        <f>"070356709BA"</f>
        <v>070356709BA</v>
      </c>
      <c r="F296" t="str">
        <f t="shared" si="52"/>
        <v>0352480F</v>
      </c>
      <c r="G296" t="str">
        <f t="shared" si="53"/>
        <v>O</v>
      </c>
      <c r="H296">
        <v>10</v>
      </c>
      <c r="I296">
        <v>2003</v>
      </c>
      <c r="J296">
        <v>1</v>
      </c>
      <c r="K296" t="str">
        <f>"S"</f>
        <v>S</v>
      </c>
      <c r="L296">
        <v>12</v>
      </c>
      <c r="M296">
        <v>2021</v>
      </c>
      <c r="N296" t="str">
        <f t="shared" si="55"/>
        <v>E</v>
      </c>
      <c r="O296" t="str">
        <f>"D"</f>
        <v>D</v>
      </c>
      <c r="P296">
        <v>0</v>
      </c>
      <c r="Q296">
        <v>100</v>
      </c>
      <c r="R296">
        <v>100</v>
      </c>
      <c r="S296">
        <v>35170</v>
      </c>
      <c r="T296">
        <v>100</v>
      </c>
      <c r="U296">
        <v>35170</v>
      </c>
      <c r="V296" t="str">
        <f>""</f>
        <v/>
      </c>
      <c r="W296">
        <v>0</v>
      </c>
      <c r="X296">
        <v>0</v>
      </c>
      <c r="Y296">
        <v>6000577</v>
      </c>
      <c r="Z296">
        <v>2</v>
      </c>
      <c r="AA296">
        <v>27</v>
      </c>
      <c r="AB296" t="str">
        <f>""</f>
        <v/>
      </c>
      <c r="AC296" t="str">
        <f>""</f>
        <v/>
      </c>
      <c r="AD296" t="str">
        <f>""</f>
        <v/>
      </c>
      <c r="AE296">
        <v>2021</v>
      </c>
      <c r="AF296">
        <v>2023</v>
      </c>
      <c r="AG296" t="str">
        <f t="shared" si="58"/>
        <v>Bruz</v>
      </c>
      <c r="AH296" t="str">
        <f t="shared" si="58"/>
        <v>Bruz</v>
      </c>
      <c r="AI296" t="str">
        <f>""</f>
        <v/>
      </c>
      <c r="AJ296" t="str">
        <f>""</f>
        <v/>
      </c>
      <c r="AK296" t="str">
        <f>""</f>
        <v/>
      </c>
      <c r="AL296">
        <v>34</v>
      </c>
      <c r="AM296" t="str">
        <f>""</f>
        <v/>
      </c>
      <c r="AN296" t="str">
        <f>""</f>
        <v/>
      </c>
      <c r="AO296" t="str">
        <f>"Jean-Auguste Margueritte"</f>
        <v>Jean-Auguste Margueritte</v>
      </c>
      <c r="AP296" t="str">
        <f>"VERDUN"</f>
        <v>VERDUN</v>
      </c>
      <c r="AQ296" t="str">
        <f>"Nancy-Metz"</f>
        <v>Nancy-Metz</v>
      </c>
    </row>
    <row r="297" spans="1:43" x14ac:dyDescent="0.25">
      <c r="A297" t="str">
        <f t="shared" si="56"/>
        <v>2A,2A Ing,2A ex Prem.A,T00000</v>
      </c>
      <c r="B297" t="str">
        <f>"MEHOUELLEY"</f>
        <v>MEHOUELLEY</v>
      </c>
      <c r="C297" t="str">
        <f>"Fathnelle"</f>
        <v>Fathnelle</v>
      </c>
      <c r="D297" t="str">
        <f>"022-2425"</f>
        <v>022-2425</v>
      </c>
      <c r="E297" t="str">
        <f>"213174973JE"</f>
        <v>213174973JE</v>
      </c>
      <c r="F297" t="str">
        <f t="shared" si="52"/>
        <v>0352480F</v>
      </c>
      <c r="G297" t="str">
        <f t="shared" si="53"/>
        <v>O</v>
      </c>
      <c r="H297">
        <v>10</v>
      </c>
      <c r="I297">
        <v>2003</v>
      </c>
      <c r="J297">
        <v>2</v>
      </c>
      <c r="K297" t="str">
        <f>"C"</f>
        <v>C</v>
      </c>
      <c r="L297">
        <v>0</v>
      </c>
      <c r="M297">
        <v>2019</v>
      </c>
      <c r="N297" t="str">
        <f t="shared" si="55"/>
        <v>E</v>
      </c>
      <c r="O297" t="str">
        <f>"N"</f>
        <v>N</v>
      </c>
      <c r="P297">
        <v>0</v>
      </c>
      <c r="Q297">
        <v>327</v>
      </c>
      <c r="R297">
        <v>100</v>
      </c>
      <c r="S297">
        <v>35170</v>
      </c>
      <c r="T297">
        <v>100</v>
      </c>
      <c r="U297">
        <v>35170</v>
      </c>
      <c r="V297" t="str">
        <f>""</f>
        <v/>
      </c>
      <c r="W297">
        <v>0</v>
      </c>
      <c r="X297">
        <v>0</v>
      </c>
      <c r="Y297">
        <v>6000577</v>
      </c>
      <c r="Z297">
        <v>2</v>
      </c>
      <c r="AA297">
        <v>27</v>
      </c>
      <c r="AB297" t="str">
        <f>""</f>
        <v/>
      </c>
      <c r="AC297" t="str">
        <f>""</f>
        <v/>
      </c>
      <c r="AD297" t="str">
        <f>""</f>
        <v/>
      </c>
      <c r="AE297">
        <v>2019</v>
      </c>
      <c r="AF297">
        <v>2022</v>
      </c>
      <c r="AG297" t="str">
        <f t="shared" si="58"/>
        <v>Bruz</v>
      </c>
      <c r="AH297" t="str">
        <f t="shared" si="58"/>
        <v>Bruz</v>
      </c>
      <c r="AI297" t="str">
        <f>""</f>
        <v/>
      </c>
      <c r="AJ297" t="str">
        <f>""</f>
        <v/>
      </c>
      <c r="AK297" t="str">
        <f>""</f>
        <v/>
      </c>
      <c r="AL297">
        <v>0</v>
      </c>
      <c r="AM297" t="str">
        <f>""</f>
        <v/>
      </c>
      <c r="AN297" t="str">
        <f>""</f>
        <v/>
      </c>
      <c r="AO297" t="str">
        <f>"Collège Catholique"</f>
        <v>Collège Catholique</v>
      </c>
      <c r="AP297" t="str">
        <f>"PARAKOU"</f>
        <v>PARAKOU</v>
      </c>
      <c r="AQ297" t="str">
        <f>"Etranger"</f>
        <v>Etranger</v>
      </c>
    </row>
    <row r="298" spans="1:43" x14ac:dyDescent="0.25">
      <c r="A298" t="str">
        <f t="shared" si="56"/>
        <v>2A,2A Ing,2A ex Prem.A,T00000</v>
      </c>
      <c r="B298" t="str">
        <f>"MELLOT-CAVELIER"</f>
        <v>MELLOT-CAVELIER</v>
      </c>
      <c r="C298" t="str">
        <f>"Rodrigue"</f>
        <v>Rodrigue</v>
      </c>
      <c r="D298" t="str">
        <f>"023-2455"</f>
        <v>023-2455</v>
      </c>
      <c r="E298" t="str">
        <f>"090287586BE"</f>
        <v>090287586BE</v>
      </c>
      <c r="F298" t="str">
        <f t="shared" si="52"/>
        <v>0352480F</v>
      </c>
      <c r="G298" t="str">
        <f t="shared" si="53"/>
        <v>O</v>
      </c>
      <c r="H298">
        <v>10</v>
      </c>
      <c r="I298">
        <v>2003</v>
      </c>
      <c r="J298">
        <v>1</v>
      </c>
      <c r="K298" t="str">
        <f>"C"</f>
        <v>C</v>
      </c>
      <c r="L298">
        <v>8</v>
      </c>
      <c r="M298">
        <v>2021</v>
      </c>
      <c r="N298" t="str">
        <f t="shared" si="55"/>
        <v>E</v>
      </c>
      <c r="O298" t="str">
        <f>"D"</f>
        <v>D</v>
      </c>
      <c r="P298">
        <v>0</v>
      </c>
      <c r="Q298">
        <v>100</v>
      </c>
      <c r="R298">
        <v>100</v>
      </c>
      <c r="S298">
        <v>35170</v>
      </c>
      <c r="T298">
        <v>100</v>
      </c>
      <c r="U298">
        <v>35170</v>
      </c>
      <c r="V298" t="str">
        <f>"Attribution du complément mérite Genes : 900 EUR  TOEIC 1A le 24/05/20024 860"</f>
        <v>Attribution du complément mérite Genes : 900 EUR  TOEIC 1A le 24/05/20024 860</v>
      </c>
      <c r="W298">
        <v>33</v>
      </c>
      <c r="X298">
        <v>0</v>
      </c>
      <c r="Y298">
        <v>6000577</v>
      </c>
      <c r="Z298">
        <v>2</v>
      </c>
      <c r="AA298">
        <v>27</v>
      </c>
      <c r="AB298" t="str">
        <f>""</f>
        <v/>
      </c>
      <c r="AC298" t="str">
        <f>""</f>
        <v/>
      </c>
      <c r="AD298" t="str">
        <f>""</f>
        <v/>
      </c>
      <c r="AE298">
        <v>2021</v>
      </c>
      <c r="AF298">
        <v>2023</v>
      </c>
      <c r="AG298" t="str">
        <f t="shared" si="58"/>
        <v>Bruz</v>
      </c>
      <c r="AH298" t="str">
        <f t="shared" si="58"/>
        <v>Bruz</v>
      </c>
      <c r="AI298" t="str">
        <f>""</f>
        <v/>
      </c>
      <c r="AJ298" t="str">
        <f>""</f>
        <v/>
      </c>
      <c r="AK298" t="str">
        <f>""</f>
        <v/>
      </c>
      <c r="AL298">
        <v>22</v>
      </c>
      <c r="AM298" t="str">
        <f>""</f>
        <v/>
      </c>
      <c r="AN298" t="str">
        <f>""</f>
        <v/>
      </c>
      <c r="AO298" t="str">
        <f>"Lycée Roumanille"</f>
        <v>Lycée Roumanille</v>
      </c>
      <c r="AP298" t="str">
        <f>"NYONS"</f>
        <v>NYONS</v>
      </c>
      <c r="AQ298" t="str">
        <f>"Grenoble"</f>
        <v>Grenoble</v>
      </c>
    </row>
    <row r="299" spans="1:43" x14ac:dyDescent="0.25">
      <c r="A299" t="str">
        <f t="shared" si="56"/>
        <v>2A,2A Ing,2A ex Prem.A,T00000</v>
      </c>
      <c r="B299" t="str">
        <f>"MONTITON"</f>
        <v>MONTITON</v>
      </c>
      <c r="C299" t="str">
        <f>"Florian"</f>
        <v>Florian</v>
      </c>
      <c r="D299" t="str">
        <f>"023-2448"</f>
        <v>023-2448</v>
      </c>
      <c r="E299" t="str">
        <f>"080978802KG"</f>
        <v>080978802KG</v>
      </c>
      <c r="F299" t="str">
        <f t="shared" si="52"/>
        <v>0352480F</v>
      </c>
      <c r="G299" t="str">
        <f t="shared" si="53"/>
        <v>O</v>
      </c>
      <c r="H299">
        <v>10</v>
      </c>
      <c r="I299">
        <v>2003</v>
      </c>
      <c r="J299">
        <v>1</v>
      </c>
      <c r="K299" t="str">
        <f>"C"</f>
        <v>C</v>
      </c>
      <c r="L299">
        <v>24</v>
      </c>
      <c r="M299">
        <v>2021</v>
      </c>
      <c r="N299" t="str">
        <f t="shared" si="55"/>
        <v>E</v>
      </c>
      <c r="O299" t="str">
        <f>"A"</f>
        <v>A</v>
      </c>
      <c r="P299">
        <v>0</v>
      </c>
      <c r="Q299">
        <v>100</v>
      </c>
      <c r="R299">
        <v>100</v>
      </c>
      <c r="S299">
        <v>35000</v>
      </c>
      <c r="T299">
        <v>100</v>
      </c>
      <c r="U299">
        <v>35000</v>
      </c>
      <c r="V299" t="str">
        <f>""</f>
        <v/>
      </c>
      <c r="W299">
        <v>54</v>
      </c>
      <c r="X299">
        <v>0</v>
      </c>
      <c r="Y299">
        <v>6000577</v>
      </c>
      <c r="Z299">
        <v>2</v>
      </c>
      <c r="AA299">
        <v>27</v>
      </c>
      <c r="AB299" t="str">
        <f>""</f>
        <v/>
      </c>
      <c r="AC299" t="str">
        <f>""</f>
        <v/>
      </c>
      <c r="AD299" t="str">
        <f>""</f>
        <v/>
      </c>
      <c r="AE299">
        <v>2021</v>
      </c>
      <c r="AF299">
        <v>2023</v>
      </c>
      <c r="AG299" t="str">
        <f>"+ Rennes"</f>
        <v>+ Rennes</v>
      </c>
      <c r="AH299" t="str">
        <f>"+ Rennes"</f>
        <v>+ Rennes</v>
      </c>
      <c r="AI299" t="str">
        <f>""</f>
        <v/>
      </c>
      <c r="AJ299" t="str">
        <f>""</f>
        <v/>
      </c>
      <c r="AK299" t="str">
        <f>""</f>
        <v/>
      </c>
      <c r="AL299">
        <v>21</v>
      </c>
      <c r="AM299" t="str">
        <f>""</f>
        <v/>
      </c>
      <c r="AN299" t="str">
        <f>""</f>
        <v/>
      </c>
      <c r="AO299" t="str">
        <f>"Etienne Bézout"</f>
        <v>Etienne Bézout</v>
      </c>
      <c r="AP299" t="str">
        <f>"NEMOURS"</f>
        <v>NEMOURS</v>
      </c>
      <c r="AQ299" t="str">
        <f>"Créteil"</f>
        <v>Créteil</v>
      </c>
    </row>
    <row r="300" spans="1:43" x14ac:dyDescent="0.25">
      <c r="A300" t="str">
        <f t="shared" si="56"/>
        <v>2A,2A Ing,2A ex Prem.A,T00000</v>
      </c>
      <c r="B300" t="str">
        <f>"MORFOUACE"</f>
        <v>MORFOUACE</v>
      </c>
      <c r="C300" t="str">
        <f>"Émilien"</f>
        <v>Émilien</v>
      </c>
      <c r="D300" t="str">
        <f>"023-2497"</f>
        <v>023-2497</v>
      </c>
      <c r="E300" t="str">
        <f>"070363863DE"</f>
        <v>070363863DE</v>
      </c>
      <c r="F300" t="str">
        <f t="shared" si="52"/>
        <v>0352480F</v>
      </c>
      <c r="G300" t="str">
        <f t="shared" si="53"/>
        <v>O</v>
      </c>
      <c r="H300">
        <v>10</v>
      </c>
      <c r="I300">
        <v>2003</v>
      </c>
      <c r="J300">
        <v>1</v>
      </c>
      <c r="K300" t="str">
        <f>"S"</f>
        <v>S</v>
      </c>
      <c r="L300">
        <v>9</v>
      </c>
      <c r="M300">
        <v>2021</v>
      </c>
      <c r="N300" t="str">
        <f t="shared" si="55"/>
        <v>E</v>
      </c>
      <c r="O300" t="str">
        <f>"D"</f>
        <v>D</v>
      </c>
      <c r="P300">
        <v>0</v>
      </c>
      <c r="Q300">
        <v>100</v>
      </c>
      <c r="R300">
        <v>100</v>
      </c>
      <c r="S300">
        <v>35170</v>
      </c>
      <c r="T300">
        <v>100</v>
      </c>
      <c r="U300">
        <v>35170</v>
      </c>
      <c r="V300" t="str">
        <f>"TOEIC 1A le 24/05/20024 715"</f>
        <v>TOEIC 1A le 24/05/20024 715</v>
      </c>
      <c r="W300">
        <v>52</v>
      </c>
      <c r="X300">
        <v>0</v>
      </c>
      <c r="Y300">
        <v>6000577</v>
      </c>
      <c r="Z300">
        <v>2</v>
      </c>
      <c r="AA300">
        <v>27</v>
      </c>
      <c r="AB300" t="str">
        <f>""</f>
        <v/>
      </c>
      <c r="AC300" t="str">
        <f>""</f>
        <v/>
      </c>
      <c r="AD300" t="str">
        <f>""</f>
        <v/>
      </c>
      <c r="AE300">
        <v>2021</v>
      </c>
      <c r="AF300">
        <v>2023</v>
      </c>
      <c r="AG300" t="str">
        <f>"Bruz"</f>
        <v>Bruz</v>
      </c>
      <c r="AH300" t="str">
        <f>"Bruz"</f>
        <v>Bruz</v>
      </c>
      <c r="AI300" t="str">
        <f>""</f>
        <v/>
      </c>
      <c r="AJ300" t="str">
        <f>""</f>
        <v/>
      </c>
      <c r="AK300" t="str">
        <f>""</f>
        <v/>
      </c>
      <c r="AL300">
        <v>42</v>
      </c>
      <c r="AM300" t="str">
        <f>""</f>
        <v/>
      </c>
      <c r="AN300" t="str">
        <f>""</f>
        <v/>
      </c>
      <c r="AO300" t="str">
        <f>"Lycée Blaise Pascal"</f>
        <v>Lycée Blaise Pascal</v>
      </c>
      <c r="AP300" t="str">
        <f>"LONGUENESSE"</f>
        <v>LONGUENESSE</v>
      </c>
      <c r="AQ300" t="str">
        <f>"Lille"</f>
        <v>Lille</v>
      </c>
    </row>
    <row r="301" spans="1:43" x14ac:dyDescent="0.25">
      <c r="A301" t="str">
        <f t="shared" si="56"/>
        <v>2A,2A Ing,2A ex Prem.A,T00000</v>
      </c>
      <c r="B301" t="str">
        <f>"NENEHIDINI"</f>
        <v>NENEHIDINI</v>
      </c>
      <c r="C301" t="str">
        <f>"Céleste"</f>
        <v>Céleste</v>
      </c>
      <c r="D301" t="str">
        <f>"023-2361"</f>
        <v>023-2361</v>
      </c>
      <c r="E301" t="str">
        <f>"203417211DE"</f>
        <v>203417211DE</v>
      </c>
      <c r="F301" t="str">
        <f t="shared" si="52"/>
        <v>0352480F</v>
      </c>
      <c r="G301" t="str">
        <f t="shared" si="53"/>
        <v>O</v>
      </c>
      <c r="H301">
        <v>10</v>
      </c>
      <c r="I301">
        <v>2001</v>
      </c>
      <c r="J301">
        <v>2</v>
      </c>
      <c r="K301" t="str">
        <f>"C"</f>
        <v>C</v>
      </c>
      <c r="L301" t="str">
        <f>""</f>
        <v/>
      </c>
      <c r="M301">
        <v>2018</v>
      </c>
      <c r="N301" t="str">
        <f t="shared" si="55"/>
        <v>E</v>
      </c>
      <c r="O301" t="str">
        <f>"N"</f>
        <v>N</v>
      </c>
      <c r="P301">
        <v>0</v>
      </c>
      <c r="Q301">
        <v>327</v>
      </c>
      <c r="R301">
        <v>100</v>
      </c>
      <c r="S301">
        <v>35170</v>
      </c>
      <c r="T301">
        <v>100</v>
      </c>
      <c r="U301">
        <v>35170</v>
      </c>
      <c r="V301" t="str">
        <f>"CLES niveau B2 obtenu en Licence 21/02/2023"</f>
        <v>CLES niveau B2 obtenu en Licence 21/02/2023</v>
      </c>
      <c r="W301">
        <v>38</v>
      </c>
      <c r="X301">
        <v>0</v>
      </c>
      <c r="Y301">
        <v>6000577</v>
      </c>
      <c r="Z301">
        <v>2</v>
      </c>
      <c r="AA301">
        <v>27</v>
      </c>
      <c r="AB301" t="str">
        <f>""</f>
        <v/>
      </c>
      <c r="AC301" t="str">
        <f>""</f>
        <v/>
      </c>
      <c r="AD301" t="str">
        <f>""</f>
        <v/>
      </c>
      <c r="AE301">
        <v>2021</v>
      </c>
      <c r="AF301">
        <v>2023</v>
      </c>
      <c r="AG301" t="str">
        <f>"BRUZ"</f>
        <v>BRUZ</v>
      </c>
      <c r="AH301" t="str">
        <f>"BRUZ"</f>
        <v>BRUZ</v>
      </c>
      <c r="AI301" t="str">
        <f>""</f>
        <v/>
      </c>
      <c r="AJ301" t="str">
        <f>""</f>
        <v/>
      </c>
      <c r="AK301" t="str">
        <f>""</f>
        <v/>
      </c>
      <c r="AL301">
        <v>34</v>
      </c>
      <c r="AM301" t="str">
        <f>""</f>
        <v/>
      </c>
      <c r="AN301" t="str">
        <f>""</f>
        <v/>
      </c>
      <c r="AO301" t="str">
        <f>"St Augustin"</f>
        <v>St Augustin</v>
      </c>
      <c r="AP301" t="str">
        <f>"NATITINGOU"</f>
        <v>NATITINGOU</v>
      </c>
      <c r="AQ301" t="str">
        <f>""</f>
        <v/>
      </c>
    </row>
    <row r="302" spans="1:43" x14ac:dyDescent="0.25">
      <c r="A302" t="str">
        <f t="shared" si="56"/>
        <v>2A,2A Ing,2A ex Prem.A,T00000</v>
      </c>
      <c r="B302" t="str">
        <f>"O'CONNOR"</f>
        <v>O'CONNOR</v>
      </c>
      <c r="C302" t="str">
        <f>"Tom"</f>
        <v>Tom</v>
      </c>
      <c r="D302" t="str">
        <f>"023-2494"</f>
        <v>023-2494</v>
      </c>
      <c r="E302" t="str">
        <f>"153460433GG"</f>
        <v>153460433GG</v>
      </c>
      <c r="F302" t="str">
        <f t="shared" si="52"/>
        <v>0352480F</v>
      </c>
      <c r="G302" t="str">
        <f t="shared" si="53"/>
        <v>O</v>
      </c>
      <c r="H302">
        <v>10</v>
      </c>
      <c r="I302">
        <v>2002</v>
      </c>
      <c r="J302">
        <v>1</v>
      </c>
      <c r="K302" t="str">
        <f>"S"</f>
        <v>S</v>
      </c>
      <c r="L302">
        <v>23</v>
      </c>
      <c r="M302">
        <v>2020</v>
      </c>
      <c r="N302" t="str">
        <f t="shared" ref="N302:N333" si="59">"E"</f>
        <v>E</v>
      </c>
      <c r="O302" t="str">
        <f>"A"</f>
        <v>A</v>
      </c>
      <c r="P302">
        <v>0</v>
      </c>
      <c r="Q302">
        <v>100</v>
      </c>
      <c r="R302">
        <v>100</v>
      </c>
      <c r="S302">
        <v>35170</v>
      </c>
      <c r="T302">
        <v>100</v>
      </c>
      <c r="U302">
        <v>35170</v>
      </c>
      <c r="V302" t="str">
        <f>"TOEIC 1A le 24/05/20024 985"</f>
        <v>TOEIC 1A le 24/05/20024 985</v>
      </c>
      <c r="W302">
        <v>52</v>
      </c>
      <c r="X302">
        <v>0</v>
      </c>
      <c r="Y302">
        <v>6000577</v>
      </c>
      <c r="Z302">
        <v>2</v>
      </c>
      <c r="AA302">
        <v>27</v>
      </c>
      <c r="AB302" t="str">
        <f>""</f>
        <v/>
      </c>
      <c r="AC302" t="str">
        <f>""</f>
        <v/>
      </c>
      <c r="AD302" t="str">
        <f>""</f>
        <v/>
      </c>
      <c r="AE302">
        <v>2020</v>
      </c>
      <c r="AF302">
        <v>2023</v>
      </c>
      <c r="AG302" t="str">
        <f>"BRUZ"</f>
        <v>BRUZ</v>
      </c>
      <c r="AH302" t="str">
        <f>"BRUZ"</f>
        <v>BRUZ</v>
      </c>
      <c r="AI302" t="str">
        <f>""</f>
        <v/>
      </c>
      <c r="AJ302" t="str">
        <f>""</f>
        <v/>
      </c>
      <c r="AK302" t="str">
        <f>""</f>
        <v/>
      </c>
      <c r="AL302">
        <v>52</v>
      </c>
      <c r="AM302" t="str">
        <f>""</f>
        <v/>
      </c>
      <c r="AN302" t="str">
        <f>""</f>
        <v/>
      </c>
      <c r="AO302" t="str">
        <f>"Jean Aicard"</f>
        <v>Jean Aicard</v>
      </c>
      <c r="AP302" t="str">
        <f>"HYÈRES"</f>
        <v>HYÈRES</v>
      </c>
      <c r="AQ302" t="str">
        <f>"Nice"</f>
        <v>Nice</v>
      </c>
    </row>
    <row r="303" spans="1:43" x14ac:dyDescent="0.25">
      <c r="A303" t="str">
        <f t="shared" si="56"/>
        <v>2A,2A Ing,2A ex Prem.A,T00000</v>
      </c>
      <c r="B303" t="str">
        <f>"PUENTES--MENDES PINTO"</f>
        <v>PUENTES--MENDES PINTO</v>
      </c>
      <c r="C303" t="str">
        <f>"Gaël"</f>
        <v>Gaël</v>
      </c>
      <c r="D303" t="str">
        <f>"023-2439"</f>
        <v>023-2439</v>
      </c>
      <c r="E303" t="str">
        <f>"080746643DH"</f>
        <v>080746643DH</v>
      </c>
      <c r="F303" t="str">
        <f t="shared" si="52"/>
        <v>0352480F</v>
      </c>
      <c r="G303" t="str">
        <f t="shared" si="53"/>
        <v>O</v>
      </c>
      <c r="H303">
        <v>10</v>
      </c>
      <c r="I303">
        <v>2002</v>
      </c>
      <c r="J303">
        <v>1</v>
      </c>
      <c r="K303" t="str">
        <f>"S"</f>
        <v>S</v>
      </c>
      <c r="L303">
        <v>7</v>
      </c>
      <c r="M303">
        <v>2020</v>
      </c>
      <c r="N303" t="str">
        <f t="shared" si="59"/>
        <v>E</v>
      </c>
      <c r="O303" t="str">
        <f>"A"</f>
        <v>A</v>
      </c>
      <c r="P303">
        <v>0</v>
      </c>
      <c r="Q303">
        <v>100</v>
      </c>
      <c r="R303">
        <v>100</v>
      </c>
      <c r="S303">
        <v>35136</v>
      </c>
      <c r="T303">
        <v>100</v>
      </c>
      <c r="U303">
        <v>35136</v>
      </c>
      <c r="V303" t="str">
        <f>"TOEIC 1A le 24/05/20024 890"</f>
        <v>TOEIC 1A le 24/05/20024 890</v>
      </c>
      <c r="W303">
        <v>52</v>
      </c>
      <c r="X303">
        <v>0</v>
      </c>
      <c r="Y303">
        <v>6000577</v>
      </c>
      <c r="Z303">
        <v>2</v>
      </c>
      <c r="AA303">
        <v>27</v>
      </c>
      <c r="AB303" t="str">
        <f>""</f>
        <v/>
      </c>
      <c r="AC303" t="str">
        <f>""</f>
        <v/>
      </c>
      <c r="AD303" t="str">
        <f>""</f>
        <v/>
      </c>
      <c r="AE303">
        <v>2020</v>
      </c>
      <c r="AF303">
        <v>2023</v>
      </c>
      <c r="AG303" t="str">
        <f>"Saint-Jacques de la Lande"</f>
        <v>Saint-Jacques de la Lande</v>
      </c>
      <c r="AH303" t="str">
        <f>"Saint-Jacques de la Lande"</f>
        <v>Saint-Jacques de la Lande</v>
      </c>
      <c r="AI303" t="str">
        <f>""</f>
        <v/>
      </c>
      <c r="AJ303" t="str">
        <f>""</f>
        <v/>
      </c>
      <c r="AK303" t="str">
        <f>""</f>
        <v/>
      </c>
      <c r="AL303">
        <v>52</v>
      </c>
      <c r="AM303" t="str">
        <f>""</f>
        <v/>
      </c>
      <c r="AN303" t="str">
        <f>""</f>
        <v/>
      </c>
      <c r="AO303" t="str">
        <f>"Lycée Raoul Follereau"</f>
        <v>Lycée Raoul Follereau</v>
      </c>
      <c r="AP303" t="str">
        <f>"NEVERS"</f>
        <v>NEVERS</v>
      </c>
      <c r="AQ303" t="str">
        <f>"Dijon"</f>
        <v>Dijon</v>
      </c>
    </row>
    <row r="304" spans="1:43" x14ac:dyDescent="0.25">
      <c r="A304" t="str">
        <f t="shared" si="56"/>
        <v>2A,2A Ing,2A ex Prem.A,T00000</v>
      </c>
      <c r="B304" t="str">
        <f>"RAFFALI"</f>
        <v>RAFFALI</v>
      </c>
      <c r="C304" t="str">
        <f>"Amine"</f>
        <v>Amine</v>
      </c>
      <c r="D304" t="str">
        <f>"023-2484"</f>
        <v>023-2484</v>
      </c>
      <c r="E304" t="str">
        <f>"070476025AE"</f>
        <v>070476025AE</v>
      </c>
      <c r="F304" t="str">
        <f t="shared" si="52"/>
        <v>0352480F</v>
      </c>
      <c r="G304" t="str">
        <f t="shared" si="53"/>
        <v>O</v>
      </c>
      <c r="H304">
        <v>10</v>
      </c>
      <c r="I304">
        <v>2003</v>
      </c>
      <c r="J304">
        <v>1</v>
      </c>
      <c r="K304" t="str">
        <f>"S"</f>
        <v>S</v>
      </c>
      <c r="L304">
        <v>16</v>
      </c>
      <c r="M304">
        <v>2021</v>
      </c>
      <c r="N304" t="str">
        <f t="shared" si="59"/>
        <v>E</v>
      </c>
      <c r="O304" t="str">
        <f>"D"</f>
        <v>D</v>
      </c>
      <c r="P304">
        <v>0</v>
      </c>
      <c r="Q304">
        <v>100</v>
      </c>
      <c r="R304">
        <v>100</v>
      </c>
      <c r="S304">
        <v>35170</v>
      </c>
      <c r="T304">
        <v>100</v>
      </c>
      <c r="U304">
        <v>35170</v>
      </c>
      <c r="V304" t="str">
        <f>"TOEIC 1A le 24/05/20024 855    2024-2025 : En attente attestation de bourse (dossier constitué hors délai par l'élève)"</f>
        <v>TOEIC 1A le 24/05/20024 855    2024-2025 : En attente attestation de bourse (dossier constitué hors délai par l'élève)</v>
      </c>
      <c r="W304">
        <v>0</v>
      </c>
      <c r="X304">
        <v>0</v>
      </c>
      <c r="Y304">
        <v>6000577</v>
      </c>
      <c r="Z304">
        <v>2</v>
      </c>
      <c r="AA304">
        <v>27</v>
      </c>
      <c r="AB304" t="str">
        <f>""</f>
        <v/>
      </c>
      <c r="AC304" t="str">
        <f>""</f>
        <v/>
      </c>
      <c r="AD304" t="str">
        <f>""</f>
        <v/>
      </c>
      <c r="AE304">
        <v>2021</v>
      </c>
      <c r="AF304">
        <v>2023</v>
      </c>
      <c r="AG304" t="str">
        <f>"Bruz"</f>
        <v>Bruz</v>
      </c>
      <c r="AH304" t="str">
        <f>"Bruz"</f>
        <v>Bruz</v>
      </c>
      <c r="AI304" t="str">
        <f>""</f>
        <v/>
      </c>
      <c r="AJ304" t="str">
        <f>""</f>
        <v/>
      </c>
      <c r="AK304" t="str">
        <f>""</f>
        <v/>
      </c>
      <c r="AL304">
        <v>99</v>
      </c>
      <c r="AM304" t="str">
        <f>""</f>
        <v/>
      </c>
      <c r="AN304" t="str">
        <f>""</f>
        <v/>
      </c>
      <c r="AO304" t="str">
        <f>"Théophile Gauthier"</f>
        <v>Théophile Gauthier</v>
      </c>
      <c r="AP304" t="str">
        <f>"TARBES"</f>
        <v>TARBES</v>
      </c>
      <c r="AQ304" t="str">
        <f>"Toulouse"</f>
        <v>Toulouse</v>
      </c>
    </row>
    <row r="305" spans="1:43" x14ac:dyDescent="0.25">
      <c r="A305" t="str">
        <f t="shared" si="56"/>
        <v>2A,2A Ing,2A ex Prem.A,T00000</v>
      </c>
      <c r="B305" t="str">
        <f>"RENON"</f>
        <v>RENON</v>
      </c>
      <c r="C305" t="str">
        <f>"Enguerrand"</f>
        <v>Enguerrand</v>
      </c>
      <c r="D305" t="str">
        <f>"023-2452"</f>
        <v>023-2452</v>
      </c>
      <c r="E305" t="str">
        <f>"060885252KG"</f>
        <v>060885252KG</v>
      </c>
      <c r="F305" t="str">
        <f t="shared" si="52"/>
        <v>0352480F</v>
      </c>
      <c r="G305" t="str">
        <f t="shared" si="53"/>
        <v>O</v>
      </c>
      <c r="H305">
        <v>10</v>
      </c>
      <c r="I305">
        <v>2002</v>
      </c>
      <c r="J305">
        <v>1</v>
      </c>
      <c r="K305" t="str">
        <f>"S"</f>
        <v>S</v>
      </c>
      <c r="L305">
        <v>3</v>
      </c>
      <c r="M305">
        <v>2020</v>
      </c>
      <c r="N305" t="str">
        <f t="shared" si="59"/>
        <v>E</v>
      </c>
      <c r="O305" t="str">
        <f>"D"</f>
        <v>D</v>
      </c>
      <c r="P305">
        <v>0</v>
      </c>
      <c r="Q305">
        <v>100</v>
      </c>
      <c r="R305">
        <v>100</v>
      </c>
      <c r="S305">
        <v>35170</v>
      </c>
      <c r="T305">
        <v>100</v>
      </c>
      <c r="U305">
        <v>35170</v>
      </c>
      <c r="V305" t="str">
        <f>"TOEIC 1A le 24/05/20024 940"</f>
        <v>TOEIC 1A le 24/05/20024 940</v>
      </c>
      <c r="W305">
        <v>37</v>
      </c>
      <c r="X305">
        <v>0</v>
      </c>
      <c r="Y305">
        <v>6000577</v>
      </c>
      <c r="Z305">
        <v>2</v>
      </c>
      <c r="AA305">
        <v>27</v>
      </c>
      <c r="AB305" t="str">
        <f>""</f>
        <v/>
      </c>
      <c r="AC305" t="str">
        <f>""</f>
        <v/>
      </c>
      <c r="AD305" t="str">
        <f>""</f>
        <v/>
      </c>
      <c r="AE305">
        <v>2020</v>
      </c>
      <c r="AF305">
        <v>2023</v>
      </c>
      <c r="AG305" t="str">
        <f>"Bruz"</f>
        <v>Bruz</v>
      </c>
      <c r="AH305" t="str">
        <f>"Bruz"</f>
        <v>Bruz</v>
      </c>
      <c r="AI305" t="str">
        <f>""</f>
        <v/>
      </c>
      <c r="AJ305" t="str">
        <f>""</f>
        <v/>
      </c>
      <c r="AK305" t="str">
        <f>""</f>
        <v/>
      </c>
      <c r="AL305">
        <v>99</v>
      </c>
      <c r="AM305" t="str">
        <f>""</f>
        <v/>
      </c>
      <c r="AN305" t="str">
        <f>""</f>
        <v/>
      </c>
      <c r="AO305" t="str">
        <f>"Lycée Raoul Follereau"</f>
        <v>Lycée Raoul Follereau</v>
      </c>
      <c r="AP305" t="str">
        <f>"BELFORT"</f>
        <v>BELFORT</v>
      </c>
      <c r="AQ305" t="str">
        <f>"Besançon"</f>
        <v>Besançon</v>
      </c>
    </row>
    <row r="306" spans="1:43" x14ac:dyDescent="0.25">
      <c r="A306" t="str">
        <f t="shared" si="56"/>
        <v>2A,2A Ing,2A ex Prem.A,T00000</v>
      </c>
      <c r="B306" t="str">
        <f>"SAIDI"</f>
        <v>SAIDI</v>
      </c>
      <c r="C306" t="str">
        <f>"Mahdi"</f>
        <v>Mahdi</v>
      </c>
      <c r="D306" t="str">
        <f>"023-2456"</f>
        <v>023-2456</v>
      </c>
      <c r="E306" t="str">
        <f>"223431346AG"</f>
        <v>223431346AG</v>
      </c>
      <c r="F306" t="str">
        <f t="shared" si="52"/>
        <v>0352480F</v>
      </c>
      <c r="G306" t="str">
        <f t="shared" si="53"/>
        <v>O</v>
      </c>
      <c r="H306">
        <v>10</v>
      </c>
      <c r="I306">
        <v>2002</v>
      </c>
      <c r="J306">
        <v>1</v>
      </c>
      <c r="K306" t="str">
        <f>""</f>
        <v/>
      </c>
      <c r="L306">
        <v>0</v>
      </c>
      <c r="M306">
        <v>2021</v>
      </c>
      <c r="N306" t="str">
        <f t="shared" si="59"/>
        <v>E</v>
      </c>
      <c r="O306" t="str">
        <f>"D"</f>
        <v>D</v>
      </c>
      <c r="P306">
        <v>0</v>
      </c>
      <c r="Q306">
        <v>351</v>
      </c>
      <c r="R306">
        <v>100</v>
      </c>
      <c r="S306">
        <v>35200</v>
      </c>
      <c r="T306">
        <v>100</v>
      </c>
      <c r="U306">
        <v>35200</v>
      </c>
      <c r="V306" t="str">
        <f>"Exonéré des droits de scolarité par R. Le SAOUT : Décision du 05/09/2023  TOEIC 1A le 24/05/20024 815"</f>
        <v>Exonéré des droits de scolarité par R. Le SAOUT : Décision du 05/09/2023  TOEIC 1A le 24/05/20024 815</v>
      </c>
      <c r="W306">
        <v>0</v>
      </c>
      <c r="X306">
        <v>0</v>
      </c>
      <c r="Y306">
        <v>6000577</v>
      </c>
      <c r="Z306">
        <v>2</v>
      </c>
      <c r="AA306">
        <v>27</v>
      </c>
      <c r="AB306" t="str">
        <f>""</f>
        <v/>
      </c>
      <c r="AC306" t="str">
        <f>""</f>
        <v/>
      </c>
      <c r="AD306" t="str">
        <f>""</f>
        <v/>
      </c>
      <c r="AE306">
        <v>2023</v>
      </c>
      <c r="AF306">
        <v>2023</v>
      </c>
      <c r="AG306" t="str">
        <f>"Rennes"</f>
        <v>Rennes</v>
      </c>
      <c r="AH306" t="str">
        <f>"Rennes"</f>
        <v>Rennes</v>
      </c>
      <c r="AI306" t="str">
        <f>""</f>
        <v/>
      </c>
      <c r="AJ306" t="str">
        <f>""</f>
        <v/>
      </c>
      <c r="AK306" t="str">
        <f>""</f>
        <v/>
      </c>
      <c r="AL306">
        <v>81</v>
      </c>
      <c r="AM306" t="str">
        <f>""</f>
        <v/>
      </c>
      <c r="AN306" t="str">
        <f>""</f>
        <v/>
      </c>
      <c r="AO306" t="str">
        <f>"Lycée Pilote Jendouba"</f>
        <v>Lycée Pilote Jendouba</v>
      </c>
      <c r="AP306" t="str">
        <f>"JENDOUBA"</f>
        <v>JENDOUBA</v>
      </c>
      <c r="AQ306" t="str">
        <f>"Etranger"</f>
        <v>Etranger</v>
      </c>
    </row>
    <row r="307" spans="1:43" x14ac:dyDescent="0.25">
      <c r="A307" t="str">
        <f t="shared" si="56"/>
        <v>2A,2A Ing,2A ex Prem.A,T00000</v>
      </c>
      <c r="B307" t="str">
        <f>"SANNIER"</f>
        <v>SANNIER</v>
      </c>
      <c r="C307" t="str">
        <f>"Théo"</f>
        <v>Théo</v>
      </c>
      <c r="D307" t="str">
        <f>"023-2449"</f>
        <v>023-2449</v>
      </c>
      <c r="E307" t="str">
        <f>"091186824GD"</f>
        <v>091186824GD</v>
      </c>
      <c r="F307" t="str">
        <f t="shared" si="52"/>
        <v>0352480F</v>
      </c>
      <c r="G307" t="str">
        <f t="shared" si="53"/>
        <v>O</v>
      </c>
      <c r="H307">
        <v>10</v>
      </c>
      <c r="I307">
        <v>2003</v>
      </c>
      <c r="J307">
        <v>1</v>
      </c>
      <c r="K307" t="str">
        <f>"S"</f>
        <v>S</v>
      </c>
      <c r="L307" t="str">
        <f>""</f>
        <v/>
      </c>
      <c r="M307">
        <v>2021</v>
      </c>
      <c r="N307" t="str">
        <f t="shared" si="59"/>
        <v>E</v>
      </c>
      <c r="O307" t="str">
        <f>"D"</f>
        <v>D</v>
      </c>
      <c r="P307">
        <v>0</v>
      </c>
      <c r="Q307">
        <v>100</v>
      </c>
      <c r="R307">
        <v>100</v>
      </c>
      <c r="S307">
        <v>35170</v>
      </c>
      <c r="T307">
        <v>100</v>
      </c>
      <c r="U307">
        <v>35170</v>
      </c>
      <c r="V307" t="str">
        <f>"TOEIC 1A le 24/05/20024 955"</f>
        <v>TOEIC 1A le 24/05/20024 955</v>
      </c>
      <c r="W307">
        <v>45</v>
      </c>
      <c r="X307">
        <v>0</v>
      </c>
      <c r="Y307">
        <v>6000577</v>
      </c>
      <c r="Z307">
        <v>2</v>
      </c>
      <c r="AA307">
        <v>27</v>
      </c>
      <c r="AB307" t="str">
        <f>""</f>
        <v/>
      </c>
      <c r="AC307" t="str">
        <f>""</f>
        <v/>
      </c>
      <c r="AD307" t="str">
        <f>""</f>
        <v/>
      </c>
      <c r="AE307">
        <v>2021</v>
      </c>
      <c r="AF307">
        <v>2023</v>
      </c>
      <c r="AG307" t="str">
        <f>"Bruz"</f>
        <v>Bruz</v>
      </c>
      <c r="AH307" t="str">
        <f>"Bruz"</f>
        <v>Bruz</v>
      </c>
      <c r="AI307" t="str">
        <f>""</f>
        <v/>
      </c>
      <c r="AJ307" t="str">
        <f>""</f>
        <v/>
      </c>
      <c r="AK307" t="str">
        <f>""</f>
        <v/>
      </c>
      <c r="AL307">
        <v>21</v>
      </c>
      <c r="AM307" t="str">
        <f>""</f>
        <v/>
      </c>
      <c r="AN307" t="str">
        <f>""</f>
        <v/>
      </c>
      <c r="AO307" t="str">
        <f>"LPO Louise Michel"</f>
        <v>LPO Louise Michel</v>
      </c>
      <c r="AP307" t="str">
        <f>"GISORS"</f>
        <v>GISORS</v>
      </c>
      <c r="AQ307" t="str">
        <f>""</f>
        <v/>
      </c>
    </row>
    <row r="308" spans="1:43" x14ac:dyDescent="0.25">
      <c r="A308" t="str">
        <f t="shared" si="56"/>
        <v>2A,2A Ing,2A ex Prem.A,T00000</v>
      </c>
      <c r="B308" t="str">
        <f>"SECK"</f>
        <v>SECK</v>
      </c>
      <c r="C308" t="str">
        <f>"El Hadji Massamba"</f>
        <v>El Hadji Massamba</v>
      </c>
      <c r="D308" t="str">
        <f>"023-2491"</f>
        <v>023-2491</v>
      </c>
      <c r="E308" t="str">
        <f>"213088092FD"</f>
        <v>213088092FD</v>
      </c>
      <c r="F308" t="str">
        <f t="shared" si="52"/>
        <v>0352480F</v>
      </c>
      <c r="G308" t="str">
        <f t="shared" si="53"/>
        <v>O</v>
      </c>
      <c r="H308">
        <v>10</v>
      </c>
      <c r="I308">
        <v>2002</v>
      </c>
      <c r="J308">
        <v>1</v>
      </c>
      <c r="K308" t="str">
        <f>"S"</f>
        <v>S</v>
      </c>
      <c r="L308">
        <v>0</v>
      </c>
      <c r="M308">
        <v>2021</v>
      </c>
      <c r="N308" t="str">
        <f t="shared" si="59"/>
        <v>E</v>
      </c>
      <c r="O308" t="str">
        <f>"D"</f>
        <v>D</v>
      </c>
      <c r="P308">
        <v>0</v>
      </c>
      <c r="Q308">
        <v>341</v>
      </c>
      <c r="R308">
        <v>100</v>
      </c>
      <c r="S308" t="str">
        <f>""</f>
        <v/>
      </c>
      <c r="T308">
        <v>100</v>
      </c>
      <c r="U308" t="str">
        <f>""</f>
        <v/>
      </c>
      <c r="V308" t="str">
        <f>"TOEIC 1A le 24/05/20024 645"</f>
        <v>TOEIC 1A le 24/05/20024 645</v>
      </c>
      <c r="W308">
        <v>34</v>
      </c>
      <c r="X308">
        <v>0</v>
      </c>
      <c r="Y308">
        <v>6000577</v>
      </c>
      <c r="Z308">
        <v>2</v>
      </c>
      <c r="AA308">
        <v>27</v>
      </c>
      <c r="AB308" t="str">
        <f>""</f>
        <v/>
      </c>
      <c r="AC308" t="str">
        <f>""</f>
        <v/>
      </c>
      <c r="AD308" t="str">
        <f>""</f>
        <v/>
      </c>
      <c r="AE308" t="str">
        <f>""</f>
        <v/>
      </c>
      <c r="AF308">
        <v>2023</v>
      </c>
      <c r="AG308" t="str">
        <f>""</f>
        <v/>
      </c>
      <c r="AH308" t="str">
        <f>""</f>
        <v/>
      </c>
      <c r="AI308" t="str">
        <f>""</f>
        <v/>
      </c>
      <c r="AJ308" t="str">
        <f>""</f>
        <v/>
      </c>
      <c r="AK308" t="str">
        <f>""</f>
        <v/>
      </c>
      <c r="AL308">
        <v>99</v>
      </c>
      <c r="AM308" t="str">
        <f>""</f>
        <v/>
      </c>
      <c r="AN308" t="str">
        <f>""</f>
        <v/>
      </c>
      <c r="AO308" t="str">
        <f>"Lycée scientifique d'excellence"</f>
        <v>Lycée scientifique d'excellence</v>
      </c>
      <c r="AP308" t="str">
        <f>"DIOURBEL"</f>
        <v>DIOURBEL</v>
      </c>
      <c r="AQ308" t="str">
        <f>"Etranger"</f>
        <v>Etranger</v>
      </c>
    </row>
    <row r="309" spans="1:43" x14ac:dyDescent="0.25">
      <c r="A309" t="str">
        <f t="shared" si="56"/>
        <v>2A,2A Ing,2A ex Prem.A,T00000</v>
      </c>
      <c r="B309" t="str">
        <f>"SUOS"</f>
        <v>SUOS</v>
      </c>
      <c r="C309" t="str">
        <f>"Sayan"</f>
        <v>Sayan</v>
      </c>
      <c r="D309" t="str">
        <f>"023-2363"</f>
        <v>023-2363</v>
      </c>
      <c r="E309" t="str">
        <f>"100053121FB"</f>
        <v>100053121FB</v>
      </c>
      <c r="F309" t="str">
        <f t="shared" si="52"/>
        <v>0352480F</v>
      </c>
      <c r="G309" t="str">
        <f t="shared" si="53"/>
        <v>O</v>
      </c>
      <c r="H309">
        <v>10</v>
      </c>
      <c r="I309">
        <v>2002</v>
      </c>
      <c r="J309">
        <v>2</v>
      </c>
      <c r="K309" t="str">
        <f>"S"</f>
        <v>S</v>
      </c>
      <c r="L309">
        <v>17</v>
      </c>
      <c r="M309">
        <v>2021</v>
      </c>
      <c r="N309" t="str">
        <f t="shared" si="59"/>
        <v>E</v>
      </c>
      <c r="O309" t="str">
        <f>"N"</f>
        <v>N</v>
      </c>
      <c r="P309">
        <v>0</v>
      </c>
      <c r="Q309">
        <v>100</v>
      </c>
      <c r="R309">
        <v>100</v>
      </c>
      <c r="S309">
        <v>35890</v>
      </c>
      <c r="T309">
        <v>100</v>
      </c>
      <c r="U309">
        <v>35890</v>
      </c>
      <c r="V309" t="str">
        <f>"TOEIC 1A le 24/05/20024 925"</f>
        <v>TOEIC 1A le 24/05/20024 925</v>
      </c>
      <c r="W309">
        <v>38</v>
      </c>
      <c r="X309">
        <v>0</v>
      </c>
      <c r="Y309">
        <v>6000577</v>
      </c>
      <c r="Z309">
        <v>2</v>
      </c>
      <c r="AA309">
        <v>27</v>
      </c>
      <c r="AB309" t="str">
        <f>""</f>
        <v/>
      </c>
      <c r="AC309" t="str">
        <f>""</f>
        <v/>
      </c>
      <c r="AD309" t="str">
        <f>""</f>
        <v/>
      </c>
      <c r="AE309">
        <v>2021</v>
      </c>
      <c r="AF309">
        <v>2023</v>
      </c>
      <c r="AG309" t="str">
        <f>"LAILLÉ"</f>
        <v>LAILLÉ</v>
      </c>
      <c r="AH309" t="str">
        <f>"LAILLÉ"</f>
        <v>LAILLÉ</v>
      </c>
      <c r="AI309" t="str">
        <f>""</f>
        <v/>
      </c>
      <c r="AJ309" t="str">
        <f>""</f>
        <v/>
      </c>
      <c r="AK309" t="str">
        <f>""</f>
        <v/>
      </c>
      <c r="AL309">
        <v>82</v>
      </c>
      <c r="AM309" t="str">
        <f>""</f>
        <v/>
      </c>
      <c r="AN309" t="str">
        <f>""</f>
        <v/>
      </c>
      <c r="AO309" t="str">
        <f>"Lycée Jean Moulin"</f>
        <v>Lycée Jean Moulin</v>
      </c>
      <c r="AP309" t="str">
        <f>"ANGERS"</f>
        <v>ANGERS</v>
      </c>
      <c r="AQ309" t="str">
        <f>"Nantes"</f>
        <v>Nantes</v>
      </c>
    </row>
    <row r="310" spans="1:43" x14ac:dyDescent="0.25">
      <c r="A310" t="str">
        <f t="shared" si="56"/>
        <v>2A,2A Ing,2A ex Prem.A,T00000</v>
      </c>
      <c r="B310" t="str">
        <f>"TAOUZINET"</f>
        <v>TAOUZINET</v>
      </c>
      <c r="C310" t="str">
        <f>"Zoé"</f>
        <v>Zoé</v>
      </c>
      <c r="D310" t="str">
        <f>"023-2471"</f>
        <v>023-2471</v>
      </c>
      <c r="E310" t="str">
        <f>"081154228EG"</f>
        <v>081154228EG</v>
      </c>
      <c r="F310" t="str">
        <f t="shared" si="52"/>
        <v>0352480F</v>
      </c>
      <c r="G310" t="str">
        <f t="shared" si="53"/>
        <v>O</v>
      </c>
      <c r="H310">
        <v>10</v>
      </c>
      <c r="I310">
        <v>2002</v>
      </c>
      <c r="J310">
        <v>2</v>
      </c>
      <c r="K310" t="str">
        <f>"S"</f>
        <v>S</v>
      </c>
      <c r="L310">
        <v>3</v>
      </c>
      <c r="M310">
        <v>2020</v>
      </c>
      <c r="N310" t="str">
        <f t="shared" si="59"/>
        <v>E</v>
      </c>
      <c r="O310" t="str">
        <f>"D"</f>
        <v>D</v>
      </c>
      <c r="P310">
        <v>0</v>
      </c>
      <c r="Q310">
        <v>100</v>
      </c>
      <c r="R310">
        <v>100</v>
      </c>
      <c r="S310">
        <v>35170</v>
      </c>
      <c r="T310">
        <v>100</v>
      </c>
      <c r="U310">
        <v>35170</v>
      </c>
      <c r="V310" t="str">
        <f>"Déléguée 2023/2024"</f>
        <v>Déléguée 2023/2024</v>
      </c>
      <c r="W310">
        <v>53</v>
      </c>
      <c r="X310">
        <v>0</v>
      </c>
      <c r="Y310">
        <v>6000577</v>
      </c>
      <c r="Z310">
        <v>2</v>
      </c>
      <c r="AA310">
        <v>27</v>
      </c>
      <c r="AB310" t="str">
        <f>""</f>
        <v/>
      </c>
      <c r="AC310" t="str">
        <f>""</f>
        <v/>
      </c>
      <c r="AD310" t="str">
        <f>""</f>
        <v/>
      </c>
      <c r="AE310">
        <v>2020</v>
      </c>
      <c r="AF310">
        <v>2023</v>
      </c>
      <c r="AG310" t="str">
        <f>"Bruz"</f>
        <v>Bruz</v>
      </c>
      <c r="AH310" t="str">
        <f>"Bruz"</f>
        <v>Bruz</v>
      </c>
      <c r="AI310" t="str">
        <f>""</f>
        <v/>
      </c>
      <c r="AJ310" t="str">
        <f>""</f>
        <v/>
      </c>
      <c r="AK310" t="str">
        <f>""</f>
        <v/>
      </c>
      <c r="AL310">
        <v>53</v>
      </c>
      <c r="AM310" t="str">
        <f>""</f>
        <v/>
      </c>
      <c r="AN310" t="str">
        <f>""</f>
        <v/>
      </c>
      <c r="AO310" t="str">
        <f>"Lycée Cuvier"</f>
        <v>Lycée Cuvier</v>
      </c>
      <c r="AP310" t="str">
        <f>"MONTBÉLIARD"</f>
        <v>MONTBÉLIARD</v>
      </c>
      <c r="AQ310" t="str">
        <f>"Besançon"</f>
        <v>Besançon</v>
      </c>
    </row>
    <row r="311" spans="1:43" x14ac:dyDescent="0.25">
      <c r="A311" t="str">
        <f t="shared" si="56"/>
        <v>2A,2A Ing,2A ex Prem.A,T00000</v>
      </c>
      <c r="B311" t="str">
        <f>"THIONG-LY"</f>
        <v>THIONG-LY</v>
      </c>
      <c r="C311" t="str">
        <f>"Maxime"</f>
        <v>Maxime</v>
      </c>
      <c r="D311" t="str">
        <f>"023-2444"</f>
        <v>023-2444</v>
      </c>
      <c r="E311" t="str">
        <f>"061261207BG"</f>
        <v>061261207BG</v>
      </c>
      <c r="F311" t="str">
        <f t="shared" si="52"/>
        <v>0352480F</v>
      </c>
      <c r="G311" t="str">
        <f t="shared" si="53"/>
        <v>O</v>
      </c>
      <c r="H311">
        <v>10</v>
      </c>
      <c r="I311">
        <v>2003</v>
      </c>
      <c r="J311">
        <v>1</v>
      </c>
      <c r="K311" t="str">
        <f>"NBGE"</f>
        <v>NBGE</v>
      </c>
      <c r="L311">
        <v>28</v>
      </c>
      <c r="M311">
        <v>2021</v>
      </c>
      <c r="N311" t="str">
        <f t="shared" si="59"/>
        <v>E</v>
      </c>
      <c r="O311" t="str">
        <f>"D"</f>
        <v>D</v>
      </c>
      <c r="P311">
        <v>0</v>
      </c>
      <c r="Q311">
        <v>100</v>
      </c>
      <c r="R311">
        <v>100</v>
      </c>
      <c r="S311">
        <v>35170</v>
      </c>
      <c r="T311">
        <v>100</v>
      </c>
      <c r="U311">
        <v>35170</v>
      </c>
      <c r="V311" t="str">
        <f>"Attribution du complément mérite Genes : 900 EUR  TOEIC 1A le 24/05/20024 835"</f>
        <v>Attribution du complément mérite Genes : 900 EUR  TOEIC 1A le 24/05/20024 835</v>
      </c>
      <c r="W311">
        <v>34</v>
      </c>
      <c r="X311">
        <v>0</v>
      </c>
      <c r="Y311">
        <v>6000577</v>
      </c>
      <c r="Z311">
        <v>2</v>
      </c>
      <c r="AA311">
        <v>27</v>
      </c>
      <c r="AB311" t="str">
        <f>""</f>
        <v/>
      </c>
      <c r="AC311" t="str">
        <f>""</f>
        <v/>
      </c>
      <c r="AD311" t="str">
        <f>""</f>
        <v/>
      </c>
      <c r="AE311">
        <v>2021</v>
      </c>
      <c r="AF311">
        <v>2023</v>
      </c>
      <c r="AG311" t="str">
        <f>"Bruz"</f>
        <v>Bruz</v>
      </c>
      <c r="AH311" t="str">
        <f>"Bruz"</f>
        <v>Bruz</v>
      </c>
      <c r="AI311" t="str">
        <f>""</f>
        <v/>
      </c>
      <c r="AJ311" t="str">
        <f>""</f>
        <v/>
      </c>
      <c r="AK311" t="str">
        <f>""</f>
        <v/>
      </c>
      <c r="AL311">
        <v>0</v>
      </c>
      <c r="AM311" t="str">
        <f>""</f>
        <v/>
      </c>
      <c r="AN311" t="str">
        <f>""</f>
        <v/>
      </c>
      <c r="AO311" t="str">
        <f>"Lycée La Salle Saint-Charles"</f>
        <v>Lycée La Salle Saint-Charles</v>
      </c>
      <c r="AP311" t="str">
        <f>"SAINT-PIERRE"</f>
        <v>SAINT-PIERRE</v>
      </c>
      <c r="AQ311" t="str">
        <f>"La Réunion"</f>
        <v>La Réunion</v>
      </c>
    </row>
    <row r="312" spans="1:43" x14ac:dyDescent="0.25">
      <c r="A312" t="str">
        <f>"2A,2A Ing,2A ex Prem.A,T01850"</f>
        <v>2A,2A Ing,2A ex Prem.A,T01850</v>
      </c>
      <c r="B312" t="str">
        <f>"CHARLOTTE"</f>
        <v>CHARLOTTE</v>
      </c>
      <c r="C312" t="str">
        <f>"Jérémie"</f>
        <v>Jérémie</v>
      </c>
      <c r="D312" t="str">
        <f>"022-2253"</f>
        <v>022-2253</v>
      </c>
      <c r="E312" t="str">
        <f>"081217034KG"</f>
        <v>081217034KG</v>
      </c>
      <c r="F312" t="str">
        <f t="shared" si="52"/>
        <v>0352480F</v>
      </c>
      <c r="G312" t="str">
        <f t="shared" si="53"/>
        <v>O</v>
      </c>
      <c r="H312">
        <v>10</v>
      </c>
      <c r="I312">
        <v>2001</v>
      </c>
      <c r="J312">
        <v>1</v>
      </c>
      <c r="K312" t="str">
        <f>"S"</f>
        <v>S</v>
      </c>
      <c r="L312">
        <v>31</v>
      </c>
      <c r="M312">
        <v>2019</v>
      </c>
      <c r="N312" t="str">
        <f t="shared" si="59"/>
        <v>E</v>
      </c>
      <c r="O312" t="str">
        <f>"D"</f>
        <v>D</v>
      </c>
      <c r="P312">
        <v>0</v>
      </c>
      <c r="Q312">
        <v>100</v>
      </c>
      <c r="R312">
        <v>100</v>
      </c>
      <c r="S312">
        <v>38000</v>
      </c>
      <c r="T312">
        <v>100</v>
      </c>
      <c r="U312">
        <v>38000</v>
      </c>
      <c r="V312" t="str">
        <f>"TOEIC passé à l'ENSAI le 22/05/2023 : score 935"</f>
        <v>TOEIC passé à l'ENSAI le 22/05/2023 : score 935</v>
      </c>
      <c r="W312">
        <v>34</v>
      </c>
      <c r="X312">
        <v>0</v>
      </c>
      <c r="Y312">
        <v>6000577</v>
      </c>
      <c r="Z312">
        <v>2</v>
      </c>
      <c r="AA312">
        <v>27</v>
      </c>
      <c r="AB312" t="str">
        <f>""</f>
        <v/>
      </c>
      <c r="AC312" t="str">
        <f>""</f>
        <v/>
      </c>
      <c r="AD312" t="str">
        <f>""</f>
        <v/>
      </c>
      <c r="AE312">
        <v>2019</v>
      </c>
      <c r="AF312">
        <v>2022</v>
      </c>
      <c r="AG312" t="str">
        <f>"Grenoble"</f>
        <v>Grenoble</v>
      </c>
      <c r="AH312" t="str">
        <f>"Grenoble"</f>
        <v>Grenoble</v>
      </c>
      <c r="AI312" t="str">
        <f>""</f>
        <v/>
      </c>
      <c r="AJ312" t="str">
        <f>""</f>
        <v/>
      </c>
      <c r="AK312" t="str">
        <f>""</f>
        <v/>
      </c>
      <c r="AL312">
        <v>38</v>
      </c>
      <c r="AM312" t="str">
        <f>""</f>
        <v/>
      </c>
      <c r="AN312" t="str">
        <f>""</f>
        <v/>
      </c>
      <c r="AO312" t="str">
        <f>"Acajou 2"</f>
        <v>Acajou 2</v>
      </c>
      <c r="AP312" t="str">
        <f>"LAMENTIN"</f>
        <v>LAMENTIN</v>
      </c>
      <c r="AQ312" t="str">
        <f>"Martinique"</f>
        <v>Martinique</v>
      </c>
    </row>
    <row r="313" spans="1:43" x14ac:dyDescent="0.25">
      <c r="A313" t="str">
        <f>"2A,2A Ing,2A ex Prem.A,T01850"</f>
        <v>2A,2A Ing,2A ex Prem.A,T01850</v>
      </c>
      <c r="B313" t="str">
        <f>"GMIRA"</f>
        <v>GMIRA</v>
      </c>
      <c r="C313" t="str">
        <f>"Amine"</f>
        <v>Amine</v>
      </c>
      <c r="D313" t="str">
        <f>"022-2268"</f>
        <v>022-2268</v>
      </c>
      <c r="E313" t="str">
        <f>"213475255BH"</f>
        <v>213475255BH</v>
      </c>
      <c r="F313" t="str">
        <f t="shared" si="52"/>
        <v>0352480F</v>
      </c>
      <c r="G313" t="str">
        <f t="shared" si="53"/>
        <v>O</v>
      </c>
      <c r="H313">
        <v>10</v>
      </c>
      <c r="I313">
        <v>2002</v>
      </c>
      <c r="J313">
        <v>1</v>
      </c>
      <c r="K313">
        <v>31</v>
      </c>
      <c r="L313">
        <v>0</v>
      </c>
      <c r="M313">
        <v>2019</v>
      </c>
      <c r="N313" t="str">
        <f t="shared" si="59"/>
        <v>E</v>
      </c>
      <c r="O313">
        <v>2</v>
      </c>
      <c r="P313">
        <v>0</v>
      </c>
      <c r="Q313">
        <v>350</v>
      </c>
      <c r="R313">
        <v>100</v>
      </c>
      <c r="S313">
        <v>3517</v>
      </c>
      <c r="T313">
        <v>100</v>
      </c>
      <c r="U313">
        <v>3517</v>
      </c>
      <c r="V313" t="str">
        <f>""</f>
        <v/>
      </c>
      <c r="W313">
        <v>34</v>
      </c>
      <c r="X313">
        <v>0</v>
      </c>
      <c r="Y313">
        <v>6000577</v>
      </c>
      <c r="Z313">
        <v>2</v>
      </c>
      <c r="AA313">
        <v>27</v>
      </c>
      <c r="AB313" t="str">
        <f>""</f>
        <v/>
      </c>
      <c r="AC313" t="str">
        <f>""</f>
        <v/>
      </c>
      <c r="AD313" t="str">
        <f>""</f>
        <v/>
      </c>
      <c r="AE313">
        <v>2022</v>
      </c>
      <c r="AF313">
        <v>2022</v>
      </c>
      <c r="AG313" t="str">
        <f>", Bruz."</f>
        <v>, Bruz.</v>
      </c>
      <c r="AH313" t="str">
        <f>", Bruz."</f>
        <v>, Bruz.</v>
      </c>
      <c r="AI313" t="str">
        <f>""</f>
        <v/>
      </c>
      <c r="AJ313" t="str">
        <f>""</f>
        <v/>
      </c>
      <c r="AK313" t="str">
        <f>""</f>
        <v/>
      </c>
      <c r="AL313">
        <v>34</v>
      </c>
      <c r="AM313" t="str">
        <f>""</f>
        <v/>
      </c>
      <c r="AN313" t="str">
        <f>""</f>
        <v/>
      </c>
      <c r="AO313" t="str">
        <f>"La Résidence 2"</f>
        <v>La Résidence 2</v>
      </c>
      <c r="AP313" t="str">
        <f>"FÈS"</f>
        <v>FÈS</v>
      </c>
      <c r="AQ313" t="str">
        <f>"Etranger"</f>
        <v>Etranger</v>
      </c>
    </row>
    <row r="314" spans="1:43" x14ac:dyDescent="0.25">
      <c r="A314" t="str">
        <f t="shared" ref="A314:A345" si="60">"2A,2A Ing,2A ex Prem.A,T02650"</f>
        <v>2A,2A Ing,2A ex Prem.A,T02650</v>
      </c>
      <c r="B314" t="str">
        <f>"AUDRAIN"</f>
        <v>AUDRAIN</v>
      </c>
      <c r="C314" t="str">
        <f>"Baptiste"</f>
        <v>Baptiste</v>
      </c>
      <c r="D314" t="str">
        <f>"023-2443"</f>
        <v>023-2443</v>
      </c>
      <c r="E314" t="str">
        <f>"070585240AJ"</f>
        <v>070585240AJ</v>
      </c>
      <c r="F314" t="str">
        <f t="shared" si="52"/>
        <v>0352480F</v>
      </c>
      <c r="G314" t="str">
        <f t="shared" si="53"/>
        <v>O</v>
      </c>
      <c r="H314">
        <v>10</v>
      </c>
      <c r="I314">
        <v>2003</v>
      </c>
      <c r="J314">
        <v>1</v>
      </c>
      <c r="K314" t="str">
        <f>"S"</f>
        <v>S</v>
      </c>
      <c r="L314">
        <v>14</v>
      </c>
      <c r="M314">
        <v>2020</v>
      </c>
      <c r="N314" t="str">
        <f t="shared" si="59"/>
        <v>E</v>
      </c>
      <c r="O314" t="str">
        <f>"D"</f>
        <v>D</v>
      </c>
      <c r="P314">
        <v>0</v>
      </c>
      <c r="Q314">
        <v>100</v>
      </c>
      <c r="R314">
        <v>100</v>
      </c>
      <c r="S314">
        <v>35000</v>
      </c>
      <c r="T314">
        <v>100</v>
      </c>
      <c r="U314">
        <v>35000</v>
      </c>
      <c r="V314" t="str">
        <f>"TOEIC 1A le 24/05/20024 760"</f>
        <v>TOEIC 1A le 24/05/20024 760</v>
      </c>
      <c r="W314">
        <v>22</v>
      </c>
      <c r="X314">
        <v>0</v>
      </c>
      <c r="Y314">
        <v>6000577</v>
      </c>
      <c r="Z314">
        <v>2</v>
      </c>
      <c r="AA314">
        <v>27</v>
      </c>
      <c r="AB314" t="str">
        <f>""</f>
        <v/>
      </c>
      <c r="AC314" t="str">
        <f>""</f>
        <v/>
      </c>
      <c r="AD314" t="str">
        <f>""</f>
        <v/>
      </c>
      <c r="AE314">
        <v>2020</v>
      </c>
      <c r="AF314">
        <v>2023</v>
      </c>
      <c r="AG314" t="str">
        <f>"RENNES"</f>
        <v>RENNES</v>
      </c>
      <c r="AH314" t="str">
        <f>"RENNES"</f>
        <v>RENNES</v>
      </c>
      <c r="AI314" t="str">
        <f>""</f>
        <v/>
      </c>
      <c r="AJ314" t="str">
        <f>""</f>
        <v/>
      </c>
      <c r="AK314" t="str">
        <f>""</f>
        <v/>
      </c>
      <c r="AL314">
        <v>31</v>
      </c>
      <c r="AM314" t="str">
        <f>""</f>
        <v/>
      </c>
      <c r="AN314" t="str">
        <f>""</f>
        <v/>
      </c>
      <c r="AO314" t="str">
        <f>"Auguste Brizeux"</f>
        <v>Auguste Brizeux</v>
      </c>
      <c r="AP314" t="str">
        <f>"QUIMPER"</f>
        <v>QUIMPER</v>
      </c>
      <c r="AQ314" t="str">
        <f>"Rennes"</f>
        <v>Rennes</v>
      </c>
    </row>
    <row r="315" spans="1:43" x14ac:dyDescent="0.25">
      <c r="A315" t="str">
        <f t="shared" si="60"/>
        <v>2A,2A Ing,2A ex Prem.A,T02650</v>
      </c>
      <c r="B315" t="str">
        <f>"BACHET"</f>
        <v>BACHET</v>
      </c>
      <c r="C315" t="str">
        <f>"Dorian"</f>
        <v>Dorian</v>
      </c>
      <c r="D315" t="str">
        <f>"023-2496"</f>
        <v>023-2496</v>
      </c>
      <c r="E315" t="str">
        <f>"091165126DD"</f>
        <v>091165126DD</v>
      </c>
      <c r="F315" t="str">
        <f t="shared" si="52"/>
        <v>0352480F</v>
      </c>
      <c r="G315" t="str">
        <f t="shared" si="53"/>
        <v>O</v>
      </c>
      <c r="H315">
        <v>10</v>
      </c>
      <c r="I315">
        <v>2003</v>
      </c>
      <c r="J315">
        <v>1</v>
      </c>
      <c r="K315" t="str">
        <f>"C"</f>
        <v>C</v>
      </c>
      <c r="L315">
        <v>24</v>
      </c>
      <c r="M315">
        <v>2021</v>
      </c>
      <c r="N315" t="str">
        <f t="shared" si="59"/>
        <v>E</v>
      </c>
      <c r="O315" t="str">
        <f>"D"</f>
        <v>D</v>
      </c>
      <c r="P315">
        <v>0</v>
      </c>
      <c r="Q315">
        <v>100</v>
      </c>
      <c r="R315">
        <v>100</v>
      </c>
      <c r="S315">
        <v>35131</v>
      </c>
      <c r="T315">
        <v>100</v>
      </c>
      <c r="U315">
        <v>35131</v>
      </c>
      <c r="V315" t="str">
        <f>"TOEIC 1A le 24/05/20024 960"</f>
        <v>TOEIC 1A le 24/05/20024 960</v>
      </c>
      <c r="W315">
        <v>34</v>
      </c>
      <c r="X315">
        <v>0</v>
      </c>
      <c r="Y315">
        <v>6000577</v>
      </c>
      <c r="Z315">
        <v>2</v>
      </c>
      <c r="AA315">
        <v>27</v>
      </c>
      <c r="AB315" t="str">
        <f>""</f>
        <v/>
      </c>
      <c r="AC315" t="str">
        <f>""</f>
        <v/>
      </c>
      <c r="AD315" t="str">
        <f>""</f>
        <v/>
      </c>
      <c r="AE315">
        <v>2021</v>
      </c>
      <c r="AF315">
        <v>2023</v>
      </c>
      <c r="AG315" t="str">
        <f>"Chartres de Bretagne"</f>
        <v>Chartres de Bretagne</v>
      </c>
      <c r="AH315" t="str">
        <f>"Chartres de Bretagne"</f>
        <v>Chartres de Bretagne</v>
      </c>
      <c r="AI315" t="str">
        <f>""</f>
        <v/>
      </c>
      <c r="AJ315" t="str">
        <f>""</f>
        <v/>
      </c>
      <c r="AK315" t="str">
        <f>""</f>
        <v/>
      </c>
      <c r="AL315">
        <v>38</v>
      </c>
      <c r="AM315" t="str">
        <f>""</f>
        <v/>
      </c>
      <c r="AN315" t="str">
        <f>""</f>
        <v/>
      </c>
      <c r="AO315" t="str">
        <f>"François Couperin"</f>
        <v>François Couperin</v>
      </c>
      <c r="AP315" t="str">
        <f>"FONTAINEBLEAU"</f>
        <v>FONTAINEBLEAU</v>
      </c>
      <c r="AQ315" t="str">
        <f>"Créteil"</f>
        <v>Créteil</v>
      </c>
    </row>
    <row r="316" spans="1:43" x14ac:dyDescent="0.25">
      <c r="A316" t="str">
        <f t="shared" si="60"/>
        <v>2A,2A Ing,2A ex Prem.A,T02650</v>
      </c>
      <c r="B316" t="str">
        <f>"BLEUNVEN"</f>
        <v>BLEUNVEN</v>
      </c>
      <c r="C316" t="str">
        <f>"Julien"</f>
        <v>Julien</v>
      </c>
      <c r="D316" t="str">
        <f>"023-2463"</f>
        <v>023-2463</v>
      </c>
      <c r="E316" t="str">
        <f>"133117192HK"</f>
        <v>133117192HK</v>
      </c>
      <c r="F316" t="str">
        <f t="shared" si="52"/>
        <v>0352480F</v>
      </c>
      <c r="G316" t="str">
        <f t="shared" si="53"/>
        <v>O</v>
      </c>
      <c r="H316">
        <v>10</v>
      </c>
      <c r="I316">
        <v>2002</v>
      </c>
      <c r="J316">
        <v>1</v>
      </c>
      <c r="K316" t="str">
        <f>"S"</f>
        <v>S</v>
      </c>
      <c r="L316">
        <v>14</v>
      </c>
      <c r="M316">
        <v>2020</v>
      </c>
      <c r="N316" t="str">
        <f t="shared" si="59"/>
        <v>E</v>
      </c>
      <c r="O316" t="str">
        <f>"D"</f>
        <v>D</v>
      </c>
      <c r="P316">
        <v>0</v>
      </c>
      <c r="Q316">
        <v>100</v>
      </c>
      <c r="R316">
        <v>100</v>
      </c>
      <c r="S316">
        <v>29820</v>
      </c>
      <c r="T316">
        <v>100</v>
      </c>
      <c r="U316">
        <v>29820</v>
      </c>
      <c r="V316" t="str">
        <f>"TOEIC 1A le 24/05/20024 900"</f>
        <v>TOEIC 1A le 24/05/20024 900</v>
      </c>
      <c r="W316">
        <v>38</v>
      </c>
      <c r="X316">
        <v>0</v>
      </c>
      <c r="Y316">
        <v>6000577</v>
      </c>
      <c r="Z316">
        <v>2</v>
      </c>
      <c r="AA316">
        <v>27</v>
      </c>
      <c r="AB316" t="str">
        <f>""</f>
        <v/>
      </c>
      <c r="AC316" t="str">
        <f>""</f>
        <v/>
      </c>
      <c r="AD316" t="str">
        <f>""</f>
        <v/>
      </c>
      <c r="AE316">
        <v>2020</v>
      </c>
      <c r="AF316">
        <v>2023</v>
      </c>
      <c r="AG316" t="str">
        <f>"Guilers"</f>
        <v>Guilers</v>
      </c>
      <c r="AH316" t="str">
        <f>"Guilers"</f>
        <v>Guilers</v>
      </c>
      <c r="AI316" t="str">
        <f>""</f>
        <v/>
      </c>
      <c r="AJ316" t="str">
        <f>""</f>
        <v/>
      </c>
      <c r="AK316" t="str">
        <f>""</f>
        <v/>
      </c>
      <c r="AL316">
        <v>0</v>
      </c>
      <c r="AM316" t="str">
        <f>""</f>
        <v/>
      </c>
      <c r="AN316" t="str">
        <f>""</f>
        <v/>
      </c>
      <c r="AO316" t="str">
        <f>"Harteloire"</f>
        <v>Harteloire</v>
      </c>
      <c r="AP316" t="str">
        <f>"BREST"</f>
        <v>BREST</v>
      </c>
      <c r="AQ316" t="str">
        <f>"Rennes"</f>
        <v>Rennes</v>
      </c>
    </row>
    <row r="317" spans="1:43" x14ac:dyDescent="0.25">
      <c r="A317" t="str">
        <f t="shared" si="60"/>
        <v>2A,2A Ing,2A ex Prem.A,T02650</v>
      </c>
      <c r="B317" t="str">
        <f>"BOCQUET"</f>
        <v>BOCQUET</v>
      </c>
      <c r="C317" t="str">
        <f>"Noémie"</f>
        <v>Noémie</v>
      </c>
      <c r="D317" t="str">
        <f>"023-2381"</f>
        <v>023-2381</v>
      </c>
      <c r="E317" t="str">
        <f>"120549031EH"</f>
        <v>120549031EH</v>
      </c>
      <c r="F317" t="str">
        <f t="shared" si="52"/>
        <v>0352480F</v>
      </c>
      <c r="G317" t="str">
        <f t="shared" si="53"/>
        <v>O</v>
      </c>
      <c r="H317">
        <v>10</v>
      </c>
      <c r="I317">
        <v>2003</v>
      </c>
      <c r="J317">
        <v>2</v>
      </c>
      <c r="K317" t="str">
        <f>"C"</f>
        <v>C</v>
      </c>
      <c r="L317">
        <v>23</v>
      </c>
      <c r="M317">
        <v>2021</v>
      </c>
      <c r="N317" t="str">
        <f t="shared" si="59"/>
        <v>E</v>
      </c>
      <c r="O317" t="str">
        <f>"C"</f>
        <v>C</v>
      </c>
      <c r="P317">
        <v>0</v>
      </c>
      <c r="Q317">
        <v>100</v>
      </c>
      <c r="R317">
        <v>100</v>
      </c>
      <c r="S317">
        <v>35170</v>
      </c>
      <c r="T317">
        <v>100</v>
      </c>
      <c r="U317">
        <v>35170</v>
      </c>
      <c r="V317" t="str">
        <f>"TOEIC 1A le 24/05/20024 965"</f>
        <v>TOEIC 1A le 24/05/20024 965</v>
      </c>
      <c r="W317">
        <v>31</v>
      </c>
      <c r="X317">
        <v>0</v>
      </c>
      <c r="Y317">
        <v>6000577</v>
      </c>
      <c r="Z317">
        <v>2</v>
      </c>
      <c r="AA317">
        <v>27</v>
      </c>
      <c r="AB317" t="str">
        <f>""</f>
        <v/>
      </c>
      <c r="AC317" t="str">
        <f>""</f>
        <v/>
      </c>
      <c r="AD317" t="str">
        <f>""</f>
        <v/>
      </c>
      <c r="AE317">
        <v>2021</v>
      </c>
      <c r="AF317">
        <v>2023</v>
      </c>
      <c r="AG317" t="str">
        <f>"Bruz"</f>
        <v>Bruz</v>
      </c>
      <c r="AH317" t="str">
        <f>"Bruz"</f>
        <v>Bruz</v>
      </c>
      <c r="AI317" t="str">
        <f>""</f>
        <v/>
      </c>
      <c r="AJ317" t="str">
        <f>""</f>
        <v/>
      </c>
      <c r="AK317" t="str">
        <f>""</f>
        <v/>
      </c>
      <c r="AL317">
        <v>55</v>
      </c>
      <c r="AM317" t="str">
        <f>""</f>
        <v/>
      </c>
      <c r="AN317" t="str">
        <f>""</f>
        <v/>
      </c>
      <c r="AO317" t="str">
        <f>"Lycée Albert Calmette"</f>
        <v>Lycée Albert Calmette</v>
      </c>
      <c r="AP317" t="str">
        <f>"NICE"</f>
        <v>NICE</v>
      </c>
      <c r="AQ317" t="str">
        <f>"Nice"</f>
        <v>Nice</v>
      </c>
    </row>
    <row r="318" spans="1:43" x14ac:dyDescent="0.25">
      <c r="A318" t="str">
        <f t="shared" si="60"/>
        <v>2A,2A Ing,2A ex Prem.A,T02650</v>
      </c>
      <c r="B318" t="str">
        <f>"BORNY"</f>
        <v>BORNY</v>
      </c>
      <c r="C318" t="str">
        <f>"Raphaël"</f>
        <v>Raphaël</v>
      </c>
      <c r="D318" t="str">
        <f>"023-2446"</f>
        <v>023-2446</v>
      </c>
      <c r="E318" t="str">
        <f>"081817209GA"</f>
        <v>081817209GA</v>
      </c>
      <c r="F318" t="str">
        <f t="shared" si="52"/>
        <v>0352480F</v>
      </c>
      <c r="G318" t="str">
        <f t="shared" si="53"/>
        <v>O</v>
      </c>
      <c r="H318">
        <v>10</v>
      </c>
      <c r="I318">
        <v>2003</v>
      </c>
      <c r="J318">
        <v>1</v>
      </c>
      <c r="K318" t="str">
        <f>"S"</f>
        <v>S</v>
      </c>
      <c r="L318">
        <v>14</v>
      </c>
      <c r="M318">
        <v>2021</v>
      </c>
      <c r="N318" t="str">
        <f t="shared" si="59"/>
        <v>E</v>
      </c>
      <c r="O318" t="str">
        <f t="shared" ref="O318:O324" si="61">"D"</f>
        <v>D</v>
      </c>
      <c r="P318">
        <v>0</v>
      </c>
      <c r="Q318">
        <v>100</v>
      </c>
      <c r="R318">
        <v>100</v>
      </c>
      <c r="S318" t="str">
        <f>""</f>
        <v/>
      </c>
      <c r="T318">
        <v>100</v>
      </c>
      <c r="U318" t="str">
        <f>""</f>
        <v/>
      </c>
      <c r="V318" t="str">
        <f>"TOEIC 1A le 24/05/20024 885"</f>
        <v>TOEIC 1A le 24/05/20024 885</v>
      </c>
      <c r="W318">
        <v>38</v>
      </c>
      <c r="X318">
        <v>0</v>
      </c>
      <c r="Y318">
        <v>6000577</v>
      </c>
      <c r="Z318">
        <v>2</v>
      </c>
      <c r="AA318">
        <v>27</v>
      </c>
      <c r="AB318" t="str">
        <f>""</f>
        <v/>
      </c>
      <c r="AC318" t="str">
        <f>""</f>
        <v/>
      </c>
      <c r="AD318" t="str">
        <f>""</f>
        <v/>
      </c>
      <c r="AE318">
        <v>2021</v>
      </c>
      <c r="AF318">
        <v>2023</v>
      </c>
      <c r="AG318" t="str">
        <f>""</f>
        <v/>
      </c>
      <c r="AH318" t="str">
        <f>""</f>
        <v/>
      </c>
      <c r="AI318" t="str">
        <f>""</f>
        <v/>
      </c>
      <c r="AJ318" t="str">
        <f>""</f>
        <v/>
      </c>
      <c r="AK318" t="str">
        <f>""</f>
        <v/>
      </c>
      <c r="AL318">
        <v>54</v>
      </c>
      <c r="AM318" t="str">
        <f>""</f>
        <v/>
      </c>
      <c r="AN318" t="str">
        <f>""</f>
        <v/>
      </c>
      <c r="AO318" t="str">
        <f>"Lycée Colbert"</f>
        <v>Lycée Colbert</v>
      </c>
      <c r="AP318" t="str">
        <f>"LORIENT"</f>
        <v>LORIENT</v>
      </c>
      <c r="AQ318" t="str">
        <f>"Rennes"</f>
        <v>Rennes</v>
      </c>
    </row>
    <row r="319" spans="1:43" x14ac:dyDescent="0.25">
      <c r="A319" t="str">
        <f t="shared" si="60"/>
        <v>2A,2A Ing,2A ex Prem.A,T02650</v>
      </c>
      <c r="B319" t="str">
        <f>"BORRELLI"</f>
        <v>BORRELLI</v>
      </c>
      <c r="C319" t="str">
        <f>"Claire"</f>
        <v>Claire</v>
      </c>
      <c r="D319" t="str">
        <f>"023-2397"</f>
        <v>023-2397</v>
      </c>
      <c r="E319" t="str">
        <f>"120742714HD"</f>
        <v>120742714HD</v>
      </c>
      <c r="F319" t="str">
        <f t="shared" si="52"/>
        <v>0352480F</v>
      </c>
      <c r="G319" t="str">
        <f t="shared" si="53"/>
        <v>O</v>
      </c>
      <c r="H319">
        <v>10</v>
      </c>
      <c r="I319">
        <v>2003</v>
      </c>
      <c r="J319">
        <v>2</v>
      </c>
      <c r="K319" t="str">
        <f>"C"</f>
        <v>C</v>
      </c>
      <c r="L319">
        <v>10</v>
      </c>
      <c r="M319">
        <v>2021</v>
      </c>
      <c r="N319" t="str">
        <f t="shared" si="59"/>
        <v>E</v>
      </c>
      <c r="O319" t="str">
        <f t="shared" si="61"/>
        <v>D</v>
      </c>
      <c r="P319">
        <v>0</v>
      </c>
      <c r="Q319">
        <v>100</v>
      </c>
      <c r="R319">
        <v>100</v>
      </c>
      <c r="S319" t="str">
        <f>"35 17"</f>
        <v>35 17</v>
      </c>
      <c r="T319">
        <v>100</v>
      </c>
      <c r="U319" t="str">
        <f>"35 17"</f>
        <v>35 17</v>
      </c>
      <c r="V319" t="str">
        <f>"TOEIC 1A le 24/05/20024 950"</f>
        <v>TOEIC 1A le 24/05/20024 950</v>
      </c>
      <c r="W319">
        <v>34</v>
      </c>
      <c r="X319">
        <v>0</v>
      </c>
      <c r="Y319">
        <v>6000577</v>
      </c>
      <c r="Z319">
        <v>2</v>
      </c>
      <c r="AA319">
        <v>27</v>
      </c>
      <c r="AB319" t="str">
        <f>""</f>
        <v/>
      </c>
      <c r="AC319" t="str">
        <f>""</f>
        <v/>
      </c>
      <c r="AD319" t="str">
        <f>""</f>
        <v/>
      </c>
      <c r="AE319">
        <v>2021</v>
      </c>
      <c r="AF319">
        <v>2023</v>
      </c>
      <c r="AG319" t="str">
        <f>", Bruz"</f>
        <v>, Bruz</v>
      </c>
      <c r="AH319" t="str">
        <f>", Bruz"</f>
        <v>, Bruz</v>
      </c>
      <c r="AI319" t="str">
        <f>""</f>
        <v/>
      </c>
      <c r="AJ319" t="str">
        <f>""</f>
        <v/>
      </c>
      <c r="AK319" t="str">
        <f>""</f>
        <v/>
      </c>
      <c r="AL319">
        <v>43</v>
      </c>
      <c r="AM319" t="str">
        <f>""</f>
        <v/>
      </c>
      <c r="AN319" t="str">
        <f>""</f>
        <v/>
      </c>
      <c r="AO319" t="str">
        <f>"Lycée Édouard Herriot"</f>
        <v>Lycée Édouard Herriot</v>
      </c>
      <c r="AP319" t="str">
        <f>"LYON"</f>
        <v>LYON</v>
      </c>
      <c r="AQ319" t="str">
        <f>"Lyon"</f>
        <v>Lyon</v>
      </c>
    </row>
    <row r="320" spans="1:43" x14ac:dyDescent="0.25">
      <c r="A320" t="str">
        <f t="shared" si="60"/>
        <v>2A,2A Ing,2A ex Prem.A,T02650</v>
      </c>
      <c r="B320" t="str">
        <f>"BOUCHER"</f>
        <v>BOUCHER</v>
      </c>
      <c r="C320" t="str">
        <f>"Alexandre"</f>
        <v>Alexandre</v>
      </c>
      <c r="D320" t="str">
        <f>"023-2447"</f>
        <v>023-2447</v>
      </c>
      <c r="E320" t="str">
        <f>"060852595GE"</f>
        <v>060852595GE</v>
      </c>
      <c r="F320" t="str">
        <f t="shared" si="52"/>
        <v>0352480F</v>
      </c>
      <c r="G320" t="str">
        <f t="shared" si="53"/>
        <v>O</v>
      </c>
      <c r="H320">
        <v>10</v>
      </c>
      <c r="I320">
        <v>2002</v>
      </c>
      <c r="J320">
        <v>1</v>
      </c>
      <c r="K320" t="str">
        <f t="shared" ref="K320:K331" si="62">"S"</f>
        <v>S</v>
      </c>
      <c r="L320" t="str">
        <f>""</f>
        <v/>
      </c>
      <c r="M320">
        <v>2020</v>
      </c>
      <c r="N320" t="str">
        <f t="shared" si="59"/>
        <v>E</v>
      </c>
      <c r="O320" t="str">
        <f t="shared" si="61"/>
        <v>D</v>
      </c>
      <c r="P320">
        <v>0</v>
      </c>
      <c r="Q320">
        <v>100</v>
      </c>
      <c r="R320">
        <v>100</v>
      </c>
      <c r="S320">
        <v>35170</v>
      </c>
      <c r="T320">
        <v>100</v>
      </c>
      <c r="U320">
        <v>35170</v>
      </c>
      <c r="V320" t="str">
        <f>"TOEIC 1A le 24/05/20024 890"</f>
        <v>TOEIC 1A le 24/05/20024 890</v>
      </c>
      <c r="W320">
        <v>37</v>
      </c>
      <c r="X320">
        <v>0</v>
      </c>
      <c r="Y320">
        <v>6000577</v>
      </c>
      <c r="Z320">
        <v>2</v>
      </c>
      <c r="AA320">
        <v>27</v>
      </c>
      <c r="AB320" t="str">
        <f>""</f>
        <v/>
      </c>
      <c r="AC320" t="str">
        <f>""</f>
        <v/>
      </c>
      <c r="AD320" t="str">
        <f>""</f>
        <v/>
      </c>
      <c r="AE320" t="str">
        <f>""</f>
        <v/>
      </c>
      <c r="AF320">
        <v>2023</v>
      </c>
      <c r="AG320" t="str">
        <f>"Bruz"</f>
        <v>Bruz</v>
      </c>
      <c r="AH320" t="str">
        <f>"Bruz"</f>
        <v>Bruz</v>
      </c>
      <c r="AI320" t="str">
        <f>""</f>
        <v/>
      </c>
      <c r="AJ320" t="str">
        <f>""</f>
        <v/>
      </c>
      <c r="AK320" t="str">
        <f>""</f>
        <v/>
      </c>
      <c r="AL320">
        <v>31</v>
      </c>
      <c r="AM320" t="str">
        <f>""</f>
        <v/>
      </c>
      <c r="AN320" t="str">
        <f>""</f>
        <v/>
      </c>
      <c r="AO320" t="str">
        <f>"Gustave Flaubert"</f>
        <v>Gustave Flaubert</v>
      </c>
      <c r="AP320" t="str">
        <f>"ROUEN"</f>
        <v>ROUEN</v>
      </c>
      <c r="AQ320" t="str">
        <f>"Rouen"</f>
        <v>Rouen</v>
      </c>
    </row>
    <row r="321" spans="1:43" x14ac:dyDescent="0.25">
      <c r="A321" t="str">
        <f t="shared" si="60"/>
        <v>2A,2A Ing,2A ex Prem.A,T02650</v>
      </c>
      <c r="B321" t="str">
        <f>"BOURGON"</f>
        <v>BOURGON</v>
      </c>
      <c r="C321" t="str">
        <f>"David"</f>
        <v>David</v>
      </c>
      <c r="D321" t="str">
        <f>"023-2462"</f>
        <v>023-2462</v>
      </c>
      <c r="E321" t="str">
        <f>"071863450GH"</f>
        <v>071863450GH</v>
      </c>
      <c r="F321" t="str">
        <f t="shared" si="52"/>
        <v>0352480F</v>
      </c>
      <c r="G321" t="str">
        <f t="shared" si="53"/>
        <v>O</v>
      </c>
      <c r="H321">
        <v>10</v>
      </c>
      <c r="I321">
        <v>2003</v>
      </c>
      <c r="J321">
        <v>1</v>
      </c>
      <c r="K321" t="str">
        <f t="shared" si="62"/>
        <v>S</v>
      </c>
      <c r="L321">
        <v>12</v>
      </c>
      <c r="M321">
        <v>2021</v>
      </c>
      <c r="N321" t="str">
        <f t="shared" si="59"/>
        <v>E</v>
      </c>
      <c r="O321" t="str">
        <f t="shared" si="61"/>
        <v>D</v>
      </c>
      <c r="P321">
        <v>0</v>
      </c>
      <c r="Q321">
        <v>100</v>
      </c>
      <c r="R321">
        <v>100</v>
      </c>
      <c r="S321">
        <v>35310</v>
      </c>
      <c r="T321">
        <v>100</v>
      </c>
      <c r="U321">
        <v>35310</v>
      </c>
      <c r="V321" t="str">
        <f>"TOEIC 1A le 24/05/20024 920"</f>
        <v>TOEIC 1A le 24/05/20024 920</v>
      </c>
      <c r="W321">
        <v>38</v>
      </c>
      <c r="X321">
        <v>0</v>
      </c>
      <c r="Y321">
        <v>6000577</v>
      </c>
      <c r="Z321">
        <v>2</v>
      </c>
      <c r="AA321">
        <v>27</v>
      </c>
      <c r="AB321" t="str">
        <f>""</f>
        <v/>
      </c>
      <c r="AC321" t="str">
        <f>""</f>
        <v/>
      </c>
      <c r="AD321" t="str">
        <f>""</f>
        <v/>
      </c>
      <c r="AE321">
        <v>2021</v>
      </c>
      <c r="AF321">
        <v>2023</v>
      </c>
      <c r="AG321" t="str">
        <f>"Mordelles"</f>
        <v>Mordelles</v>
      </c>
      <c r="AH321" t="str">
        <f>"Mordelles"</f>
        <v>Mordelles</v>
      </c>
      <c r="AI321" t="str">
        <f>""</f>
        <v/>
      </c>
      <c r="AJ321" t="str">
        <f>""</f>
        <v/>
      </c>
      <c r="AK321" t="str">
        <f>""</f>
        <v/>
      </c>
      <c r="AL321">
        <v>43</v>
      </c>
      <c r="AM321" t="str">
        <f>""</f>
        <v/>
      </c>
      <c r="AN321" t="str">
        <f>""</f>
        <v/>
      </c>
      <c r="AO321" t="str">
        <f>"De la Salle"</f>
        <v>De la Salle</v>
      </c>
      <c r="AP321" t="str">
        <f>"METZ"</f>
        <v>METZ</v>
      </c>
      <c r="AQ321" t="str">
        <f>"Nancy-Metz"</f>
        <v>Nancy-Metz</v>
      </c>
    </row>
    <row r="322" spans="1:43" x14ac:dyDescent="0.25">
      <c r="A322" t="str">
        <f t="shared" si="60"/>
        <v>2A,2A Ing,2A ex Prem.A,T02650</v>
      </c>
      <c r="B322" t="str">
        <f>"BOYER"</f>
        <v>BOYER</v>
      </c>
      <c r="C322" t="str">
        <f>"Marie"</f>
        <v>Marie</v>
      </c>
      <c r="D322" t="str">
        <f>"023-2495"</f>
        <v>023-2495</v>
      </c>
      <c r="E322" t="str">
        <f>"0213021998A"</f>
        <v>0213021998A</v>
      </c>
      <c r="F322" t="str">
        <f t="shared" ref="F322:F385" si="63">"0352480F"</f>
        <v>0352480F</v>
      </c>
      <c r="G322" t="str">
        <f t="shared" ref="G322:G385" si="64">"O"</f>
        <v>O</v>
      </c>
      <c r="H322">
        <v>10</v>
      </c>
      <c r="I322">
        <v>2002</v>
      </c>
      <c r="J322">
        <v>2</v>
      </c>
      <c r="K322" t="str">
        <f t="shared" si="62"/>
        <v>S</v>
      </c>
      <c r="L322">
        <v>2</v>
      </c>
      <c r="M322">
        <v>2021</v>
      </c>
      <c r="N322" t="str">
        <f t="shared" si="59"/>
        <v>E</v>
      </c>
      <c r="O322" t="str">
        <f t="shared" si="61"/>
        <v>D</v>
      </c>
      <c r="P322">
        <v>0</v>
      </c>
      <c r="Q322">
        <v>100</v>
      </c>
      <c r="R322">
        <v>100</v>
      </c>
      <c r="S322">
        <v>35170</v>
      </c>
      <c r="T322">
        <v>100</v>
      </c>
      <c r="U322">
        <v>35170</v>
      </c>
      <c r="V322" t="str">
        <f>"TOEIC 1A le 24/05/20024 965"</f>
        <v>TOEIC 1A le 24/05/20024 965</v>
      </c>
      <c r="W322">
        <v>10</v>
      </c>
      <c r="X322">
        <v>0</v>
      </c>
      <c r="Y322">
        <v>6000577</v>
      </c>
      <c r="Z322">
        <v>2</v>
      </c>
      <c r="AA322">
        <v>27</v>
      </c>
      <c r="AB322" t="str">
        <f>""</f>
        <v/>
      </c>
      <c r="AC322" t="str">
        <f>""</f>
        <v/>
      </c>
      <c r="AD322" t="str">
        <f>""</f>
        <v/>
      </c>
      <c r="AE322">
        <v>2021</v>
      </c>
      <c r="AF322">
        <v>2023</v>
      </c>
      <c r="AG322" t="str">
        <f>"BRUZ"</f>
        <v>BRUZ</v>
      </c>
      <c r="AH322" t="str">
        <f>"BRUZ"</f>
        <v>BRUZ</v>
      </c>
      <c r="AI322" t="str">
        <f>""</f>
        <v/>
      </c>
      <c r="AJ322" t="str">
        <f>""</f>
        <v/>
      </c>
      <c r="AK322" t="str">
        <f>""</f>
        <v/>
      </c>
      <c r="AL322">
        <v>54</v>
      </c>
      <c r="AM322" t="str">
        <f>""</f>
        <v/>
      </c>
      <c r="AN322" t="str">
        <f>""</f>
        <v/>
      </c>
      <c r="AO322" t="str">
        <f>"Lycée Stephane HESSEL"</f>
        <v>Lycée Stephane HESSEL</v>
      </c>
      <c r="AP322" t="str">
        <f>"VAISON LA ROMAINE"</f>
        <v>VAISON LA ROMAINE</v>
      </c>
      <c r="AQ322" t="str">
        <f>"Aix-Marseille"</f>
        <v>Aix-Marseille</v>
      </c>
    </row>
    <row r="323" spans="1:43" x14ac:dyDescent="0.25">
      <c r="A323" t="str">
        <f t="shared" si="60"/>
        <v>2A,2A Ing,2A ex Prem.A,T02650</v>
      </c>
      <c r="B323" t="str">
        <f>"CATOIRE"</f>
        <v>CATOIRE</v>
      </c>
      <c r="C323" t="str">
        <f>"Tom"</f>
        <v>Tom</v>
      </c>
      <c r="D323" t="str">
        <f>"023-2498"</f>
        <v>023-2498</v>
      </c>
      <c r="E323" t="str">
        <f>"081275437JH"</f>
        <v>081275437JH</v>
      </c>
      <c r="F323" t="str">
        <f t="shared" si="63"/>
        <v>0352480F</v>
      </c>
      <c r="G323" t="str">
        <f t="shared" si="64"/>
        <v>O</v>
      </c>
      <c r="H323">
        <v>10</v>
      </c>
      <c r="I323">
        <v>2003</v>
      </c>
      <c r="J323">
        <v>1</v>
      </c>
      <c r="K323" t="str">
        <f t="shared" si="62"/>
        <v>S</v>
      </c>
      <c r="L323">
        <v>9</v>
      </c>
      <c r="M323">
        <v>2021</v>
      </c>
      <c r="N323" t="str">
        <f t="shared" si="59"/>
        <v>E</v>
      </c>
      <c r="O323" t="str">
        <f t="shared" si="61"/>
        <v>D</v>
      </c>
      <c r="P323">
        <v>0</v>
      </c>
      <c r="Q323">
        <v>100</v>
      </c>
      <c r="R323">
        <v>100</v>
      </c>
      <c r="S323">
        <v>35170</v>
      </c>
      <c r="T323">
        <v>100</v>
      </c>
      <c r="U323">
        <v>35170</v>
      </c>
      <c r="V323" t="str">
        <f>"TOEIC 1A le 24/05/20024 810"</f>
        <v>TOEIC 1A le 24/05/20024 810</v>
      </c>
      <c r="W323">
        <v>33</v>
      </c>
      <c r="X323">
        <v>0</v>
      </c>
      <c r="Y323">
        <v>6000577</v>
      </c>
      <c r="Z323">
        <v>2</v>
      </c>
      <c r="AA323">
        <v>27</v>
      </c>
      <c r="AB323" t="str">
        <f>""</f>
        <v/>
      </c>
      <c r="AC323" t="str">
        <f>""</f>
        <v/>
      </c>
      <c r="AD323" t="str">
        <f>""</f>
        <v/>
      </c>
      <c r="AE323" t="str">
        <f>""</f>
        <v/>
      </c>
      <c r="AF323">
        <v>2023</v>
      </c>
      <c r="AG323" t="str">
        <f>"Bruz"</f>
        <v>Bruz</v>
      </c>
      <c r="AH323" t="str">
        <f>"Bruz"</f>
        <v>Bruz</v>
      </c>
      <c r="AI323" t="str">
        <f>""</f>
        <v/>
      </c>
      <c r="AJ323" t="str">
        <f>""</f>
        <v/>
      </c>
      <c r="AK323" t="str">
        <f>""</f>
        <v/>
      </c>
      <c r="AL323">
        <v>53</v>
      </c>
      <c r="AM323" t="str">
        <f>""</f>
        <v/>
      </c>
      <c r="AN323" t="str">
        <f>""</f>
        <v/>
      </c>
      <c r="AO323" t="str">
        <f>"Lycée International Montebello"</f>
        <v>Lycée International Montebello</v>
      </c>
      <c r="AP323" t="str">
        <f>"LILLE"</f>
        <v>LILLE</v>
      </c>
      <c r="AQ323" t="str">
        <f>"Lille"</f>
        <v>Lille</v>
      </c>
    </row>
    <row r="324" spans="1:43" x14ac:dyDescent="0.25">
      <c r="A324" t="str">
        <f t="shared" si="60"/>
        <v>2A,2A Ing,2A ex Prem.A,T02650</v>
      </c>
      <c r="B324" t="str">
        <f>"CLAISSE"</f>
        <v>CLAISSE</v>
      </c>
      <c r="C324" t="str">
        <f>"Adrien"</f>
        <v>Adrien</v>
      </c>
      <c r="D324" t="str">
        <f>"023-2466"</f>
        <v>023-2466</v>
      </c>
      <c r="E324" t="str">
        <f>"203301470FE"</f>
        <v>203301470FE</v>
      </c>
      <c r="F324" t="str">
        <f t="shared" si="63"/>
        <v>0352480F</v>
      </c>
      <c r="G324" t="str">
        <f t="shared" si="64"/>
        <v>O</v>
      </c>
      <c r="H324">
        <v>10</v>
      </c>
      <c r="I324">
        <v>2003</v>
      </c>
      <c r="J324">
        <v>1</v>
      </c>
      <c r="K324" t="str">
        <f t="shared" si="62"/>
        <v>S</v>
      </c>
      <c r="L324">
        <v>9</v>
      </c>
      <c r="M324">
        <v>2021</v>
      </c>
      <c r="N324" t="str">
        <f t="shared" si="59"/>
        <v>E</v>
      </c>
      <c r="O324" t="str">
        <f t="shared" si="61"/>
        <v>D</v>
      </c>
      <c r="P324">
        <v>0</v>
      </c>
      <c r="Q324">
        <v>100</v>
      </c>
      <c r="R324">
        <v>100</v>
      </c>
      <c r="S324">
        <v>35000</v>
      </c>
      <c r="T324">
        <v>100</v>
      </c>
      <c r="U324">
        <v>35000</v>
      </c>
      <c r="V324" t="str">
        <f>"TOEIC 1A le 24/05/20024 735"</f>
        <v>TOEIC 1A le 24/05/20024 735</v>
      </c>
      <c r="W324">
        <v>33</v>
      </c>
      <c r="X324">
        <v>0</v>
      </c>
      <c r="Y324">
        <v>6000577</v>
      </c>
      <c r="Z324">
        <v>2</v>
      </c>
      <c r="AA324">
        <v>27</v>
      </c>
      <c r="AB324" t="str">
        <f>""</f>
        <v/>
      </c>
      <c r="AC324" t="str">
        <f>""</f>
        <v/>
      </c>
      <c r="AD324" t="str">
        <f>""</f>
        <v/>
      </c>
      <c r="AE324">
        <v>2</v>
      </c>
      <c r="AF324">
        <v>2023</v>
      </c>
      <c r="AG324" t="str">
        <f>"Rennes"</f>
        <v>Rennes</v>
      </c>
      <c r="AH324" t="str">
        <f>"Rennes"</f>
        <v>Rennes</v>
      </c>
      <c r="AI324" t="str">
        <f>""</f>
        <v/>
      </c>
      <c r="AJ324" t="str">
        <f>""</f>
        <v/>
      </c>
      <c r="AK324" t="str">
        <f>""</f>
        <v/>
      </c>
      <c r="AL324">
        <v>34</v>
      </c>
      <c r="AM324" t="str">
        <f>""</f>
        <v/>
      </c>
      <c r="AN324" t="str">
        <f>""</f>
        <v/>
      </c>
      <c r="AO324" t="str">
        <f>"Lycée Français Jean Monnet"</f>
        <v>Lycée Français Jean Monnet</v>
      </c>
      <c r="AP324" t="str">
        <f>"BRUXELLES"</f>
        <v>BRUXELLES</v>
      </c>
      <c r="AQ324" t="str">
        <f>"Lille"</f>
        <v>Lille</v>
      </c>
    </row>
    <row r="325" spans="1:43" x14ac:dyDescent="0.25">
      <c r="A325" t="str">
        <f t="shared" si="60"/>
        <v>2A,2A Ing,2A ex Prem.A,T02650</v>
      </c>
      <c r="B325" t="str">
        <f>"CLEACH"</f>
        <v>CLEACH</v>
      </c>
      <c r="C325" t="str">
        <f>"Valentine"</f>
        <v>Valentine</v>
      </c>
      <c r="D325" t="str">
        <f>"023-2364"</f>
        <v>023-2364</v>
      </c>
      <c r="E325" t="str">
        <f>"133110561BH"</f>
        <v>133110561BH</v>
      </c>
      <c r="F325" t="str">
        <f t="shared" si="63"/>
        <v>0352480F</v>
      </c>
      <c r="G325" t="str">
        <f t="shared" si="64"/>
        <v>O</v>
      </c>
      <c r="H325">
        <v>10</v>
      </c>
      <c r="I325">
        <v>2002</v>
      </c>
      <c r="J325">
        <v>2</v>
      </c>
      <c r="K325" t="str">
        <f t="shared" si="62"/>
        <v>S</v>
      </c>
      <c r="L325">
        <v>14</v>
      </c>
      <c r="M325">
        <v>2020</v>
      </c>
      <c r="N325" t="str">
        <f t="shared" si="59"/>
        <v>E</v>
      </c>
      <c r="O325" t="str">
        <f>"N"</f>
        <v>N</v>
      </c>
      <c r="P325">
        <v>0</v>
      </c>
      <c r="Q325">
        <v>100</v>
      </c>
      <c r="R325">
        <v>100</v>
      </c>
      <c r="S325">
        <v>35170</v>
      </c>
      <c r="T325">
        <v>100</v>
      </c>
      <c r="U325">
        <v>35170</v>
      </c>
      <c r="V325" t="str">
        <f>"TOEIC 1A le 24/05/20024 990"</f>
        <v>TOEIC 1A le 24/05/20024 990</v>
      </c>
      <c r="W325">
        <v>35</v>
      </c>
      <c r="X325">
        <v>0</v>
      </c>
      <c r="Y325">
        <v>6000577</v>
      </c>
      <c r="Z325">
        <v>2</v>
      </c>
      <c r="AA325">
        <v>27</v>
      </c>
      <c r="AB325" t="str">
        <f>""</f>
        <v/>
      </c>
      <c r="AC325" t="str">
        <f>""</f>
        <v/>
      </c>
      <c r="AD325" t="str">
        <f>""</f>
        <v/>
      </c>
      <c r="AE325">
        <v>2020</v>
      </c>
      <c r="AF325">
        <v>2023</v>
      </c>
      <c r="AG325" t="str">
        <f>"Bruz"</f>
        <v>Bruz</v>
      </c>
      <c r="AH325" t="str">
        <f>"Bruz"</f>
        <v>Bruz</v>
      </c>
      <c r="AI325" t="str">
        <f>""</f>
        <v/>
      </c>
      <c r="AJ325" t="str">
        <f>""</f>
        <v/>
      </c>
      <c r="AK325" t="str">
        <f>""</f>
        <v/>
      </c>
      <c r="AL325">
        <v>38</v>
      </c>
      <c r="AM325" t="str">
        <f>""</f>
        <v/>
      </c>
      <c r="AN325" t="str">
        <f>""</f>
        <v/>
      </c>
      <c r="AO325" t="str">
        <f>"ND Du Kreisker"</f>
        <v>ND Du Kreisker</v>
      </c>
      <c r="AP325" t="str">
        <f>"SAINT POL DE LEON"</f>
        <v>SAINT POL DE LEON</v>
      </c>
      <c r="AQ325" t="str">
        <f>"Rennes"</f>
        <v>Rennes</v>
      </c>
    </row>
    <row r="326" spans="1:43" x14ac:dyDescent="0.25">
      <c r="A326" t="str">
        <f t="shared" si="60"/>
        <v>2A,2A Ing,2A ex Prem.A,T02650</v>
      </c>
      <c r="B326" t="str">
        <f>"CLEUX"</f>
        <v>CLEUX</v>
      </c>
      <c r="C326" t="str">
        <f>"Sidonie"</f>
        <v>Sidonie</v>
      </c>
      <c r="D326" t="str">
        <f>"023-2518"</f>
        <v>023-2518</v>
      </c>
      <c r="E326" t="str">
        <f>"070623688HC"</f>
        <v>070623688HC</v>
      </c>
      <c r="F326" t="str">
        <f t="shared" si="63"/>
        <v>0352480F</v>
      </c>
      <c r="G326" t="str">
        <f t="shared" si="64"/>
        <v>O</v>
      </c>
      <c r="H326">
        <v>10</v>
      </c>
      <c r="I326">
        <v>2003</v>
      </c>
      <c r="J326">
        <v>2</v>
      </c>
      <c r="K326" t="str">
        <f t="shared" si="62"/>
        <v>S</v>
      </c>
      <c r="L326">
        <v>8</v>
      </c>
      <c r="M326">
        <v>2021</v>
      </c>
      <c r="N326" t="str">
        <f t="shared" si="59"/>
        <v>E</v>
      </c>
      <c r="O326" t="str">
        <f>"A"</f>
        <v>A</v>
      </c>
      <c r="P326">
        <v>0</v>
      </c>
      <c r="Q326">
        <v>100</v>
      </c>
      <c r="R326">
        <v>100</v>
      </c>
      <c r="S326">
        <v>35000</v>
      </c>
      <c r="T326">
        <v>100</v>
      </c>
      <c r="U326">
        <v>35000</v>
      </c>
      <c r="V326" t="str">
        <f>"TOEIC 1A le 24/05/20024 885"</f>
        <v>TOEIC 1A le 24/05/20024 885</v>
      </c>
      <c r="W326">
        <v>33</v>
      </c>
      <c r="X326">
        <v>0</v>
      </c>
      <c r="Y326">
        <v>6000577</v>
      </c>
      <c r="Z326">
        <v>2</v>
      </c>
      <c r="AA326">
        <v>27</v>
      </c>
      <c r="AB326" t="str">
        <f>""</f>
        <v/>
      </c>
      <c r="AC326" t="str">
        <f>""</f>
        <v/>
      </c>
      <c r="AD326" t="str">
        <f>""</f>
        <v/>
      </c>
      <c r="AE326">
        <v>2021</v>
      </c>
      <c r="AF326">
        <v>2023</v>
      </c>
      <c r="AG326" t="str">
        <f>"Rennes"</f>
        <v>Rennes</v>
      </c>
      <c r="AH326" t="str">
        <f>"Rennes"</f>
        <v>Rennes</v>
      </c>
      <c r="AI326" t="str">
        <f>""</f>
        <v/>
      </c>
      <c r="AJ326" t="str">
        <f>""</f>
        <v/>
      </c>
      <c r="AK326" t="str">
        <f>""</f>
        <v/>
      </c>
      <c r="AL326">
        <v>35</v>
      </c>
      <c r="AM326" t="str">
        <f>""</f>
        <v/>
      </c>
      <c r="AN326" t="str">
        <f>""</f>
        <v/>
      </c>
      <c r="AO326" t="str">
        <f>"Lycée"</f>
        <v>Lycée</v>
      </c>
      <c r="AP326" t="str">
        <f>"L'ISLE D'ABEAU"</f>
        <v>L'ISLE D'ABEAU</v>
      </c>
      <c r="AQ326" t="str">
        <f>"Grenoble"</f>
        <v>Grenoble</v>
      </c>
    </row>
    <row r="327" spans="1:43" x14ac:dyDescent="0.25">
      <c r="A327" t="str">
        <f t="shared" si="60"/>
        <v>2A,2A Ing,2A ex Prem.A,T02650</v>
      </c>
      <c r="B327" t="str">
        <f>"CONSTANT"</f>
        <v>CONSTANT</v>
      </c>
      <c r="C327" t="str">
        <f>"Bastien"</f>
        <v>Bastien</v>
      </c>
      <c r="D327" t="str">
        <f>"023-2465"</f>
        <v>023-2465</v>
      </c>
      <c r="E327" t="str">
        <f>"081036623JH"</f>
        <v>081036623JH</v>
      </c>
      <c r="F327" t="str">
        <f t="shared" si="63"/>
        <v>0352480F</v>
      </c>
      <c r="G327" t="str">
        <f t="shared" si="64"/>
        <v>O</v>
      </c>
      <c r="H327">
        <v>10</v>
      </c>
      <c r="I327">
        <v>2003</v>
      </c>
      <c r="J327">
        <v>1</v>
      </c>
      <c r="K327" t="str">
        <f t="shared" si="62"/>
        <v>S</v>
      </c>
      <c r="L327">
        <v>24</v>
      </c>
      <c r="M327">
        <v>2021</v>
      </c>
      <c r="N327" t="str">
        <f t="shared" si="59"/>
        <v>E</v>
      </c>
      <c r="O327" t="str">
        <f>"D"</f>
        <v>D</v>
      </c>
      <c r="P327">
        <v>0</v>
      </c>
      <c r="Q327">
        <v>100</v>
      </c>
      <c r="R327">
        <v>100</v>
      </c>
      <c r="S327">
        <v>35170</v>
      </c>
      <c r="T327">
        <v>100</v>
      </c>
      <c r="U327">
        <v>35170</v>
      </c>
      <c r="V327" t="str">
        <f>"TOEIC 1A le 24/05/20024 955"</f>
        <v>TOEIC 1A le 24/05/20024 955</v>
      </c>
      <c r="W327">
        <v>48</v>
      </c>
      <c r="X327">
        <v>0</v>
      </c>
      <c r="Y327">
        <v>6000577</v>
      </c>
      <c r="Z327">
        <v>2</v>
      </c>
      <c r="AA327">
        <v>27</v>
      </c>
      <c r="AB327" t="str">
        <f>""</f>
        <v/>
      </c>
      <c r="AC327" t="str">
        <f>""</f>
        <v/>
      </c>
      <c r="AD327" t="str">
        <f>""</f>
        <v/>
      </c>
      <c r="AE327">
        <v>2021</v>
      </c>
      <c r="AF327">
        <v>2023</v>
      </c>
      <c r="AG327" t="str">
        <f>"BRUZ"</f>
        <v>BRUZ</v>
      </c>
      <c r="AH327" t="str">
        <f>"BRUZ"</f>
        <v>BRUZ</v>
      </c>
      <c r="AI327" t="str">
        <f>""</f>
        <v/>
      </c>
      <c r="AJ327" t="str">
        <f>""</f>
        <v/>
      </c>
      <c r="AK327" t="str">
        <f>""</f>
        <v/>
      </c>
      <c r="AL327">
        <v>38</v>
      </c>
      <c r="AM327" t="str">
        <f>""</f>
        <v/>
      </c>
      <c r="AN327" t="str">
        <f>""</f>
        <v/>
      </c>
      <c r="AO327" t="str">
        <f>"Lycée Saint-Laurent La Paix Notre-Dame"</f>
        <v>Lycée Saint-Laurent La Paix Notre-Dame</v>
      </c>
      <c r="AP327" t="str">
        <f>"LAGNY SUR MARNE"</f>
        <v>LAGNY SUR MARNE</v>
      </c>
      <c r="AQ327" t="str">
        <f>"Créteil"</f>
        <v>Créteil</v>
      </c>
    </row>
    <row r="328" spans="1:43" x14ac:dyDescent="0.25">
      <c r="A328" t="str">
        <f t="shared" si="60"/>
        <v>2A,2A Ing,2A ex Prem.A,T02650</v>
      </c>
      <c r="B328" t="str">
        <f>"DALBIN"</f>
        <v>DALBIN</v>
      </c>
      <c r="C328" t="str">
        <f>"Claire"</f>
        <v>Claire</v>
      </c>
      <c r="D328" t="str">
        <f>"023-2432"</f>
        <v>023-2432</v>
      </c>
      <c r="E328" t="str">
        <f>"060191748FA"</f>
        <v>060191748FA</v>
      </c>
      <c r="F328" t="str">
        <f t="shared" si="63"/>
        <v>0352480F</v>
      </c>
      <c r="G328" t="str">
        <f t="shared" si="64"/>
        <v>O</v>
      </c>
      <c r="H328">
        <v>10</v>
      </c>
      <c r="I328">
        <v>2002</v>
      </c>
      <c r="J328">
        <v>2</v>
      </c>
      <c r="K328" t="str">
        <f t="shared" si="62"/>
        <v>S</v>
      </c>
      <c r="L328">
        <v>5</v>
      </c>
      <c r="M328">
        <v>2020</v>
      </c>
      <c r="N328" t="str">
        <f t="shared" si="59"/>
        <v>E</v>
      </c>
      <c r="O328" t="str">
        <f>"A"</f>
        <v>A</v>
      </c>
      <c r="P328">
        <v>0</v>
      </c>
      <c r="Q328">
        <v>100</v>
      </c>
      <c r="R328">
        <v>100</v>
      </c>
      <c r="S328">
        <v>35170</v>
      </c>
      <c r="T328">
        <v>100</v>
      </c>
      <c r="U328">
        <v>35170</v>
      </c>
      <c r="V328" t="str">
        <f>"TOEIC 1A le 24/05/20024 940"</f>
        <v>TOEIC 1A le 24/05/20024 940</v>
      </c>
      <c r="W328">
        <v>43</v>
      </c>
      <c r="X328">
        <v>0</v>
      </c>
      <c r="Y328">
        <v>6000577</v>
      </c>
      <c r="Z328">
        <v>2</v>
      </c>
      <c r="AA328">
        <v>27</v>
      </c>
      <c r="AB328" t="str">
        <f>""</f>
        <v/>
      </c>
      <c r="AC328" t="str">
        <f>""</f>
        <v/>
      </c>
      <c r="AD328" t="str">
        <f>""</f>
        <v/>
      </c>
      <c r="AE328">
        <v>2020</v>
      </c>
      <c r="AF328">
        <v>2023</v>
      </c>
      <c r="AG328" t="str">
        <f t="shared" ref="AG328:AH330" si="65">"Bruz"</f>
        <v>Bruz</v>
      </c>
      <c r="AH328" t="str">
        <f t="shared" si="65"/>
        <v>Bruz</v>
      </c>
      <c r="AI328" t="str">
        <f>""</f>
        <v/>
      </c>
      <c r="AJ328" t="str">
        <f>""</f>
        <v/>
      </c>
      <c r="AK328" t="str">
        <f>""</f>
        <v/>
      </c>
      <c r="AL328">
        <v>47</v>
      </c>
      <c r="AM328" t="str">
        <f>""</f>
        <v/>
      </c>
      <c r="AN328" t="str">
        <f>""</f>
        <v/>
      </c>
      <c r="AO328" t="str">
        <f>"Lycée Jean-François MILLET"</f>
        <v>Lycée Jean-François MILLET</v>
      </c>
      <c r="AP328" t="str">
        <f>"CHERBOURG-EN-COTENTIN"</f>
        <v>CHERBOURG-EN-COTENTIN</v>
      </c>
      <c r="AQ328" t="str">
        <f>"Caen"</f>
        <v>Caen</v>
      </c>
    </row>
    <row r="329" spans="1:43" x14ac:dyDescent="0.25">
      <c r="A329" t="str">
        <f t="shared" si="60"/>
        <v>2A,2A Ing,2A ex Prem.A,T02650</v>
      </c>
      <c r="B329" t="str">
        <f>"DANEL"</f>
        <v>DANEL</v>
      </c>
      <c r="C329" t="str">
        <f>"Olivier"</f>
        <v>Olivier</v>
      </c>
      <c r="D329" t="str">
        <f>"023-2500"</f>
        <v>023-2500</v>
      </c>
      <c r="E329" t="str">
        <f>"143341013FJ"</f>
        <v>143341013FJ</v>
      </c>
      <c r="F329" t="str">
        <f t="shared" si="63"/>
        <v>0352480F</v>
      </c>
      <c r="G329" t="str">
        <f t="shared" si="64"/>
        <v>O</v>
      </c>
      <c r="H329">
        <v>10</v>
      </c>
      <c r="I329">
        <v>2002</v>
      </c>
      <c r="J329">
        <v>1</v>
      </c>
      <c r="K329" t="str">
        <f t="shared" si="62"/>
        <v>S</v>
      </c>
      <c r="L329">
        <v>15</v>
      </c>
      <c r="M329">
        <v>2020</v>
      </c>
      <c r="N329" t="str">
        <f t="shared" si="59"/>
        <v>E</v>
      </c>
      <c r="O329" t="str">
        <f>"D"</f>
        <v>D</v>
      </c>
      <c r="P329">
        <v>0</v>
      </c>
      <c r="Q329">
        <v>100</v>
      </c>
      <c r="R329">
        <v>100</v>
      </c>
      <c r="S329">
        <v>35170</v>
      </c>
      <c r="T329">
        <v>100</v>
      </c>
      <c r="U329">
        <v>35170</v>
      </c>
      <c r="V329" t="str">
        <f>"TOEIC 1A le 24/05/20024 940"</f>
        <v>TOEIC 1A le 24/05/20024 940</v>
      </c>
      <c r="W329">
        <v>0</v>
      </c>
      <c r="X329">
        <v>0</v>
      </c>
      <c r="Y329">
        <v>6000577</v>
      </c>
      <c r="Z329">
        <v>2</v>
      </c>
      <c r="AA329">
        <v>27</v>
      </c>
      <c r="AB329" t="str">
        <f>""</f>
        <v/>
      </c>
      <c r="AC329" t="str">
        <f>""</f>
        <v/>
      </c>
      <c r="AD329" t="str">
        <f>""</f>
        <v/>
      </c>
      <c r="AE329">
        <v>2020</v>
      </c>
      <c r="AF329">
        <v>2023</v>
      </c>
      <c r="AG329" t="str">
        <f t="shared" si="65"/>
        <v>Bruz</v>
      </c>
      <c r="AH329" t="str">
        <f t="shared" si="65"/>
        <v>Bruz</v>
      </c>
      <c r="AI329" t="str">
        <f>""</f>
        <v/>
      </c>
      <c r="AJ329" t="str">
        <f>""</f>
        <v/>
      </c>
      <c r="AK329" t="str">
        <f>""</f>
        <v/>
      </c>
      <c r="AL329">
        <v>0</v>
      </c>
      <c r="AM329" t="str">
        <f>""</f>
        <v/>
      </c>
      <c r="AN329" t="str">
        <f>""</f>
        <v/>
      </c>
      <c r="AO329" t="str">
        <f>"Jeanne d'arc"</f>
        <v>Jeanne d'arc</v>
      </c>
      <c r="AP329" t="str">
        <f>"MULHOUSE"</f>
        <v>MULHOUSE</v>
      </c>
      <c r="AQ329" t="str">
        <f>"Strasbourg"</f>
        <v>Strasbourg</v>
      </c>
    </row>
    <row r="330" spans="1:43" x14ac:dyDescent="0.25">
      <c r="A330" t="str">
        <f t="shared" si="60"/>
        <v>2A,2A Ing,2A ex Prem.A,T02650</v>
      </c>
      <c r="B330" t="str">
        <f>"DE PIERO"</f>
        <v>DE PIERO</v>
      </c>
      <c r="C330" t="str">
        <f>"Lorane"</f>
        <v>Lorane</v>
      </c>
      <c r="D330" t="str">
        <f>"023-2383"</f>
        <v>023-2383</v>
      </c>
      <c r="E330" t="str">
        <f>"060087820KB"</f>
        <v>060087820KB</v>
      </c>
      <c r="F330" t="str">
        <f t="shared" si="63"/>
        <v>0352480F</v>
      </c>
      <c r="G330" t="str">
        <f t="shared" si="64"/>
        <v>O</v>
      </c>
      <c r="H330">
        <v>10</v>
      </c>
      <c r="I330">
        <v>2003</v>
      </c>
      <c r="J330">
        <v>2</v>
      </c>
      <c r="K330" t="str">
        <f t="shared" si="62"/>
        <v>S</v>
      </c>
      <c r="L330">
        <v>8</v>
      </c>
      <c r="M330">
        <v>2021</v>
      </c>
      <c r="N330" t="str">
        <f t="shared" si="59"/>
        <v>E</v>
      </c>
      <c r="O330" t="str">
        <f>"C"</f>
        <v>C</v>
      </c>
      <c r="P330">
        <v>0</v>
      </c>
      <c r="Q330">
        <v>100</v>
      </c>
      <c r="R330">
        <v>100</v>
      </c>
      <c r="S330">
        <v>35170</v>
      </c>
      <c r="T330">
        <v>100</v>
      </c>
      <c r="U330">
        <v>35170</v>
      </c>
      <c r="V330" t="str">
        <f>""</f>
        <v/>
      </c>
      <c r="W330">
        <v>34</v>
      </c>
      <c r="X330">
        <v>0</v>
      </c>
      <c r="Y330">
        <v>6000577</v>
      </c>
      <c r="Z330">
        <v>2</v>
      </c>
      <c r="AA330">
        <v>27</v>
      </c>
      <c r="AB330" t="str">
        <f>""</f>
        <v/>
      </c>
      <c r="AC330" t="str">
        <f>""</f>
        <v/>
      </c>
      <c r="AD330" t="str">
        <f>""</f>
        <v/>
      </c>
      <c r="AE330">
        <v>2021</v>
      </c>
      <c r="AF330">
        <v>2023</v>
      </c>
      <c r="AG330" t="str">
        <f t="shared" si="65"/>
        <v>Bruz</v>
      </c>
      <c r="AH330" t="str">
        <f t="shared" si="65"/>
        <v>Bruz</v>
      </c>
      <c r="AI330" t="str">
        <f>""</f>
        <v/>
      </c>
      <c r="AJ330" t="str">
        <f>""</f>
        <v/>
      </c>
      <c r="AK330" t="str">
        <f>""</f>
        <v/>
      </c>
      <c r="AL330">
        <v>82</v>
      </c>
      <c r="AM330" t="str">
        <f>""</f>
        <v/>
      </c>
      <c r="AN330" t="str">
        <f>""</f>
        <v/>
      </c>
      <c r="AO330" t="str">
        <f>"Lycée Vaugelas"</f>
        <v>Lycée Vaugelas</v>
      </c>
      <c r="AP330" t="str">
        <f>"CHAMBÉRY"</f>
        <v>CHAMBÉRY</v>
      </c>
      <c r="AQ330" t="str">
        <f>"Grenoble"</f>
        <v>Grenoble</v>
      </c>
    </row>
    <row r="331" spans="1:43" x14ac:dyDescent="0.25">
      <c r="A331" t="str">
        <f t="shared" si="60"/>
        <v>2A,2A Ing,2A ex Prem.A,T02650</v>
      </c>
      <c r="B331" t="str">
        <f>"DERASSE"</f>
        <v>DERASSE</v>
      </c>
      <c r="C331" t="str">
        <f>"Laure"</f>
        <v>Laure</v>
      </c>
      <c r="D331" t="str">
        <f>"023-2468"</f>
        <v>023-2468</v>
      </c>
      <c r="E331" t="str">
        <f>"070577612HD"</f>
        <v>070577612HD</v>
      </c>
      <c r="F331" t="str">
        <f t="shared" si="63"/>
        <v>0352480F</v>
      </c>
      <c r="G331" t="str">
        <f t="shared" si="64"/>
        <v>O</v>
      </c>
      <c r="H331">
        <v>10</v>
      </c>
      <c r="I331">
        <v>2003</v>
      </c>
      <c r="J331">
        <v>2</v>
      </c>
      <c r="K331" t="str">
        <f t="shared" si="62"/>
        <v>S</v>
      </c>
      <c r="L331">
        <v>2</v>
      </c>
      <c r="M331">
        <v>2021</v>
      </c>
      <c r="N331" t="str">
        <f t="shared" si="59"/>
        <v>E</v>
      </c>
      <c r="O331" t="str">
        <f>"D"</f>
        <v>D</v>
      </c>
      <c r="P331">
        <v>0</v>
      </c>
      <c r="Q331">
        <v>100</v>
      </c>
      <c r="R331">
        <v>100</v>
      </c>
      <c r="S331">
        <v>35000</v>
      </c>
      <c r="T331">
        <v>100</v>
      </c>
      <c r="U331">
        <v>35000</v>
      </c>
      <c r="V331" t="str">
        <f>"TOEIC 1A le 24/05/20024 785"</f>
        <v>TOEIC 1A le 24/05/20024 785</v>
      </c>
      <c r="W331">
        <v>38</v>
      </c>
      <c r="X331">
        <v>0</v>
      </c>
      <c r="Y331">
        <v>6000577</v>
      </c>
      <c r="Z331">
        <v>2</v>
      </c>
      <c r="AA331">
        <v>27</v>
      </c>
      <c r="AB331" t="str">
        <f>""</f>
        <v/>
      </c>
      <c r="AC331" t="str">
        <f>""</f>
        <v/>
      </c>
      <c r="AD331" t="str">
        <f>""</f>
        <v/>
      </c>
      <c r="AE331">
        <v>2021</v>
      </c>
      <c r="AF331">
        <v>2023</v>
      </c>
      <c r="AG331" t="str">
        <f>"rennes"</f>
        <v>rennes</v>
      </c>
      <c r="AH331" t="str">
        <f>"rennes"</f>
        <v>rennes</v>
      </c>
      <c r="AI331" t="str">
        <f>""</f>
        <v/>
      </c>
      <c r="AJ331" t="str">
        <f>""</f>
        <v/>
      </c>
      <c r="AK331" t="str">
        <f>""</f>
        <v/>
      </c>
      <c r="AL331">
        <v>38</v>
      </c>
      <c r="AM331" t="str">
        <f>""</f>
        <v/>
      </c>
      <c r="AN331" t="str">
        <f>""</f>
        <v/>
      </c>
      <c r="AO331" t="str">
        <f>"sainte marie"</f>
        <v>sainte marie</v>
      </c>
      <c r="AP331" t="str">
        <f>"AUBAGNE"</f>
        <v>AUBAGNE</v>
      </c>
      <c r="AQ331" t="str">
        <f>"Aix-Marseille"</f>
        <v>Aix-Marseille</v>
      </c>
    </row>
    <row r="332" spans="1:43" x14ac:dyDescent="0.25">
      <c r="A332" t="str">
        <f t="shared" si="60"/>
        <v>2A,2A Ing,2A ex Prem.A,T02650</v>
      </c>
      <c r="B332" t="str">
        <f>"ESPINOSA MARTINEZ"</f>
        <v>ESPINOSA MARTINEZ</v>
      </c>
      <c r="C332" t="str">
        <f>"Daniel Ignacio"</f>
        <v>Daniel Ignacio</v>
      </c>
      <c r="D332" t="str">
        <f>"023-2391"</f>
        <v>023-2391</v>
      </c>
      <c r="E332" t="str">
        <f>"203374866JH"</f>
        <v>203374866JH</v>
      </c>
      <c r="F332" t="str">
        <f t="shared" si="63"/>
        <v>0352480F</v>
      </c>
      <c r="G332" t="str">
        <f t="shared" si="64"/>
        <v>O</v>
      </c>
      <c r="H332">
        <v>10</v>
      </c>
      <c r="I332">
        <v>2003</v>
      </c>
      <c r="J332">
        <v>1</v>
      </c>
      <c r="K332" t="str">
        <f>"ES"</f>
        <v>ES</v>
      </c>
      <c r="L332">
        <v>0</v>
      </c>
      <c r="M332">
        <v>2021</v>
      </c>
      <c r="N332" t="str">
        <f t="shared" si="59"/>
        <v>E</v>
      </c>
      <c r="O332" t="str">
        <f>"D"</f>
        <v>D</v>
      </c>
      <c r="P332">
        <v>0</v>
      </c>
      <c r="Q332">
        <v>420</v>
      </c>
      <c r="R332">
        <v>100</v>
      </c>
      <c r="S332">
        <v>35170</v>
      </c>
      <c r="T332">
        <v>100</v>
      </c>
      <c r="U332">
        <v>35170</v>
      </c>
      <c r="V332" t="str">
        <f>"TOEIC 1A le 24/05/20024 835"</f>
        <v>TOEIC 1A le 24/05/20024 835</v>
      </c>
      <c r="W332">
        <v>31</v>
      </c>
      <c r="X332">
        <v>0</v>
      </c>
      <c r="Y332">
        <v>6000577</v>
      </c>
      <c r="Z332">
        <v>2</v>
      </c>
      <c r="AA332">
        <v>27</v>
      </c>
      <c r="AB332" t="str">
        <f>""</f>
        <v/>
      </c>
      <c r="AC332" t="str">
        <f>""</f>
        <v/>
      </c>
      <c r="AD332" t="str">
        <f>""</f>
        <v/>
      </c>
      <c r="AE332">
        <v>2021</v>
      </c>
      <c r="AF332">
        <v>2023</v>
      </c>
      <c r="AG332" t="str">
        <f>"Bruz"</f>
        <v>Bruz</v>
      </c>
      <c r="AH332" t="str">
        <f>"Bruz"</f>
        <v>Bruz</v>
      </c>
      <c r="AI332" t="str">
        <f>""</f>
        <v/>
      </c>
      <c r="AJ332" t="str">
        <f>""</f>
        <v/>
      </c>
      <c r="AK332" t="str">
        <f>""</f>
        <v/>
      </c>
      <c r="AL332">
        <v>54</v>
      </c>
      <c r="AM332" t="str">
        <f>""</f>
        <v/>
      </c>
      <c r="AN332" t="str">
        <f>""</f>
        <v/>
      </c>
      <c r="AO332" t="str">
        <f>"Lycée franco-équatorien la Condamine"</f>
        <v>Lycée franco-équatorien la Condamine</v>
      </c>
      <c r="AP332" t="str">
        <f>"QUITO"</f>
        <v>QUITO</v>
      </c>
      <c r="AQ332" t="str">
        <f>"Etranger"</f>
        <v>Etranger</v>
      </c>
    </row>
    <row r="333" spans="1:43" x14ac:dyDescent="0.25">
      <c r="A333" t="str">
        <f t="shared" si="60"/>
        <v>2A,2A Ing,2A ex Prem.A,T02650</v>
      </c>
      <c r="B333" t="str">
        <f>"FERRET"</f>
        <v>FERRET</v>
      </c>
      <c r="C333" t="str">
        <f>"Maxime"</f>
        <v>Maxime</v>
      </c>
      <c r="D333" t="str">
        <f>"023-2384"</f>
        <v>023-2384</v>
      </c>
      <c r="E333" t="str">
        <f>"081959222FF"</f>
        <v>081959222FF</v>
      </c>
      <c r="F333" t="str">
        <f t="shared" si="63"/>
        <v>0352480F</v>
      </c>
      <c r="G333" t="str">
        <f t="shared" si="64"/>
        <v>O</v>
      </c>
      <c r="H333">
        <v>10</v>
      </c>
      <c r="I333">
        <v>2003</v>
      </c>
      <c r="J333">
        <v>1</v>
      </c>
      <c r="K333" t="str">
        <f>"ES"</f>
        <v>ES</v>
      </c>
      <c r="L333">
        <v>13</v>
      </c>
      <c r="M333">
        <v>2021</v>
      </c>
      <c r="N333" t="str">
        <f t="shared" si="59"/>
        <v>E</v>
      </c>
      <c r="O333" t="str">
        <f>"C"</f>
        <v>C</v>
      </c>
      <c r="P333">
        <v>0</v>
      </c>
      <c r="Q333">
        <v>100</v>
      </c>
      <c r="R333">
        <v>100</v>
      </c>
      <c r="S333">
        <v>35170</v>
      </c>
      <c r="T333">
        <v>100</v>
      </c>
      <c r="U333">
        <v>35170</v>
      </c>
      <c r="V333" t="str">
        <f>""</f>
        <v/>
      </c>
      <c r="W333">
        <v>37</v>
      </c>
      <c r="X333">
        <v>0</v>
      </c>
      <c r="Y333">
        <v>6000577</v>
      </c>
      <c r="Z333">
        <v>2</v>
      </c>
      <c r="AA333">
        <v>27</v>
      </c>
      <c r="AB333" t="str">
        <f>""</f>
        <v/>
      </c>
      <c r="AC333" t="str">
        <f>""</f>
        <v/>
      </c>
      <c r="AD333" t="str">
        <f>""</f>
        <v/>
      </c>
      <c r="AE333">
        <v>2021</v>
      </c>
      <c r="AF333">
        <v>2023</v>
      </c>
      <c r="AG333" t="str">
        <f>"Bruz"</f>
        <v>Bruz</v>
      </c>
      <c r="AH333" t="str">
        <f>"Bruz"</f>
        <v>Bruz</v>
      </c>
      <c r="AI333" t="str">
        <f>""</f>
        <v/>
      </c>
      <c r="AJ333" t="str">
        <f>""</f>
        <v/>
      </c>
      <c r="AK333" t="str">
        <f>""</f>
        <v/>
      </c>
      <c r="AL333">
        <v>52</v>
      </c>
      <c r="AM333" t="str">
        <f>""</f>
        <v/>
      </c>
      <c r="AN333" t="str">
        <f>""</f>
        <v/>
      </c>
      <c r="AO333" t="str">
        <f>"LYCEE JEAN MACE"</f>
        <v>LYCEE JEAN MACE</v>
      </c>
      <c r="AP333" t="str">
        <f>"NIORT"</f>
        <v>NIORT</v>
      </c>
      <c r="AQ333" t="str">
        <f>"Poitiers"</f>
        <v>Poitiers</v>
      </c>
    </row>
    <row r="334" spans="1:43" x14ac:dyDescent="0.25">
      <c r="A334" t="str">
        <f t="shared" si="60"/>
        <v>2A,2A Ing,2A ex Prem.A,T02650</v>
      </c>
      <c r="B334" t="str">
        <f>"FOURNEREAU"</f>
        <v>FOURNEREAU</v>
      </c>
      <c r="C334" t="str">
        <f>"Chloé"</f>
        <v>Chloé</v>
      </c>
      <c r="D334" t="str">
        <f>"023-2355"</f>
        <v>023-2355</v>
      </c>
      <c r="E334" t="str">
        <f>"060631147GB"</f>
        <v>060631147GB</v>
      </c>
      <c r="F334" t="str">
        <f t="shared" si="63"/>
        <v>0352480F</v>
      </c>
      <c r="G334" t="str">
        <f t="shared" si="64"/>
        <v>O</v>
      </c>
      <c r="H334">
        <v>10</v>
      </c>
      <c r="I334">
        <v>2002</v>
      </c>
      <c r="J334">
        <v>2</v>
      </c>
      <c r="K334" t="str">
        <f t="shared" ref="K334:K339" si="66">"S"</f>
        <v>S</v>
      </c>
      <c r="L334">
        <v>14</v>
      </c>
      <c r="M334">
        <v>2020</v>
      </c>
      <c r="N334" t="str">
        <f t="shared" ref="N334:N365" si="67">"E"</f>
        <v>E</v>
      </c>
      <c r="O334" t="str">
        <f>"N"</f>
        <v>N</v>
      </c>
      <c r="P334">
        <v>0</v>
      </c>
      <c r="Q334">
        <v>100</v>
      </c>
      <c r="R334">
        <v>100</v>
      </c>
      <c r="S334" t="str">
        <f>"Cesso"</f>
        <v>Cesso</v>
      </c>
      <c r="T334">
        <v>100</v>
      </c>
      <c r="U334" t="str">
        <f>"Cesso"</f>
        <v>Cesso</v>
      </c>
      <c r="V334" t="str">
        <f>"TOEIC 1A le 24/05/20024 885"</f>
        <v>TOEIC 1A le 24/05/20024 885</v>
      </c>
      <c r="W334">
        <v>34</v>
      </c>
      <c r="X334">
        <v>0</v>
      </c>
      <c r="Y334">
        <v>6000577</v>
      </c>
      <c r="Z334">
        <v>2</v>
      </c>
      <c r="AA334">
        <v>27</v>
      </c>
      <c r="AB334" t="str">
        <f>""</f>
        <v/>
      </c>
      <c r="AC334" t="str">
        <f>""</f>
        <v/>
      </c>
      <c r="AD334" t="str">
        <f>""</f>
        <v/>
      </c>
      <c r="AE334">
        <v>2020</v>
      </c>
      <c r="AF334">
        <v>2023</v>
      </c>
      <c r="AG334" t="str">
        <f>"Sévigné 35510"</f>
        <v>Sévigné 35510</v>
      </c>
      <c r="AH334" t="str">
        <f>"Sévigné 35510"</f>
        <v>Sévigné 35510</v>
      </c>
      <c r="AI334" t="str">
        <f>""</f>
        <v/>
      </c>
      <c r="AJ334" t="str">
        <f>""</f>
        <v/>
      </c>
      <c r="AK334" t="str">
        <f>""</f>
        <v/>
      </c>
      <c r="AL334">
        <v>34</v>
      </c>
      <c r="AM334" t="str">
        <f>""</f>
        <v/>
      </c>
      <c r="AN334" t="str">
        <f>""</f>
        <v/>
      </c>
      <c r="AO334" t="str">
        <f>"Lycée Sévigné"</f>
        <v>Lycée Sévigné</v>
      </c>
      <c r="AP334" t="str">
        <f>"CESSON SÉVIGNÉ"</f>
        <v>CESSON SÉVIGNÉ</v>
      </c>
      <c r="AQ334" t="str">
        <f>"Rennes"</f>
        <v>Rennes</v>
      </c>
    </row>
    <row r="335" spans="1:43" x14ac:dyDescent="0.25">
      <c r="A335" t="str">
        <f t="shared" si="60"/>
        <v>2A,2A Ing,2A ex Prem.A,T02650</v>
      </c>
      <c r="B335" t="str">
        <f>"FREYDIER"</f>
        <v>FREYDIER</v>
      </c>
      <c r="C335" t="str">
        <f>"Gaspard"</f>
        <v>Gaspard</v>
      </c>
      <c r="D335" t="str">
        <f>"023-2474"</f>
        <v>023-2474</v>
      </c>
      <c r="E335" t="str">
        <f>"090499558JE"</f>
        <v>090499558JE</v>
      </c>
      <c r="F335" t="str">
        <f t="shared" si="63"/>
        <v>0352480F</v>
      </c>
      <c r="G335" t="str">
        <f t="shared" si="64"/>
        <v>O</v>
      </c>
      <c r="H335">
        <v>10</v>
      </c>
      <c r="I335">
        <v>2003</v>
      </c>
      <c r="J335">
        <v>1</v>
      </c>
      <c r="K335" t="str">
        <f t="shared" si="66"/>
        <v>S</v>
      </c>
      <c r="L335">
        <v>4</v>
      </c>
      <c r="M335">
        <v>2020</v>
      </c>
      <c r="N335" t="str">
        <f t="shared" si="67"/>
        <v>E</v>
      </c>
      <c r="O335" t="str">
        <f>"A"</f>
        <v>A</v>
      </c>
      <c r="P335">
        <v>0</v>
      </c>
      <c r="Q335">
        <v>100</v>
      </c>
      <c r="R335">
        <v>100</v>
      </c>
      <c r="S335">
        <v>35170</v>
      </c>
      <c r="T335">
        <v>100</v>
      </c>
      <c r="U335">
        <v>35170</v>
      </c>
      <c r="V335" t="str">
        <f>"TOEIC 1A le 24/05/20024 960"</f>
        <v>TOEIC 1A le 24/05/20024 960</v>
      </c>
      <c r="W335">
        <v>34</v>
      </c>
      <c r="X335">
        <v>0</v>
      </c>
      <c r="Y335">
        <v>6000577</v>
      </c>
      <c r="Z335">
        <v>2</v>
      </c>
      <c r="AA335">
        <v>27</v>
      </c>
      <c r="AB335" t="str">
        <f>""</f>
        <v/>
      </c>
      <c r="AC335" t="str">
        <f>""</f>
        <v/>
      </c>
      <c r="AD335" t="str">
        <f>""</f>
        <v/>
      </c>
      <c r="AE335">
        <v>2020</v>
      </c>
      <c r="AF335">
        <v>2023</v>
      </c>
      <c r="AG335" t="str">
        <f>"Bruz"</f>
        <v>Bruz</v>
      </c>
      <c r="AH335" t="str">
        <f>"Bruz"</f>
        <v>Bruz</v>
      </c>
      <c r="AI335" t="str">
        <f>""</f>
        <v/>
      </c>
      <c r="AJ335" t="str">
        <f>""</f>
        <v/>
      </c>
      <c r="AK335" t="str">
        <f>""</f>
        <v/>
      </c>
      <c r="AL335">
        <v>38</v>
      </c>
      <c r="AM335" t="str">
        <f>""</f>
        <v/>
      </c>
      <c r="AN335" t="str">
        <f>""</f>
        <v/>
      </c>
      <c r="AO335" t="str">
        <f>"Lycée Privé Saint-Genès La Salle"</f>
        <v>Lycée Privé Saint-Genès La Salle</v>
      </c>
      <c r="AP335" t="str">
        <f>"BORDEAUX"</f>
        <v>BORDEAUX</v>
      </c>
      <c r="AQ335" t="str">
        <f>"Bordeaux"</f>
        <v>Bordeaux</v>
      </c>
    </row>
    <row r="336" spans="1:43" x14ac:dyDescent="0.25">
      <c r="A336" t="str">
        <f t="shared" si="60"/>
        <v>2A,2A Ing,2A ex Prem.A,T02650</v>
      </c>
      <c r="B336" t="str">
        <f>"GILLET"</f>
        <v>GILLET</v>
      </c>
      <c r="C336" t="str">
        <f>"Adrien"</f>
        <v>Adrien</v>
      </c>
      <c r="D336" t="str">
        <f>"023-2365"</f>
        <v>023-2365</v>
      </c>
      <c r="E336" t="str">
        <f>"101007538BH"</f>
        <v>101007538BH</v>
      </c>
      <c r="F336" t="str">
        <f t="shared" si="63"/>
        <v>0352480F</v>
      </c>
      <c r="G336" t="str">
        <f t="shared" si="64"/>
        <v>O</v>
      </c>
      <c r="H336">
        <v>10</v>
      </c>
      <c r="I336">
        <v>2002</v>
      </c>
      <c r="J336">
        <v>1</v>
      </c>
      <c r="K336" t="str">
        <f t="shared" si="66"/>
        <v>S</v>
      </c>
      <c r="L336">
        <v>17</v>
      </c>
      <c r="M336">
        <v>2020</v>
      </c>
      <c r="N336" t="str">
        <f t="shared" si="67"/>
        <v>E</v>
      </c>
      <c r="O336" t="str">
        <f>"N"</f>
        <v>N</v>
      </c>
      <c r="P336">
        <v>0</v>
      </c>
      <c r="Q336">
        <v>100</v>
      </c>
      <c r="R336">
        <v>100</v>
      </c>
      <c r="S336">
        <v>35170</v>
      </c>
      <c r="T336">
        <v>100</v>
      </c>
      <c r="U336">
        <v>35170</v>
      </c>
      <c r="V336" t="str">
        <f>""</f>
        <v/>
      </c>
      <c r="W336">
        <v>33</v>
      </c>
      <c r="X336">
        <v>0</v>
      </c>
      <c r="Y336">
        <v>6000577</v>
      </c>
      <c r="Z336">
        <v>2</v>
      </c>
      <c r="AA336">
        <v>27</v>
      </c>
      <c r="AB336" t="str">
        <f>""</f>
        <v/>
      </c>
      <c r="AC336" t="str">
        <f>""</f>
        <v/>
      </c>
      <c r="AD336" t="str">
        <f>""</f>
        <v/>
      </c>
      <c r="AE336">
        <v>2020</v>
      </c>
      <c r="AF336">
        <v>2023</v>
      </c>
      <c r="AG336" t="str">
        <f>"BRUZ"</f>
        <v>BRUZ</v>
      </c>
      <c r="AH336" t="str">
        <f>"BRUZ"</f>
        <v>BRUZ</v>
      </c>
      <c r="AI336" t="str">
        <f>""</f>
        <v/>
      </c>
      <c r="AJ336" t="str">
        <f>""</f>
        <v/>
      </c>
      <c r="AK336" t="str">
        <f>""</f>
        <v/>
      </c>
      <c r="AL336">
        <v>82</v>
      </c>
      <c r="AM336" t="str">
        <f>""</f>
        <v/>
      </c>
      <c r="AN336" t="str">
        <f>""</f>
        <v/>
      </c>
      <c r="AO336" t="str">
        <f>"Sacré-Coeur"</f>
        <v>Sacré-Coeur</v>
      </c>
      <c r="AP336" t="str">
        <f>"ANGERS"</f>
        <v>ANGERS</v>
      </c>
      <c r="AQ336" t="str">
        <f>"Nantes"</f>
        <v>Nantes</v>
      </c>
    </row>
    <row r="337" spans="1:43" x14ac:dyDescent="0.25">
      <c r="A337" t="str">
        <f t="shared" si="60"/>
        <v>2A,2A Ing,2A ex Prem.A,T02650</v>
      </c>
      <c r="B337" t="str">
        <f>"GOUMONT"</f>
        <v>GOUMONT</v>
      </c>
      <c r="C337" t="str">
        <f>"Thomas"</f>
        <v>Thomas</v>
      </c>
      <c r="D337" t="str">
        <f>"023-2390"</f>
        <v>023-2390</v>
      </c>
      <c r="E337" t="str">
        <f>"072194966KH"</f>
        <v>072194966KH</v>
      </c>
      <c r="F337" t="str">
        <f t="shared" si="63"/>
        <v>0352480F</v>
      </c>
      <c r="G337" t="str">
        <f t="shared" si="64"/>
        <v>O</v>
      </c>
      <c r="H337">
        <v>10</v>
      </c>
      <c r="I337">
        <v>2002</v>
      </c>
      <c r="J337">
        <v>1</v>
      </c>
      <c r="K337" t="str">
        <f t="shared" si="66"/>
        <v>S</v>
      </c>
      <c r="L337">
        <v>14</v>
      </c>
      <c r="M337">
        <v>2020</v>
      </c>
      <c r="N337" t="str">
        <f t="shared" si="67"/>
        <v>E</v>
      </c>
      <c r="O337" t="str">
        <f>"N"</f>
        <v>N</v>
      </c>
      <c r="P337">
        <v>0</v>
      </c>
      <c r="Q337">
        <v>100</v>
      </c>
      <c r="R337">
        <v>100</v>
      </c>
      <c r="S337">
        <v>35000</v>
      </c>
      <c r="T337">
        <v>100</v>
      </c>
      <c r="U337">
        <v>35000</v>
      </c>
      <c r="V337" t="str">
        <f>"TOEIC 1A le 24/05/20024 935"</f>
        <v>TOEIC 1A le 24/05/20024 935</v>
      </c>
      <c r="W337">
        <v>37</v>
      </c>
      <c r="X337">
        <v>0</v>
      </c>
      <c r="Y337">
        <v>6000577</v>
      </c>
      <c r="Z337">
        <v>2</v>
      </c>
      <c r="AA337">
        <v>27</v>
      </c>
      <c r="AB337" t="str">
        <f>""</f>
        <v/>
      </c>
      <c r="AC337" t="str">
        <f>""</f>
        <v/>
      </c>
      <c r="AD337" t="str">
        <f>""</f>
        <v/>
      </c>
      <c r="AE337">
        <v>2020</v>
      </c>
      <c r="AF337">
        <v>2023</v>
      </c>
      <c r="AG337" t="str">
        <f>"Rennes"</f>
        <v>Rennes</v>
      </c>
      <c r="AH337" t="str">
        <f>"Rennes"</f>
        <v>Rennes</v>
      </c>
      <c r="AI337" t="str">
        <f>""</f>
        <v/>
      </c>
      <c r="AJ337" t="str">
        <f>""</f>
        <v/>
      </c>
      <c r="AK337" t="str">
        <f>""</f>
        <v/>
      </c>
      <c r="AL337">
        <v>54</v>
      </c>
      <c r="AM337" t="str">
        <f>""</f>
        <v/>
      </c>
      <c r="AN337" t="str">
        <f>""</f>
        <v/>
      </c>
      <c r="AO337" t="str">
        <f>"Lycée Notre Dame de Kerbertrand"</f>
        <v>Lycée Notre Dame de Kerbertrand</v>
      </c>
      <c r="AP337" t="str">
        <f>"QUIMPERLÉ"</f>
        <v>QUIMPERLÉ</v>
      </c>
      <c r="AQ337" t="str">
        <f>"Rennes"</f>
        <v>Rennes</v>
      </c>
    </row>
    <row r="338" spans="1:43" x14ac:dyDescent="0.25">
      <c r="A338" t="str">
        <f t="shared" si="60"/>
        <v>2A,2A Ing,2A ex Prem.A,T02650</v>
      </c>
      <c r="B338" t="str">
        <f>"GRUCHOCIAK"</f>
        <v>GRUCHOCIAK</v>
      </c>
      <c r="C338" t="str">
        <f>"Léo"</f>
        <v>Léo</v>
      </c>
      <c r="D338" t="str">
        <f>"023-2424"</f>
        <v>023-2424</v>
      </c>
      <c r="E338" t="str">
        <f>"071129552GD"</f>
        <v>071129552GD</v>
      </c>
      <c r="F338" t="str">
        <f t="shared" si="63"/>
        <v>0352480F</v>
      </c>
      <c r="G338" t="str">
        <f t="shared" si="64"/>
        <v>O</v>
      </c>
      <c r="H338">
        <v>10</v>
      </c>
      <c r="I338">
        <v>2002</v>
      </c>
      <c r="J338">
        <v>1</v>
      </c>
      <c r="K338" t="str">
        <f t="shared" si="66"/>
        <v>S</v>
      </c>
      <c r="L338">
        <v>11</v>
      </c>
      <c r="M338">
        <v>2020</v>
      </c>
      <c r="N338" t="str">
        <f t="shared" si="67"/>
        <v>E</v>
      </c>
      <c r="O338" t="str">
        <f>"N"</f>
        <v>N</v>
      </c>
      <c r="P338">
        <v>0</v>
      </c>
      <c r="Q338">
        <v>100</v>
      </c>
      <c r="R338">
        <v>100</v>
      </c>
      <c r="S338">
        <v>35170</v>
      </c>
      <c r="T338">
        <v>100</v>
      </c>
      <c r="U338">
        <v>35170</v>
      </c>
      <c r="V338" t="str">
        <f>"TOEIC 1A le 24/05/20024 875"</f>
        <v>TOEIC 1A le 24/05/20024 875</v>
      </c>
      <c r="W338">
        <v>33</v>
      </c>
      <c r="X338">
        <v>0</v>
      </c>
      <c r="Y338">
        <v>6000577</v>
      </c>
      <c r="Z338">
        <v>2</v>
      </c>
      <c r="AA338">
        <v>27</v>
      </c>
      <c r="AB338" t="str">
        <f>""</f>
        <v/>
      </c>
      <c r="AC338" t="str">
        <f>""</f>
        <v/>
      </c>
      <c r="AD338" t="str">
        <f>""</f>
        <v/>
      </c>
      <c r="AE338">
        <v>2020</v>
      </c>
      <c r="AF338">
        <v>2023</v>
      </c>
      <c r="AG338" t="str">
        <f t="shared" ref="AG338:AH340" si="68">"Bruz"</f>
        <v>Bruz</v>
      </c>
      <c r="AH338" t="str">
        <f t="shared" si="68"/>
        <v>Bruz</v>
      </c>
      <c r="AI338" t="str">
        <f>""</f>
        <v/>
      </c>
      <c r="AJ338" t="str">
        <f>""</f>
        <v/>
      </c>
      <c r="AK338" t="str">
        <f>""</f>
        <v/>
      </c>
      <c r="AL338">
        <v>82</v>
      </c>
      <c r="AM338" t="str">
        <f>""</f>
        <v/>
      </c>
      <c r="AN338" t="str">
        <f>""</f>
        <v/>
      </c>
      <c r="AO338" t="str">
        <f>"Lycée Polyvalent Jean Moulin"</f>
        <v>Lycée Polyvalent Jean Moulin</v>
      </c>
      <c r="AP338" t="str">
        <f>"PÉZENAS"</f>
        <v>PÉZENAS</v>
      </c>
      <c r="AQ338" t="str">
        <f>"Montpellier"</f>
        <v>Montpellier</v>
      </c>
    </row>
    <row r="339" spans="1:43" x14ac:dyDescent="0.25">
      <c r="A339" t="str">
        <f t="shared" si="60"/>
        <v>2A,2A Ing,2A ex Prem.A,T02650</v>
      </c>
      <c r="B339" t="str">
        <f>"GUÀRDIA SANZ"</f>
        <v>GUÀRDIA SANZ</v>
      </c>
      <c r="C339" t="str">
        <f>"Antoni"</f>
        <v>Antoni</v>
      </c>
      <c r="D339" t="str">
        <f>"023-2475"</f>
        <v>023-2475</v>
      </c>
      <c r="E339" t="str">
        <f>"153321145GC"</f>
        <v>153321145GC</v>
      </c>
      <c r="F339" t="str">
        <f t="shared" si="63"/>
        <v>0352480F</v>
      </c>
      <c r="G339" t="str">
        <f t="shared" si="64"/>
        <v>O</v>
      </c>
      <c r="H339">
        <v>10</v>
      </c>
      <c r="I339">
        <v>2002</v>
      </c>
      <c r="J339">
        <v>1</v>
      </c>
      <c r="K339" t="str">
        <f t="shared" si="66"/>
        <v>S</v>
      </c>
      <c r="L339">
        <v>11</v>
      </c>
      <c r="M339">
        <v>2020</v>
      </c>
      <c r="N339" t="str">
        <f t="shared" si="67"/>
        <v>E</v>
      </c>
      <c r="O339" t="str">
        <f>"A"</f>
        <v>A</v>
      </c>
      <c r="P339">
        <v>0</v>
      </c>
      <c r="Q339">
        <v>134</v>
      </c>
      <c r="R339">
        <v>100</v>
      </c>
      <c r="S339">
        <v>35170</v>
      </c>
      <c r="T339">
        <v>100</v>
      </c>
      <c r="U339">
        <v>35170</v>
      </c>
      <c r="V339" t="str">
        <f>""</f>
        <v/>
      </c>
      <c r="W339">
        <v>43</v>
      </c>
      <c r="X339">
        <v>0</v>
      </c>
      <c r="Y339">
        <v>6000577</v>
      </c>
      <c r="Z339">
        <v>2</v>
      </c>
      <c r="AA339">
        <v>27</v>
      </c>
      <c r="AB339" t="str">
        <f>""</f>
        <v/>
      </c>
      <c r="AC339" t="str">
        <f>""</f>
        <v/>
      </c>
      <c r="AD339" t="str">
        <f>""</f>
        <v/>
      </c>
      <c r="AE339">
        <v>2020</v>
      </c>
      <c r="AF339">
        <v>2023</v>
      </c>
      <c r="AG339" t="str">
        <f t="shared" si="68"/>
        <v>Bruz</v>
      </c>
      <c r="AH339" t="str">
        <f t="shared" si="68"/>
        <v>Bruz</v>
      </c>
      <c r="AI339" t="str">
        <f>""</f>
        <v/>
      </c>
      <c r="AJ339" t="str">
        <f>""</f>
        <v/>
      </c>
      <c r="AK339" t="str">
        <f>""</f>
        <v/>
      </c>
      <c r="AL339">
        <v>99</v>
      </c>
      <c r="AM339" t="str">
        <f>""</f>
        <v/>
      </c>
      <c r="AN339" t="str">
        <f>""</f>
        <v/>
      </c>
      <c r="AO339" t="str">
        <f>"Émile Peytavin"</f>
        <v>Émile Peytavin</v>
      </c>
      <c r="AP339" t="str">
        <f>"MENDE"</f>
        <v>MENDE</v>
      </c>
      <c r="AQ339" t="str">
        <f>"Montpellier"</f>
        <v>Montpellier</v>
      </c>
    </row>
    <row r="340" spans="1:43" x14ac:dyDescent="0.25">
      <c r="A340" t="str">
        <f t="shared" si="60"/>
        <v>2A,2A Ing,2A ex Prem.A,T02650</v>
      </c>
      <c r="B340" t="str">
        <f>"HESSANE"</f>
        <v>HESSANE</v>
      </c>
      <c r="C340" t="str">
        <f>"Soukayna"</f>
        <v>Soukayna</v>
      </c>
      <c r="D340" t="str">
        <f>"023-2539"</f>
        <v>023-2539</v>
      </c>
      <c r="E340" t="str">
        <f>"213057011KE"</f>
        <v>213057011KE</v>
      </c>
      <c r="F340" t="str">
        <f t="shared" si="63"/>
        <v>0352480F</v>
      </c>
      <c r="G340" t="str">
        <f t="shared" si="64"/>
        <v>O</v>
      </c>
      <c r="H340">
        <v>10</v>
      </c>
      <c r="I340">
        <v>2003</v>
      </c>
      <c r="J340">
        <v>2</v>
      </c>
      <c r="K340">
        <v>36</v>
      </c>
      <c r="L340">
        <v>0</v>
      </c>
      <c r="M340">
        <v>2021</v>
      </c>
      <c r="N340" t="str">
        <f t="shared" si="67"/>
        <v>E</v>
      </c>
      <c r="O340" t="str">
        <f>"D"</f>
        <v>D</v>
      </c>
      <c r="P340">
        <v>0</v>
      </c>
      <c r="Q340">
        <v>350</v>
      </c>
      <c r="R340">
        <v>100</v>
      </c>
      <c r="S340">
        <v>35170</v>
      </c>
      <c r="T340">
        <v>100</v>
      </c>
      <c r="U340">
        <v>35170</v>
      </c>
      <c r="V340" t="str">
        <f>"Déléguée 2023/2024 - CER  TOEIC 1A le 24/05/20024 880"</f>
        <v>Déléguée 2023/2024 - CER  TOEIC 1A le 24/05/20024 880</v>
      </c>
      <c r="W340">
        <v>0</v>
      </c>
      <c r="X340">
        <v>0</v>
      </c>
      <c r="Y340">
        <v>6000577</v>
      </c>
      <c r="Z340">
        <v>2</v>
      </c>
      <c r="AA340">
        <v>27</v>
      </c>
      <c r="AB340" t="str">
        <f>""</f>
        <v/>
      </c>
      <c r="AC340" t="str">
        <f>""</f>
        <v/>
      </c>
      <c r="AD340" t="str">
        <f>""</f>
        <v/>
      </c>
      <c r="AE340">
        <v>2021</v>
      </c>
      <c r="AF340">
        <v>2023</v>
      </c>
      <c r="AG340" t="str">
        <f t="shared" si="68"/>
        <v>Bruz</v>
      </c>
      <c r="AH340" t="str">
        <f t="shared" si="68"/>
        <v>Bruz</v>
      </c>
      <c r="AI340" t="str">
        <f>""</f>
        <v/>
      </c>
      <c r="AJ340" t="str">
        <f>""</f>
        <v/>
      </c>
      <c r="AK340" t="str">
        <f>""</f>
        <v/>
      </c>
      <c r="AL340">
        <v>0</v>
      </c>
      <c r="AM340" t="str">
        <f>""</f>
        <v/>
      </c>
      <c r="AN340" t="str">
        <f>""</f>
        <v/>
      </c>
      <c r="AO340" t="str">
        <f>"Al Jabr"</f>
        <v>Al Jabr</v>
      </c>
      <c r="AP340" t="str">
        <f>"FES"</f>
        <v>FES</v>
      </c>
      <c r="AQ340" t="str">
        <f>"Etranger"</f>
        <v>Etranger</v>
      </c>
    </row>
    <row r="341" spans="1:43" x14ac:dyDescent="0.25">
      <c r="A341" t="str">
        <f t="shared" si="60"/>
        <v>2A,2A Ing,2A ex Prem.A,T02650</v>
      </c>
      <c r="B341" t="str">
        <f>"LAISE"</f>
        <v>LAISE</v>
      </c>
      <c r="C341" t="str">
        <f>"Axel"</f>
        <v>Axel</v>
      </c>
      <c r="D341" t="str">
        <f>"023-2440"</f>
        <v>023-2440</v>
      </c>
      <c r="E341" t="str">
        <f>"143125803CF"</f>
        <v>143125803CF</v>
      </c>
      <c r="F341" t="str">
        <f t="shared" si="63"/>
        <v>0352480F</v>
      </c>
      <c r="G341" t="str">
        <f t="shared" si="64"/>
        <v>O</v>
      </c>
      <c r="H341">
        <v>10</v>
      </c>
      <c r="I341">
        <v>2003</v>
      </c>
      <c r="J341">
        <v>1</v>
      </c>
      <c r="K341" t="str">
        <f>"NBGE"</f>
        <v>NBGE</v>
      </c>
      <c r="L341">
        <v>17</v>
      </c>
      <c r="M341">
        <v>2021</v>
      </c>
      <c r="N341" t="str">
        <f t="shared" si="67"/>
        <v>E</v>
      </c>
      <c r="O341" t="str">
        <f>"D"</f>
        <v>D</v>
      </c>
      <c r="P341">
        <v>0</v>
      </c>
      <c r="Q341">
        <v>100</v>
      </c>
      <c r="R341">
        <v>100</v>
      </c>
      <c r="S341">
        <v>35310</v>
      </c>
      <c r="T341">
        <v>100</v>
      </c>
      <c r="U341">
        <v>35310</v>
      </c>
      <c r="V341" t="str">
        <f>"TOEIC 1A le 24/05/20024 955"</f>
        <v>TOEIC 1A le 24/05/20024 955</v>
      </c>
      <c r="W341">
        <v>37</v>
      </c>
      <c r="X341">
        <v>0</v>
      </c>
      <c r="Y341">
        <v>6000577</v>
      </c>
      <c r="Z341">
        <v>2</v>
      </c>
      <c r="AA341">
        <v>27</v>
      </c>
      <c r="AB341" t="str">
        <f>""</f>
        <v/>
      </c>
      <c r="AC341" t="str">
        <f>""</f>
        <v/>
      </c>
      <c r="AD341" t="str">
        <f>""</f>
        <v/>
      </c>
      <c r="AE341">
        <v>2021</v>
      </c>
      <c r="AF341">
        <v>2023</v>
      </c>
      <c r="AG341" t="str">
        <f>"Chavagne"</f>
        <v>Chavagne</v>
      </c>
      <c r="AH341" t="str">
        <f>"Chavagne"</f>
        <v>Chavagne</v>
      </c>
      <c r="AI341" t="str">
        <f>""</f>
        <v/>
      </c>
      <c r="AJ341" t="str">
        <f>""</f>
        <v/>
      </c>
      <c r="AK341" t="str">
        <f>""</f>
        <v/>
      </c>
      <c r="AL341">
        <v>37</v>
      </c>
      <c r="AM341" t="str">
        <f>""</f>
        <v/>
      </c>
      <c r="AN341" t="str">
        <f>""</f>
        <v/>
      </c>
      <c r="AO341" t="str">
        <f>"Ambroise Paré"</f>
        <v>Ambroise Paré</v>
      </c>
      <c r="AP341" t="str">
        <f>"LAVAL"</f>
        <v>LAVAL</v>
      </c>
      <c r="AQ341" t="str">
        <f>"Nantes"</f>
        <v>Nantes</v>
      </c>
    </row>
    <row r="342" spans="1:43" x14ac:dyDescent="0.25">
      <c r="A342" t="str">
        <f t="shared" si="60"/>
        <v>2A,2A Ing,2A ex Prem.A,T02650</v>
      </c>
      <c r="B342" t="str">
        <f>"LAO"</f>
        <v>LAO</v>
      </c>
      <c r="C342" t="str">
        <f>"Alexandre"</f>
        <v>Alexandre</v>
      </c>
      <c r="D342" t="str">
        <f>"023-2510"</f>
        <v>023-2510</v>
      </c>
      <c r="E342" t="str">
        <f>"120958220AE"</f>
        <v>120958220AE</v>
      </c>
      <c r="F342" t="str">
        <f t="shared" si="63"/>
        <v>0352480F</v>
      </c>
      <c r="G342" t="str">
        <f t="shared" si="64"/>
        <v>O</v>
      </c>
      <c r="H342">
        <v>10</v>
      </c>
      <c r="I342">
        <v>2003</v>
      </c>
      <c r="J342">
        <v>1</v>
      </c>
      <c r="K342" t="str">
        <f>"S"</f>
        <v>S</v>
      </c>
      <c r="L342">
        <v>41</v>
      </c>
      <c r="M342">
        <v>2021</v>
      </c>
      <c r="N342" t="str">
        <f t="shared" si="67"/>
        <v>E</v>
      </c>
      <c r="O342" t="str">
        <f>"A"</f>
        <v>A</v>
      </c>
      <c r="P342">
        <v>0</v>
      </c>
      <c r="Q342">
        <v>100</v>
      </c>
      <c r="R342">
        <v>100</v>
      </c>
      <c r="S342">
        <v>35170</v>
      </c>
      <c r="T342">
        <v>100</v>
      </c>
      <c r="U342">
        <v>35170</v>
      </c>
      <c r="V342" t="str">
        <f>"TOEIC 1A le 24/05/20024 890"</f>
        <v>TOEIC 1A le 24/05/20024 890</v>
      </c>
      <c r="W342">
        <v>33</v>
      </c>
      <c r="X342">
        <v>0</v>
      </c>
      <c r="Y342">
        <v>6000577</v>
      </c>
      <c r="Z342">
        <v>2</v>
      </c>
      <c r="AA342">
        <v>27</v>
      </c>
      <c r="AB342" t="str">
        <f>""</f>
        <v/>
      </c>
      <c r="AC342" t="str">
        <f>""</f>
        <v/>
      </c>
      <c r="AD342" t="str">
        <f>""</f>
        <v/>
      </c>
      <c r="AE342">
        <v>2021</v>
      </c>
      <c r="AF342">
        <v>2023</v>
      </c>
      <c r="AG342" t="str">
        <f>"Bruz"</f>
        <v>Bruz</v>
      </c>
      <c r="AH342" t="str">
        <f>"Bruz"</f>
        <v>Bruz</v>
      </c>
      <c r="AI342" t="str">
        <f>""</f>
        <v/>
      </c>
      <c r="AJ342" t="str">
        <f>""</f>
        <v/>
      </c>
      <c r="AK342" t="str">
        <f>""</f>
        <v/>
      </c>
      <c r="AL342">
        <v>34</v>
      </c>
      <c r="AM342" t="str">
        <f>""</f>
        <v/>
      </c>
      <c r="AN342" t="str">
        <f>""</f>
        <v/>
      </c>
      <c r="AO342" t="str">
        <f>"Lycée Paul Gauguin"</f>
        <v>Lycée Paul Gauguin</v>
      </c>
      <c r="AP342" t="str">
        <f>"PAPEETE"</f>
        <v>PAPEETE</v>
      </c>
      <c r="AQ342" t="str">
        <f>"Polynésie Française"</f>
        <v>Polynésie Française</v>
      </c>
    </row>
    <row r="343" spans="1:43" x14ac:dyDescent="0.25">
      <c r="A343" t="str">
        <f t="shared" si="60"/>
        <v>2A,2A Ing,2A ex Prem.A,T02650</v>
      </c>
      <c r="B343" t="str">
        <f>"LE LOURD"</f>
        <v>LE LOURD</v>
      </c>
      <c r="C343" t="str">
        <f>"Malo"</f>
        <v>Malo</v>
      </c>
      <c r="D343" t="str">
        <f>"023-2385"</f>
        <v>023-2385</v>
      </c>
      <c r="E343" t="str">
        <f>"061242146GF"</f>
        <v>061242146GF</v>
      </c>
      <c r="F343" t="str">
        <f t="shared" si="63"/>
        <v>0352480F</v>
      </c>
      <c r="G343" t="str">
        <f t="shared" si="64"/>
        <v>O</v>
      </c>
      <c r="H343">
        <v>10</v>
      </c>
      <c r="I343">
        <v>2003</v>
      </c>
      <c r="J343">
        <v>1</v>
      </c>
      <c r="K343" t="str">
        <f>"S"</f>
        <v>S</v>
      </c>
      <c r="L343">
        <v>25</v>
      </c>
      <c r="M343">
        <v>2021</v>
      </c>
      <c r="N343" t="str">
        <f t="shared" si="67"/>
        <v>E</v>
      </c>
      <c r="O343" t="str">
        <f>"C"</f>
        <v>C</v>
      </c>
      <c r="P343">
        <v>0</v>
      </c>
      <c r="Q343">
        <v>100</v>
      </c>
      <c r="R343">
        <v>100</v>
      </c>
      <c r="S343">
        <v>35170</v>
      </c>
      <c r="T343">
        <v>100</v>
      </c>
      <c r="U343">
        <v>35170</v>
      </c>
      <c r="V343" t="str">
        <f>""</f>
        <v/>
      </c>
      <c r="W343">
        <v>37</v>
      </c>
      <c r="X343">
        <v>0</v>
      </c>
      <c r="Y343">
        <v>6000577</v>
      </c>
      <c r="Z343">
        <v>2</v>
      </c>
      <c r="AA343">
        <v>27</v>
      </c>
      <c r="AB343" t="str">
        <f>""</f>
        <v/>
      </c>
      <c r="AC343" t="str">
        <f>""</f>
        <v/>
      </c>
      <c r="AD343" t="str">
        <f>""</f>
        <v/>
      </c>
      <c r="AE343">
        <v>2021</v>
      </c>
      <c r="AF343">
        <v>2023</v>
      </c>
      <c r="AG343" t="str">
        <f>"BRUZ"</f>
        <v>BRUZ</v>
      </c>
      <c r="AH343" t="str">
        <f>"BRUZ"</f>
        <v>BRUZ</v>
      </c>
      <c r="AI343" t="str">
        <f>""</f>
        <v/>
      </c>
      <c r="AJ343" t="str">
        <f>""</f>
        <v/>
      </c>
      <c r="AK343" t="str">
        <f>""</f>
        <v/>
      </c>
      <c r="AL343">
        <v>37</v>
      </c>
      <c r="AM343" t="str">
        <f>""</f>
        <v/>
      </c>
      <c r="AN343" t="str">
        <f>""</f>
        <v/>
      </c>
      <c r="AO343" t="str">
        <f>"Lycée Alexandre Dumas"</f>
        <v>Lycée Alexandre Dumas</v>
      </c>
      <c r="AP343" t="str">
        <f>"SAINT-CLOUD"</f>
        <v>SAINT-CLOUD</v>
      </c>
      <c r="AQ343" t="str">
        <f>"Versailles"</f>
        <v>Versailles</v>
      </c>
    </row>
    <row r="344" spans="1:43" x14ac:dyDescent="0.25">
      <c r="A344" t="str">
        <f t="shared" si="60"/>
        <v>2A,2A Ing,2A ex Prem.A,T02650</v>
      </c>
      <c r="B344" t="str">
        <f>"LEYDOUR"</f>
        <v>LEYDOUR</v>
      </c>
      <c r="C344" t="str">
        <f>"Léo"</f>
        <v>Léo</v>
      </c>
      <c r="D344" t="str">
        <f>"023-2450"</f>
        <v>023-2450</v>
      </c>
      <c r="E344" t="str">
        <f>"072099122AJ"</f>
        <v>072099122AJ</v>
      </c>
      <c r="F344" t="str">
        <f t="shared" si="63"/>
        <v>0352480F</v>
      </c>
      <c r="G344" t="str">
        <f t="shared" si="64"/>
        <v>O</v>
      </c>
      <c r="H344">
        <v>10</v>
      </c>
      <c r="I344">
        <v>2003</v>
      </c>
      <c r="J344">
        <v>1</v>
      </c>
      <c r="K344" t="str">
        <f>"S"</f>
        <v>S</v>
      </c>
      <c r="L344">
        <v>14</v>
      </c>
      <c r="M344">
        <v>2021</v>
      </c>
      <c r="N344" t="str">
        <f t="shared" si="67"/>
        <v>E</v>
      </c>
      <c r="O344" t="str">
        <f>"D"</f>
        <v>D</v>
      </c>
      <c r="P344">
        <v>0</v>
      </c>
      <c r="Q344">
        <v>100</v>
      </c>
      <c r="R344">
        <v>100</v>
      </c>
      <c r="S344">
        <v>35170</v>
      </c>
      <c r="T344">
        <v>100</v>
      </c>
      <c r="U344">
        <v>35170</v>
      </c>
      <c r="V344" t="str">
        <f>"TOEIC 1A le 24/05/20024 940"</f>
        <v>TOEIC 1A le 24/05/20024 940</v>
      </c>
      <c r="W344">
        <v>22</v>
      </c>
      <c r="X344">
        <v>0</v>
      </c>
      <c r="Y344">
        <v>6000577</v>
      </c>
      <c r="Z344">
        <v>2</v>
      </c>
      <c r="AA344">
        <v>27</v>
      </c>
      <c r="AB344" t="str">
        <f>""</f>
        <v/>
      </c>
      <c r="AC344" t="str">
        <f>""</f>
        <v/>
      </c>
      <c r="AD344" t="str">
        <f>""</f>
        <v/>
      </c>
      <c r="AE344">
        <v>2021</v>
      </c>
      <c r="AF344">
        <v>2023</v>
      </c>
      <c r="AG344" t="str">
        <f>"Bruz"</f>
        <v>Bruz</v>
      </c>
      <c r="AH344" t="str">
        <f>"Bruz"</f>
        <v>Bruz</v>
      </c>
      <c r="AI344" t="str">
        <f>""</f>
        <v/>
      </c>
      <c r="AJ344" t="str">
        <f>""</f>
        <v/>
      </c>
      <c r="AK344" t="str">
        <f>""</f>
        <v/>
      </c>
      <c r="AL344">
        <v>99</v>
      </c>
      <c r="AM344" t="str">
        <f>""</f>
        <v/>
      </c>
      <c r="AN344" t="str">
        <f>""</f>
        <v/>
      </c>
      <c r="AO344" t="str">
        <f>"Eugene Freyssinet"</f>
        <v>Eugene Freyssinet</v>
      </c>
      <c r="AP344" t="str">
        <f>"SAINT-BRIEUC"</f>
        <v>SAINT-BRIEUC</v>
      </c>
      <c r="AQ344" t="str">
        <f>"Rennes"</f>
        <v>Rennes</v>
      </c>
    </row>
    <row r="345" spans="1:43" x14ac:dyDescent="0.25">
      <c r="A345" t="str">
        <f t="shared" si="60"/>
        <v>2A,2A Ing,2A ex Prem.A,T02650</v>
      </c>
      <c r="B345" t="str">
        <f>"LOUKHNATI"</f>
        <v>LOUKHNATI</v>
      </c>
      <c r="C345" t="str">
        <f>"Amre"</f>
        <v>Amre</v>
      </c>
      <c r="D345" t="str">
        <f>"023-2483"</f>
        <v>023-2483</v>
      </c>
      <c r="E345" t="str">
        <f>"213007012EB"</f>
        <v>213007012EB</v>
      </c>
      <c r="F345" t="str">
        <f t="shared" si="63"/>
        <v>0352480F</v>
      </c>
      <c r="G345" t="str">
        <f t="shared" si="64"/>
        <v>O</v>
      </c>
      <c r="H345">
        <v>10</v>
      </c>
      <c r="I345">
        <v>2002</v>
      </c>
      <c r="J345">
        <v>1</v>
      </c>
      <c r="K345">
        <v>31</v>
      </c>
      <c r="L345">
        <v>0</v>
      </c>
      <c r="M345">
        <v>2020</v>
      </c>
      <c r="N345" t="str">
        <f t="shared" si="67"/>
        <v>E</v>
      </c>
      <c r="O345" t="str">
        <f>"D"</f>
        <v>D</v>
      </c>
      <c r="P345">
        <v>0</v>
      </c>
      <c r="Q345">
        <v>350</v>
      </c>
      <c r="R345">
        <v>100</v>
      </c>
      <c r="S345" t="str">
        <f>""</f>
        <v/>
      </c>
      <c r="T345">
        <v>100</v>
      </c>
      <c r="U345" t="str">
        <f>""</f>
        <v/>
      </c>
      <c r="V345" t="str">
        <f>"TOEIC 1A le 24/05/20024 925"</f>
        <v>TOEIC 1A le 24/05/20024 925</v>
      </c>
      <c r="W345">
        <v>99</v>
      </c>
      <c r="X345">
        <v>0</v>
      </c>
      <c r="Y345">
        <v>6000577</v>
      </c>
      <c r="Z345">
        <v>2</v>
      </c>
      <c r="AA345">
        <v>27</v>
      </c>
      <c r="AB345" t="str">
        <f>""</f>
        <v/>
      </c>
      <c r="AC345" t="str">
        <f>""</f>
        <v/>
      </c>
      <c r="AD345" t="str">
        <f>""</f>
        <v/>
      </c>
      <c r="AE345">
        <v>2021</v>
      </c>
      <c r="AF345">
        <v>2023</v>
      </c>
      <c r="AG345" t="str">
        <f>""</f>
        <v/>
      </c>
      <c r="AH345" t="str">
        <f>""</f>
        <v/>
      </c>
      <c r="AI345" t="str">
        <f>""</f>
        <v/>
      </c>
      <c r="AJ345" t="str">
        <f>""</f>
        <v/>
      </c>
      <c r="AK345" t="str">
        <f>""</f>
        <v/>
      </c>
      <c r="AL345">
        <v>99</v>
      </c>
      <c r="AM345" t="str">
        <f>""</f>
        <v/>
      </c>
      <c r="AN345" t="str">
        <f>""</f>
        <v/>
      </c>
      <c r="AO345" t="str">
        <f>"Elaraki"</f>
        <v>Elaraki</v>
      </c>
      <c r="AP345" t="str">
        <f>"MARRAKECH"</f>
        <v>MARRAKECH</v>
      </c>
      <c r="AQ345" t="str">
        <f>"Etranger"</f>
        <v>Etranger</v>
      </c>
    </row>
    <row r="346" spans="1:43" x14ac:dyDescent="0.25">
      <c r="A346" t="str">
        <f t="shared" ref="A346:A366" si="69">"2A,2A Ing,2A ex Prem.A,T02650"</f>
        <v>2A,2A Ing,2A ex Prem.A,T02650</v>
      </c>
      <c r="B346" t="str">
        <f>"MARTIN"</f>
        <v>MARTIN</v>
      </c>
      <c r="C346" t="str">
        <f>"Hugo"</f>
        <v>Hugo</v>
      </c>
      <c r="D346" t="str">
        <f>"023-2451"</f>
        <v>023-2451</v>
      </c>
      <c r="E346" t="str">
        <f>"081977134JJ"</f>
        <v>081977134JJ</v>
      </c>
      <c r="F346" t="str">
        <f t="shared" si="63"/>
        <v>0352480F</v>
      </c>
      <c r="G346" t="str">
        <f t="shared" si="64"/>
        <v>O</v>
      </c>
      <c r="H346">
        <v>10</v>
      </c>
      <c r="I346">
        <v>2003</v>
      </c>
      <c r="J346">
        <v>1</v>
      </c>
      <c r="K346" t="str">
        <f>"S"</f>
        <v>S</v>
      </c>
      <c r="L346">
        <v>9</v>
      </c>
      <c r="M346">
        <v>2021</v>
      </c>
      <c r="N346" t="str">
        <f t="shared" si="67"/>
        <v>E</v>
      </c>
      <c r="O346" t="str">
        <f>"D"</f>
        <v>D</v>
      </c>
      <c r="P346">
        <v>0</v>
      </c>
      <c r="Q346">
        <v>100</v>
      </c>
      <c r="R346">
        <v>100</v>
      </c>
      <c r="S346">
        <v>35170</v>
      </c>
      <c r="T346">
        <v>100</v>
      </c>
      <c r="U346">
        <v>35170</v>
      </c>
      <c r="V346" t="str">
        <f>"TOEIC 1A le 24/05/20024 960"</f>
        <v>TOEIC 1A le 24/05/20024 960</v>
      </c>
      <c r="W346">
        <v>37</v>
      </c>
      <c r="X346">
        <v>0</v>
      </c>
      <c r="Y346">
        <v>6000577</v>
      </c>
      <c r="Z346">
        <v>2</v>
      </c>
      <c r="AA346">
        <v>27</v>
      </c>
      <c r="AB346" t="str">
        <f>""</f>
        <v/>
      </c>
      <c r="AC346" t="str">
        <f>""</f>
        <v/>
      </c>
      <c r="AD346" t="str">
        <f>""</f>
        <v/>
      </c>
      <c r="AE346">
        <v>2021</v>
      </c>
      <c r="AF346">
        <v>2023</v>
      </c>
      <c r="AG346" t="str">
        <f>"Bruz"</f>
        <v>Bruz</v>
      </c>
      <c r="AH346" t="str">
        <f>"Bruz"</f>
        <v>Bruz</v>
      </c>
      <c r="AI346" t="str">
        <f>""</f>
        <v/>
      </c>
      <c r="AJ346" t="str">
        <f>""</f>
        <v/>
      </c>
      <c r="AK346" t="str">
        <f>""</f>
        <v/>
      </c>
      <c r="AL346">
        <v>48</v>
      </c>
      <c r="AM346" t="str">
        <f>""</f>
        <v/>
      </c>
      <c r="AN346" t="str">
        <f>""</f>
        <v/>
      </c>
      <c r="AO346" t="str">
        <f>"Lycée Colbert"</f>
        <v>Lycée Colbert</v>
      </c>
      <c r="AP346" t="str">
        <f>"TOURCOING"</f>
        <v>TOURCOING</v>
      </c>
      <c r="AQ346" t="str">
        <f>"Lille"</f>
        <v>Lille</v>
      </c>
    </row>
    <row r="347" spans="1:43" x14ac:dyDescent="0.25">
      <c r="A347" t="str">
        <f t="shared" si="69"/>
        <v>2A,2A Ing,2A ex Prem.A,T02650</v>
      </c>
      <c r="B347" t="str">
        <f>"MEUDIC"</f>
        <v>MEUDIC</v>
      </c>
      <c r="C347" t="str">
        <f>"Antonin"</f>
        <v>Antonin</v>
      </c>
      <c r="D347" t="str">
        <f>"023-2490"</f>
        <v>023-2490</v>
      </c>
      <c r="E347" t="str">
        <f>"121092544CF"</f>
        <v>121092544CF</v>
      </c>
      <c r="F347" t="str">
        <f t="shared" si="63"/>
        <v>0352480F</v>
      </c>
      <c r="G347" t="str">
        <f t="shared" si="64"/>
        <v>O</v>
      </c>
      <c r="H347">
        <v>10</v>
      </c>
      <c r="I347">
        <v>2003</v>
      </c>
      <c r="J347">
        <v>1</v>
      </c>
      <c r="K347" t="str">
        <f>"S"</f>
        <v>S</v>
      </c>
      <c r="L347">
        <v>17</v>
      </c>
      <c r="M347">
        <v>2021</v>
      </c>
      <c r="N347" t="str">
        <f t="shared" si="67"/>
        <v>E</v>
      </c>
      <c r="O347" t="str">
        <f>"D"</f>
        <v>D</v>
      </c>
      <c r="P347">
        <v>0</v>
      </c>
      <c r="Q347">
        <v>100</v>
      </c>
      <c r="R347">
        <v>100</v>
      </c>
      <c r="S347">
        <v>35170</v>
      </c>
      <c r="T347">
        <v>100</v>
      </c>
      <c r="U347">
        <v>35170</v>
      </c>
      <c r="V347" t="str">
        <f>"TOEIC 1A le 24/05/20024 930"</f>
        <v>TOEIC 1A le 24/05/20024 930</v>
      </c>
      <c r="W347">
        <v>38</v>
      </c>
      <c r="X347">
        <v>0</v>
      </c>
      <c r="Y347">
        <v>6000577</v>
      </c>
      <c r="Z347">
        <v>2</v>
      </c>
      <c r="AA347">
        <v>27</v>
      </c>
      <c r="AB347" t="str">
        <f>""</f>
        <v/>
      </c>
      <c r="AC347" t="str">
        <f>""</f>
        <v/>
      </c>
      <c r="AD347" t="str">
        <f>""</f>
        <v/>
      </c>
      <c r="AE347">
        <v>2021</v>
      </c>
      <c r="AF347">
        <v>2023</v>
      </c>
      <c r="AG347" t="str">
        <f>"BRUZ"</f>
        <v>BRUZ</v>
      </c>
      <c r="AH347" t="str">
        <f>"BRUZ"</f>
        <v>BRUZ</v>
      </c>
      <c r="AI347" t="str">
        <f>""</f>
        <v/>
      </c>
      <c r="AJ347" t="str">
        <f>""</f>
        <v/>
      </c>
      <c r="AK347" t="str">
        <f>""</f>
        <v/>
      </c>
      <c r="AL347">
        <v>37</v>
      </c>
      <c r="AM347" t="str">
        <f>""</f>
        <v/>
      </c>
      <c r="AN347" t="str">
        <f>""</f>
        <v/>
      </c>
      <c r="AO347" t="str">
        <f>"Lycée de la Colinière"</f>
        <v>Lycée de la Colinière</v>
      </c>
      <c r="AP347" t="str">
        <f>"NANTES"</f>
        <v>NANTES</v>
      </c>
      <c r="AQ347" t="str">
        <f>"Nantes"</f>
        <v>Nantes</v>
      </c>
    </row>
    <row r="348" spans="1:43" x14ac:dyDescent="0.25">
      <c r="A348" t="str">
        <f t="shared" si="69"/>
        <v>2A,2A Ing,2A ex Prem.A,T02650</v>
      </c>
      <c r="B348" t="str">
        <f>"MEYER"</f>
        <v>MEYER</v>
      </c>
      <c r="C348" t="str">
        <f>"Olivier"</f>
        <v>Olivier</v>
      </c>
      <c r="D348" t="str">
        <f>"023-2392"</f>
        <v>023-2392</v>
      </c>
      <c r="E348" t="str">
        <f>"081032710CD"</f>
        <v>081032710CD</v>
      </c>
      <c r="F348" t="str">
        <f t="shared" si="63"/>
        <v>0352480F</v>
      </c>
      <c r="G348" t="str">
        <f t="shared" si="64"/>
        <v>O</v>
      </c>
      <c r="H348">
        <v>10</v>
      </c>
      <c r="I348">
        <v>2003</v>
      </c>
      <c r="J348">
        <v>1</v>
      </c>
      <c r="K348" t="str">
        <f>""</f>
        <v/>
      </c>
      <c r="L348">
        <v>25</v>
      </c>
      <c r="M348">
        <v>2021</v>
      </c>
      <c r="N348" t="str">
        <f t="shared" si="67"/>
        <v>E</v>
      </c>
      <c r="O348" t="str">
        <f>"D"</f>
        <v>D</v>
      </c>
      <c r="P348">
        <v>0</v>
      </c>
      <c r="Q348">
        <v>100</v>
      </c>
      <c r="R348">
        <v>100</v>
      </c>
      <c r="S348">
        <v>35170</v>
      </c>
      <c r="T348">
        <v>100</v>
      </c>
      <c r="U348">
        <v>35170</v>
      </c>
      <c r="V348" t="str">
        <f>"TOEIC 1A le 24/05/20024 : 985  IELTS Academic Online - le 08/08/2024 : 7.5 (C1 level)"</f>
        <v>TOEIC 1A le 24/05/20024 : 985  IELTS Academic Online - le 08/08/2024 : 7.5 (C1 level)</v>
      </c>
      <c r="W348">
        <v>38</v>
      </c>
      <c r="X348">
        <v>0</v>
      </c>
      <c r="Y348">
        <v>6000577</v>
      </c>
      <c r="Z348">
        <v>2</v>
      </c>
      <c r="AA348">
        <v>27</v>
      </c>
      <c r="AB348" t="str">
        <f>""</f>
        <v/>
      </c>
      <c r="AC348" t="str">
        <f>""</f>
        <v/>
      </c>
      <c r="AD348" t="str">
        <f>""</f>
        <v/>
      </c>
      <c r="AE348">
        <v>2021</v>
      </c>
      <c r="AF348">
        <v>2023</v>
      </c>
      <c r="AG348" t="str">
        <f>"Bruz"</f>
        <v>Bruz</v>
      </c>
      <c r="AH348" t="str">
        <f>"Bruz"</f>
        <v>Bruz</v>
      </c>
      <c r="AI348" t="str">
        <f>""</f>
        <v/>
      </c>
      <c r="AJ348" t="str">
        <f>""</f>
        <v/>
      </c>
      <c r="AK348" t="str">
        <f>""</f>
        <v/>
      </c>
      <c r="AL348">
        <v>38</v>
      </c>
      <c r="AM348" t="str">
        <f>""</f>
        <v/>
      </c>
      <c r="AN348" t="str">
        <f>""</f>
        <v/>
      </c>
      <c r="AO348" t="str">
        <f>"Marie Curie"</f>
        <v>Marie Curie</v>
      </c>
      <c r="AP348" t="str">
        <f>"SCEAUX"</f>
        <v>SCEAUX</v>
      </c>
      <c r="AQ348" t="str">
        <f>"Versailles"</f>
        <v>Versailles</v>
      </c>
    </row>
    <row r="349" spans="1:43" x14ac:dyDescent="0.25">
      <c r="A349" t="str">
        <f t="shared" si="69"/>
        <v>2A,2A Ing,2A ex Prem.A,T02650</v>
      </c>
      <c r="B349" t="str">
        <f>"MOHAMED-BENKADDA"</f>
        <v>MOHAMED-BENKADDA</v>
      </c>
      <c r="C349" t="str">
        <f>"Amine"</f>
        <v>Amine</v>
      </c>
      <c r="D349" t="str">
        <f>"023-2541"</f>
        <v>023-2541</v>
      </c>
      <c r="E349" t="str">
        <f>"143152916HC"</f>
        <v>143152916HC</v>
      </c>
      <c r="F349" t="str">
        <f t="shared" si="63"/>
        <v>0352480F</v>
      </c>
      <c r="G349" t="str">
        <f t="shared" si="64"/>
        <v>O</v>
      </c>
      <c r="H349">
        <v>10</v>
      </c>
      <c r="I349">
        <v>2003</v>
      </c>
      <c r="J349">
        <v>1</v>
      </c>
      <c r="K349" t="str">
        <f>"S"</f>
        <v>S</v>
      </c>
      <c r="L349">
        <v>1</v>
      </c>
      <c r="M349">
        <v>2021</v>
      </c>
      <c r="N349" t="str">
        <f t="shared" si="67"/>
        <v>E</v>
      </c>
      <c r="O349" t="str">
        <f>"C"</f>
        <v>C</v>
      </c>
      <c r="P349">
        <v>0</v>
      </c>
      <c r="Q349">
        <v>100</v>
      </c>
      <c r="R349">
        <v>100</v>
      </c>
      <c r="S349">
        <v>35136</v>
      </c>
      <c r="T349">
        <v>100</v>
      </c>
      <c r="U349">
        <v>35136</v>
      </c>
      <c r="V349" t="str">
        <f>""</f>
        <v/>
      </c>
      <c r="W349">
        <v>34</v>
      </c>
      <c r="X349">
        <v>0</v>
      </c>
      <c r="Y349">
        <v>6000577</v>
      </c>
      <c r="Z349">
        <v>2</v>
      </c>
      <c r="AA349">
        <v>27</v>
      </c>
      <c r="AB349" t="str">
        <f>""</f>
        <v/>
      </c>
      <c r="AC349" t="str">
        <f>""</f>
        <v/>
      </c>
      <c r="AD349" t="str">
        <f>""</f>
        <v/>
      </c>
      <c r="AE349">
        <v>2021</v>
      </c>
      <c r="AF349">
        <v>2023</v>
      </c>
      <c r="AG349" t="str">
        <f>"Saint Jacques de la Lande"</f>
        <v>Saint Jacques de la Lande</v>
      </c>
      <c r="AH349" t="str">
        <f>"Saint Jacques de la Lande"</f>
        <v>Saint Jacques de la Lande</v>
      </c>
      <c r="AI349" t="str">
        <f>""</f>
        <v/>
      </c>
      <c r="AJ349" t="str">
        <f>""</f>
        <v/>
      </c>
      <c r="AK349" t="str">
        <f>""</f>
        <v/>
      </c>
      <c r="AL349">
        <v>31</v>
      </c>
      <c r="AM349" t="str">
        <f>""</f>
        <v/>
      </c>
      <c r="AN349" t="str">
        <f>""</f>
        <v/>
      </c>
      <c r="AO349" t="str">
        <f>"Lycée Jean de la Fontaine"</f>
        <v>Lycée Jean de la Fontaine</v>
      </c>
      <c r="AP349" t="str">
        <f>"PARIS"</f>
        <v>PARIS</v>
      </c>
      <c r="AQ349" t="str">
        <f>"Paris"</f>
        <v>Paris</v>
      </c>
    </row>
    <row r="350" spans="1:43" x14ac:dyDescent="0.25">
      <c r="A350" t="str">
        <f t="shared" si="69"/>
        <v>2A,2A Ing,2A ex Prem.A,T02650</v>
      </c>
      <c r="B350" t="str">
        <f>"MONTZAMIR"</f>
        <v>MONTZAMIR</v>
      </c>
      <c r="C350" t="str">
        <f>"Antoine"</f>
        <v>Antoine</v>
      </c>
      <c r="D350" t="str">
        <f>"023-2460"</f>
        <v>023-2460</v>
      </c>
      <c r="E350" t="str">
        <f>"090813988DB"</f>
        <v>090813988DB</v>
      </c>
      <c r="F350" t="str">
        <f t="shared" si="63"/>
        <v>0352480F</v>
      </c>
      <c r="G350" t="str">
        <f t="shared" si="64"/>
        <v>O</v>
      </c>
      <c r="H350">
        <v>10</v>
      </c>
      <c r="I350">
        <v>2003</v>
      </c>
      <c r="J350">
        <v>1</v>
      </c>
      <c r="K350" t="str">
        <f>"C"</f>
        <v>C</v>
      </c>
      <c r="L350">
        <v>6</v>
      </c>
      <c r="M350">
        <v>2021</v>
      </c>
      <c r="N350" t="str">
        <f t="shared" si="67"/>
        <v>E</v>
      </c>
      <c r="O350" t="str">
        <f>"D"</f>
        <v>D</v>
      </c>
      <c r="P350">
        <v>0</v>
      </c>
      <c r="Q350">
        <v>100</v>
      </c>
      <c r="R350">
        <v>100</v>
      </c>
      <c r="S350">
        <v>35170</v>
      </c>
      <c r="T350">
        <v>100</v>
      </c>
      <c r="U350">
        <v>35170</v>
      </c>
      <c r="V350" t="str">
        <f>"TOEIC 1A le 24/05/20024 825"</f>
        <v>TOEIC 1A le 24/05/20024 825</v>
      </c>
      <c r="W350">
        <v>31</v>
      </c>
      <c r="X350">
        <v>0</v>
      </c>
      <c r="Y350">
        <v>6000577</v>
      </c>
      <c r="Z350">
        <v>2</v>
      </c>
      <c r="AA350">
        <v>27</v>
      </c>
      <c r="AB350" t="str">
        <f>""</f>
        <v/>
      </c>
      <c r="AC350" t="str">
        <f>""</f>
        <v/>
      </c>
      <c r="AD350" t="str">
        <f>""</f>
        <v/>
      </c>
      <c r="AE350">
        <v>2021</v>
      </c>
      <c r="AF350">
        <v>2023</v>
      </c>
      <c r="AG350" t="str">
        <f>"Bruz"</f>
        <v>Bruz</v>
      </c>
      <c r="AH350" t="str">
        <f>"Bruz"</f>
        <v>Bruz</v>
      </c>
      <c r="AI350" t="str">
        <f>""</f>
        <v/>
      </c>
      <c r="AJ350" t="str">
        <f>""</f>
        <v/>
      </c>
      <c r="AK350" t="str">
        <f>""</f>
        <v/>
      </c>
      <c r="AL350">
        <v>33</v>
      </c>
      <c r="AM350" t="str">
        <f>""</f>
        <v/>
      </c>
      <c r="AN350" t="str">
        <f>""</f>
        <v/>
      </c>
      <c r="AO350" t="str">
        <f>"Lycée Descartes"</f>
        <v>Lycée Descartes</v>
      </c>
      <c r="AP350" t="str">
        <f>"COURNON D'AUVERGNE"</f>
        <v>COURNON D'AUVERGNE</v>
      </c>
      <c r="AQ350" t="str">
        <f>"Clermont-Ferrand"</f>
        <v>Clermont-Ferrand</v>
      </c>
    </row>
    <row r="351" spans="1:43" x14ac:dyDescent="0.25">
      <c r="A351" t="str">
        <f t="shared" si="69"/>
        <v>2A,2A Ing,2A ex Prem.A,T02650</v>
      </c>
      <c r="B351" t="str">
        <f>"MORAWSKI"</f>
        <v>MORAWSKI</v>
      </c>
      <c r="C351" t="str">
        <f>"Timothée"</f>
        <v>Timothée</v>
      </c>
      <c r="D351" t="str">
        <f>"023-2488"</f>
        <v>023-2488</v>
      </c>
      <c r="E351" t="str">
        <f>"071013177DJ"</f>
        <v>071013177DJ</v>
      </c>
      <c r="F351" t="str">
        <f t="shared" si="63"/>
        <v>0352480F</v>
      </c>
      <c r="G351" t="str">
        <f t="shared" si="64"/>
        <v>O</v>
      </c>
      <c r="H351">
        <v>10</v>
      </c>
      <c r="I351">
        <v>2004</v>
      </c>
      <c r="J351">
        <v>1</v>
      </c>
      <c r="K351" t="str">
        <f>""</f>
        <v/>
      </c>
      <c r="L351">
        <v>25</v>
      </c>
      <c r="M351">
        <v>2021</v>
      </c>
      <c r="N351" t="str">
        <f t="shared" si="67"/>
        <v>E</v>
      </c>
      <c r="O351" t="str">
        <f>"A"</f>
        <v>A</v>
      </c>
      <c r="P351">
        <v>0</v>
      </c>
      <c r="Q351">
        <v>100</v>
      </c>
      <c r="R351">
        <v>100</v>
      </c>
      <c r="S351">
        <v>35000</v>
      </c>
      <c r="T351">
        <v>100</v>
      </c>
      <c r="U351">
        <v>35000</v>
      </c>
      <c r="V351" t="str">
        <f>"TOEIC 1A le 24/05/20024 805"</f>
        <v>TOEIC 1A le 24/05/20024 805</v>
      </c>
      <c r="W351">
        <v>0</v>
      </c>
      <c r="X351">
        <v>0</v>
      </c>
      <c r="Y351">
        <v>6000577</v>
      </c>
      <c r="Z351">
        <v>2</v>
      </c>
      <c r="AA351">
        <v>27</v>
      </c>
      <c r="AB351" t="str">
        <f>""</f>
        <v/>
      </c>
      <c r="AC351" t="str">
        <f>""</f>
        <v/>
      </c>
      <c r="AD351" t="str">
        <f>""</f>
        <v/>
      </c>
      <c r="AE351">
        <v>2021</v>
      </c>
      <c r="AF351">
        <v>2023</v>
      </c>
      <c r="AG351" t="str">
        <f>"Rennes"</f>
        <v>Rennes</v>
      </c>
      <c r="AH351" t="str">
        <f>"Rennes"</f>
        <v>Rennes</v>
      </c>
      <c r="AI351" t="str">
        <f>""</f>
        <v/>
      </c>
      <c r="AJ351" t="str">
        <f>""</f>
        <v/>
      </c>
      <c r="AK351" t="str">
        <f>""</f>
        <v/>
      </c>
      <c r="AL351">
        <v>0</v>
      </c>
      <c r="AM351" t="str">
        <f>""</f>
        <v/>
      </c>
      <c r="AN351" t="str">
        <f>""</f>
        <v/>
      </c>
      <c r="AO351" t="str">
        <f>"Cours Secondaire d'Orsay"</f>
        <v>Cours Secondaire d'Orsay</v>
      </c>
      <c r="AP351" t="str">
        <f>"ORSAY"</f>
        <v>ORSAY</v>
      </c>
      <c r="AQ351" t="str">
        <f>"Versailles"</f>
        <v>Versailles</v>
      </c>
    </row>
    <row r="352" spans="1:43" x14ac:dyDescent="0.25">
      <c r="A352" t="str">
        <f t="shared" si="69"/>
        <v>2A,2A Ing,2A ex Prem.A,T02650</v>
      </c>
      <c r="B352" t="str">
        <f>"MOREAU"</f>
        <v>MOREAU</v>
      </c>
      <c r="C352" t="str">
        <f>"Fanny"</f>
        <v>Fanny</v>
      </c>
      <c r="D352" t="str">
        <f>"023-2360"</f>
        <v>023-2360</v>
      </c>
      <c r="E352" t="str">
        <f>"050033939BK"</f>
        <v>050033939BK</v>
      </c>
      <c r="F352" t="str">
        <f t="shared" si="63"/>
        <v>0352480F</v>
      </c>
      <c r="G352" t="str">
        <f t="shared" si="64"/>
        <v>O</v>
      </c>
      <c r="H352">
        <v>10</v>
      </c>
      <c r="I352">
        <v>2002</v>
      </c>
      <c r="J352">
        <v>2</v>
      </c>
      <c r="K352" t="str">
        <f>"S"</f>
        <v>S</v>
      </c>
      <c r="L352">
        <v>4</v>
      </c>
      <c r="M352">
        <v>2020</v>
      </c>
      <c r="N352" t="str">
        <f t="shared" si="67"/>
        <v>E</v>
      </c>
      <c r="O352" t="str">
        <f>"N"</f>
        <v>N</v>
      </c>
      <c r="P352">
        <v>0</v>
      </c>
      <c r="Q352">
        <v>100</v>
      </c>
      <c r="R352">
        <v>100</v>
      </c>
      <c r="S352">
        <v>35170</v>
      </c>
      <c r="T352">
        <v>100</v>
      </c>
      <c r="U352">
        <v>35170</v>
      </c>
      <c r="V352" t="str">
        <f>"Linguaskill avant d'arriver à l'ENSAI : 163 (B2)"</f>
        <v>Linguaskill avant d'arriver à l'ENSAI : 163 (B2)</v>
      </c>
      <c r="W352">
        <v>34</v>
      </c>
      <c r="X352">
        <v>0</v>
      </c>
      <c r="Y352">
        <v>6000577</v>
      </c>
      <c r="Z352">
        <v>2</v>
      </c>
      <c r="AA352">
        <v>27</v>
      </c>
      <c r="AB352" t="str">
        <f>""</f>
        <v/>
      </c>
      <c r="AC352" t="str">
        <f>""</f>
        <v/>
      </c>
      <c r="AD352" t="str">
        <f>""</f>
        <v/>
      </c>
      <c r="AE352">
        <v>2020</v>
      </c>
      <c r="AF352">
        <v>2023</v>
      </c>
      <c r="AG352" t="str">
        <f>"Bruz"</f>
        <v>Bruz</v>
      </c>
      <c r="AH352" t="str">
        <f>"Bruz"</f>
        <v>Bruz</v>
      </c>
      <c r="AI352" t="str">
        <f>""</f>
        <v/>
      </c>
      <c r="AJ352" t="str">
        <f>""</f>
        <v/>
      </c>
      <c r="AK352" t="str">
        <f>""</f>
        <v/>
      </c>
      <c r="AL352">
        <v>38</v>
      </c>
      <c r="AM352" t="str">
        <f>""</f>
        <v/>
      </c>
      <c r="AN352" t="str">
        <f>""</f>
        <v/>
      </c>
      <c r="AO352" t="str">
        <f>"Victor Louis"</f>
        <v>Victor Louis</v>
      </c>
      <c r="AP352" t="str">
        <f>"TALENCE"</f>
        <v>TALENCE</v>
      </c>
      <c r="AQ352" t="str">
        <f>"Bordeaux"</f>
        <v>Bordeaux</v>
      </c>
    </row>
    <row r="353" spans="1:43" x14ac:dyDescent="0.25">
      <c r="A353" t="str">
        <f t="shared" si="69"/>
        <v>2A,2A Ing,2A ex Prem.A,T02650</v>
      </c>
      <c r="B353" t="str">
        <f>"OSEMONT"</f>
        <v>OSEMONT</v>
      </c>
      <c r="C353" t="str">
        <f>"Alexandre"</f>
        <v>Alexandre</v>
      </c>
      <c r="D353" t="str">
        <f>"023-2461"</f>
        <v>023-2461</v>
      </c>
      <c r="E353" t="str">
        <f>"071365888BK"</f>
        <v>071365888BK</v>
      </c>
      <c r="F353" t="str">
        <f t="shared" si="63"/>
        <v>0352480F</v>
      </c>
      <c r="G353" t="str">
        <f t="shared" si="64"/>
        <v>O</v>
      </c>
      <c r="H353">
        <v>10</v>
      </c>
      <c r="I353">
        <v>2003</v>
      </c>
      <c r="J353">
        <v>1</v>
      </c>
      <c r="K353" t="str">
        <f>"S"</f>
        <v>S</v>
      </c>
      <c r="L353">
        <v>12</v>
      </c>
      <c r="M353">
        <v>2021</v>
      </c>
      <c r="N353" t="str">
        <f t="shared" si="67"/>
        <v>E</v>
      </c>
      <c r="O353" t="str">
        <f>"A"</f>
        <v>A</v>
      </c>
      <c r="P353">
        <v>0</v>
      </c>
      <c r="Q353">
        <v>100</v>
      </c>
      <c r="R353">
        <v>100</v>
      </c>
      <c r="S353">
        <v>35170</v>
      </c>
      <c r="T353">
        <v>100</v>
      </c>
      <c r="U353">
        <v>35170</v>
      </c>
      <c r="V353" t="str">
        <f>"TOEIC 1A le 24/05/20024 745"</f>
        <v>TOEIC 1A le 24/05/20024 745</v>
      </c>
      <c r="W353">
        <v>34</v>
      </c>
      <c r="X353">
        <v>0</v>
      </c>
      <c r="Y353">
        <v>6000577</v>
      </c>
      <c r="Z353">
        <v>2</v>
      </c>
      <c r="AA353">
        <v>27</v>
      </c>
      <c r="AB353" t="str">
        <f>""</f>
        <v/>
      </c>
      <c r="AC353" t="str">
        <f>""</f>
        <v/>
      </c>
      <c r="AD353" t="str">
        <f>""</f>
        <v/>
      </c>
      <c r="AE353">
        <v>2021</v>
      </c>
      <c r="AF353">
        <v>2023</v>
      </c>
      <c r="AG353" t="str">
        <f>""</f>
        <v/>
      </c>
      <c r="AH353" t="str">
        <f>""</f>
        <v/>
      </c>
      <c r="AI353" t="str">
        <f>""</f>
        <v/>
      </c>
      <c r="AJ353" t="str">
        <f>""</f>
        <v/>
      </c>
      <c r="AK353" t="str">
        <f>""</f>
        <v/>
      </c>
      <c r="AL353">
        <v>34</v>
      </c>
      <c r="AM353" t="str">
        <f>""</f>
        <v/>
      </c>
      <c r="AN353" t="str">
        <f>""</f>
        <v/>
      </c>
      <c r="AO353" t="str">
        <f>"Lycée Raymond Poincaré"</f>
        <v>Lycée Raymond Poincaré</v>
      </c>
      <c r="AP353" t="str">
        <f>"BAR-LE-DUC"</f>
        <v>BAR-LE-DUC</v>
      </c>
      <c r="AQ353" t="str">
        <f>"Nancy-Metz"</f>
        <v>Nancy-Metz</v>
      </c>
    </row>
    <row r="354" spans="1:43" x14ac:dyDescent="0.25">
      <c r="A354" t="str">
        <f t="shared" si="69"/>
        <v>2A,2A Ing,2A ex Prem.A,T02650</v>
      </c>
      <c r="B354" t="str">
        <f>"PASSARD"</f>
        <v>PASSARD</v>
      </c>
      <c r="C354" t="str">
        <f>"Margot"</f>
        <v>Margot</v>
      </c>
      <c r="D354" t="str">
        <f>"023-2362"</f>
        <v>023-2362</v>
      </c>
      <c r="E354" t="str">
        <f>"080573426BC"</f>
        <v>080573426BC</v>
      </c>
      <c r="F354" t="str">
        <f t="shared" si="63"/>
        <v>0352480F</v>
      </c>
      <c r="G354" t="str">
        <f t="shared" si="64"/>
        <v>O</v>
      </c>
      <c r="H354">
        <v>10</v>
      </c>
      <c r="I354">
        <v>2002</v>
      </c>
      <c r="J354">
        <v>2</v>
      </c>
      <c r="K354" t="str">
        <f>"S"</f>
        <v>S</v>
      </c>
      <c r="L354">
        <v>17</v>
      </c>
      <c r="M354">
        <v>2020</v>
      </c>
      <c r="N354" t="str">
        <f t="shared" si="67"/>
        <v>E</v>
      </c>
      <c r="O354" t="str">
        <f>"N"</f>
        <v>N</v>
      </c>
      <c r="P354">
        <v>0</v>
      </c>
      <c r="Q354">
        <v>100</v>
      </c>
      <c r="R354">
        <v>100</v>
      </c>
      <c r="S354">
        <v>35170</v>
      </c>
      <c r="T354">
        <v>100</v>
      </c>
      <c r="U354">
        <v>35170</v>
      </c>
      <c r="V354" t="str">
        <f>"TOEIC le 02/2022 (avant ENSAI) : 890/990"</f>
        <v>TOEIC le 02/2022 (avant ENSAI) : 890/990</v>
      </c>
      <c r="W354">
        <v>33</v>
      </c>
      <c r="X354">
        <v>0</v>
      </c>
      <c r="Y354">
        <v>6000577</v>
      </c>
      <c r="Z354">
        <v>2</v>
      </c>
      <c r="AA354">
        <v>27</v>
      </c>
      <c r="AB354" t="str">
        <f>""</f>
        <v/>
      </c>
      <c r="AC354" t="str">
        <f>""</f>
        <v/>
      </c>
      <c r="AD354" t="str">
        <f>""</f>
        <v/>
      </c>
      <c r="AE354">
        <v>2020</v>
      </c>
      <c r="AF354">
        <v>2023</v>
      </c>
      <c r="AG354" t="str">
        <f t="shared" ref="AG354:AH356" si="70">"Bruz"</f>
        <v>Bruz</v>
      </c>
      <c r="AH354" t="str">
        <f t="shared" si="70"/>
        <v>Bruz</v>
      </c>
      <c r="AI354" t="str">
        <f>""</f>
        <v/>
      </c>
      <c r="AJ354" t="str">
        <f>""</f>
        <v/>
      </c>
      <c r="AK354" t="str">
        <f>""</f>
        <v/>
      </c>
      <c r="AL354">
        <v>42</v>
      </c>
      <c r="AM354" t="str">
        <f>""</f>
        <v/>
      </c>
      <c r="AN354" t="str">
        <f>""</f>
        <v/>
      </c>
      <c r="AO354" t="str">
        <f>"Lavoisier"</f>
        <v>Lavoisier</v>
      </c>
      <c r="AP354" t="str">
        <f>"MAYENNE"</f>
        <v>MAYENNE</v>
      </c>
      <c r="AQ354" t="str">
        <f>"Nantes"</f>
        <v>Nantes</v>
      </c>
    </row>
    <row r="355" spans="1:43" x14ac:dyDescent="0.25">
      <c r="A355" t="str">
        <f t="shared" si="69"/>
        <v>2A,2A Ing,2A ex Prem.A,T02650</v>
      </c>
      <c r="B355" t="str">
        <f>"PELLAT"</f>
        <v>PELLAT</v>
      </c>
      <c r="C355" t="str">
        <f>"Camille"</f>
        <v>Camille</v>
      </c>
      <c r="D355" t="str">
        <f>"023-2437"</f>
        <v>023-2437</v>
      </c>
      <c r="E355" t="str">
        <f>"070587891HG"</f>
        <v>070587891HG</v>
      </c>
      <c r="F355" t="str">
        <f t="shared" si="63"/>
        <v>0352480F</v>
      </c>
      <c r="G355" t="str">
        <f t="shared" si="64"/>
        <v>O</v>
      </c>
      <c r="H355">
        <v>10</v>
      </c>
      <c r="I355">
        <v>2003</v>
      </c>
      <c r="J355">
        <v>2</v>
      </c>
      <c r="K355" t="str">
        <f>"C"</f>
        <v>C</v>
      </c>
      <c r="L355">
        <v>17</v>
      </c>
      <c r="M355">
        <v>2021</v>
      </c>
      <c r="N355" t="str">
        <f t="shared" si="67"/>
        <v>E</v>
      </c>
      <c r="O355" t="str">
        <f>"D"</f>
        <v>D</v>
      </c>
      <c r="P355">
        <v>0</v>
      </c>
      <c r="Q355">
        <v>100</v>
      </c>
      <c r="R355">
        <v>100</v>
      </c>
      <c r="S355">
        <v>35170</v>
      </c>
      <c r="T355">
        <v>100</v>
      </c>
      <c r="U355">
        <v>35170</v>
      </c>
      <c r="V355" t="str">
        <f>"TOEIC 1A le 24/05/20024 950"</f>
        <v>TOEIC 1A le 24/05/20024 950</v>
      </c>
      <c r="W355">
        <v>38</v>
      </c>
      <c r="X355">
        <v>0</v>
      </c>
      <c r="Y355">
        <v>6000577</v>
      </c>
      <c r="Z355">
        <v>2</v>
      </c>
      <c r="AA355">
        <v>27</v>
      </c>
      <c r="AB355" t="str">
        <f>""</f>
        <v/>
      </c>
      <c r="AC355" t="str">
        <f>""</f>
        <v/>
      </c>
      <c r="AD355" t="str">
        <f>""</f>
        <v/>
      </c>
      <c r="AE355">
        <v>2021</v>
      </c>
      <c r="AF355">
        <v>2023</v>
      </c>
      <c r="AG355" t="str">
        <f t="shared" si="70"/>
        <v>Bruz</v>
      </c>
      <c r="AH355" t="str">
        <f t="shared" si="70"/>
        <v>Bruz</v>
      </c>
      <c r="AI355" t="str">
        <f>""</f>
        <v/>
      </c>
      <c r="AJ355" t="str">
        <f>""</f>
        <v/>
      </c>
      <c r="AK355" t="str">
        <f>""</f>
        <v/>
      </c>
      <c r="AL355">
        <v>34</v>
      </c>
      <c r="AM355" t="str">
        <f>""</f>
        <v/>
      </c>
      <c r="AN355" t="str">
        <f>""</f>
        <v/>
      </c>
      <c r="AO355" t="str">
        <f>"Honoré d'Estienne d'Orves"</f>
        <v>Honoré d'Estienne d'Orves</v>
      </c>
      <c r="AP355" t="str">
        <f>"CARQUEFOU"</f>
        <v>CARQUEFOU</v>
      </c>
      <c r="AQ355" t="str">
        <f>"Nantes"</f>
        <v>Nantes</v>
      </c>
    </row>
    <row r="356" spans="1:43" x14ac:dyDescent="0.25">
      <c r="A356" t="str">
        <f t="shared" si="69"/>
        <v>2A,2A Ing,2A ex Prem.A,T02650</v>
      </c>
      <c r="B356" t="str">
        <f>"RAJAONA"</f>
        <v>RAJAONA</v>
      </c>
      <c r="C356" t="str">
        <f>"Fanilosoa"</f>
        <v>Fanilosoa</v>
      </c>
      <c r="D356" t="str">
        <f>"023-2476"</f>
        <v>023-2476</v>
      </c>
      <c r="E356" t="str">
        <f>"060351096HD"</f>
        <v>060351096HD</v>
      </c>
      <c r="F356" t="str">
        <f t="shared" si="63"/>
        <v>0352480F</v>
      </c>
      <c r="G356" t="str">
        <f t="shared" si="64"/>
        <v>O</v>
      </c>
      <c r="H356">
        <v>10</v>
      </c>
      <c r="I356">
        <v>2003</v>
      </c>
      <c r="J356">
        <v>2</v>
      </c>
      <c r="K356" t="str">
        <f>"S"</f>
        <v>S</v>
      </c>
      <c r="L356">
        <v>25</v>
      </c>
      <c r="M356">
        <v>2021</v>
      </c>
      <c r="N356" t="str">
        <f t="shared" si="67"/>
        <v>E</v>
      </c>
      <c r="O356" t="str">
        <f>"A"</f>
        <v>A</v>
      </c>
      <c r="P356">
        <v>0</v>
      </c>
      <c r="Q356">
        <v>100</v>
      </c>
      <c r="R356">
        <v>100</v>
      </c>
      <c r="S356">
        <v>35170</v>
      </c>
      <c r="T356">
        <v>100</v>
      </c>
      <c r="U356">
        <v>35170</v>
      </c>
      <c r="V356" t="str">
        <f>"Cambridge Assessment avant ENSAI : niveau C1  TOEIC 1A le 24/05/20024 950"</f>
        <v>Cambridge Assessment avant ENSAI : niveau C1  TOEIC 1A le 24/05/20024 950</v>
      </c>
      <c r="W356">
        <v>37</v>
      </c>
      <c r="X356">
        <v>0</v>
      </c>
      <c r="Y356">
        <v>6000577</v>
      </c>
      <c r="Z356">
        <v>2</v>
      </c>
      <c r="AA356">
        <v>27</v>
      </c>
      <c r="AB356" t="str">
        <f>""</f>
        <v/>
      </c>
      <c r="AC356" t="str">
        <f>""</f>
        <v/>
      </c>
      <c r="AD356" t="str">
        <f>""</f>
        <v/>
      </c>
      <c r="AE356">
        <v>2021</v>
      </c>
      <c r="AF356">
        <v>2023</v>
      </c>
      <c r="AG356" t="str">
        <f t="shared" si="70"/>
        <v>Bruz</v>
      </c>
      <c r="AH356" t="str">
        <f t="shared" si="70"/>
        <v>Bruz</v>
      </c>
      <c r="AI356" t="str">
        <f>""</f>
        <v/>
      </c>
      <c r="AJ356" t="str">
        <f>""</f>
        <v/>
      </c>
      <c r="AK356" t="str">
        <f>""</f>
        <v/>
      </c>
      <c r="AL356">
        <v>54</v>
      </c>
      <c r="AM356" t="str">
        <f>""</f>
        <v/>
      </c>
      <c r="AN356" t="str">
        <f>""</f>
        <v/>
      </c>
      <c r="AO356" t="str">
        <f>"Lycée Jean-Pierre Vernant"</f>
        <v>Lycée Jean-Pierre Vernant</v>
      </c>
      <c r="AP356" t="str">
        <f>"SÈVRES"</f>
        <v>SÈVRES</v>
      </c>
      <c r="AQ356" t="str">
        <f>"Versailles"</f>
        <v>Versailles</v>
      </c>
    </row>
    <row r="357" spans="1:43" x14ac:dyDescent="0.25">
      <c r="A357" t="str">
        <f t="shared" si="69"/>
        <v>2A,2A Ing,2A ex Prem.A,T02650</v>
      </c>
      <c r="B357" t="str">
        <f>"RIVIERE"</f>
        <v>RIVIERE</v>
      </c>
      <c r="C357" t="str">
        <f>"Luna"</f>
        <v>Luna</v>
      </c>
      <c r="D357" t="str">
        <f>"023-2550"</f>
        <v>023-2550</v>
      </c>
      <c r="E357" t="str">
        <f>"071320891AJ"</f>
        <v>071320891AJ</v>
      </c>
      <c r="F357" t="str">
        <f t="shared" si="63"/>
        <v>0352480F</v>
      </c>
      <c r="G357" t="str">
        <f t="shared" si="64"/>
        <v>O</v>
      </c>
      <c r="H357">
        <v>10</v>
      </c>
      <c r="I357">
        <v>2003</v>
      </c>
      <c r="J357">
        <v>2</v>
      </c>
      <c r="K357" t="str">
        <f>"S"</f>
        <v>S</v>
      </c>
      <c r="L357">
        <v>24</v>
      </c>
      <c r="M357">
        <v>2021</v>
      </c>
      <c r="N357" t="str">
        <f t="shared" si="67"/>
        <v>E</v>
      </c>
      <c r="O357" t="str">
        <f>"D"</f>
        <v>D</v>
      </c>
      <c r="P357">
        <v>0</v>
      </c>
      <c r="Q357">
        <v>100</v>
      </c>
      <c r="R357">
        <v>100</v>
      </c>
      <c r="S357">
        <v>35170</v>
      </c>
      <c r="T357">
        <v>100</v>
      </c>
      <c r="U357">
        <v>35170</v>
      </c>
      <c r="V357" t="str">
        <f>"TOEIC 1A le 24/05/20024 820"</f>
        <v>TOEIC 1A le 24/05/20024 820</v>
      </c>
      <c r="W357">
        <v>47</v>
      </c>
      <c r="X357">
        <v>0</v>
      </c>
      <c r="Y357">
        <v>6000577</v>
      </c>
      <c r="Z357">
        <v>2</v>
      </c>
      <c r="AA357">
        <v>27</v>
      </c>
      <c r="AB357" t="str">
        <f>""</f>
        <v/>
      </c>
      <c r="AC357" t="str">
        <f>""</f>
        <v/>
      </c>
      <c r="AD357" t="str">
        <f>""</f>
        <v/>
      </c>
      <c r="AE357">
        <v>2021</v>
      </c>
      <c r="AF357">
        <v>2023</v>
      </c>
      <c r="AG357" t="str">
        <f>"BRUZ"</f>
        <v>BRUZ</v>
      </c>
      <c r="AH357" t="str">
        <f>"BRUZ"</f>
        <v>BRUZ</v>
      </c>
      <c r="AI357" t="str">
        <f>""</f>
        <v/>
      </c>
      <c r="AJ357" t="str">
        <f>""</f>
        <v/>
      </c>
      <c r="AK357" t="str">
        <f>""</f>
        <v/>
      </c>
      <c r="AL357">
        <v>56</v>
      </c>
      <c r="AM357" t="str">
        <f>""</f>
        <v/>
      </c>
      <c r="AN357" t="str">
        <f>""</f>
        <v/>
      </c>
      <c r="AO357" t="str">
        <f>"Eugène Delacroix"</f>
        <v>Eugène Delacroix</v>
      </c>
      <c r="AP357" t="str">
        <f>"MAISONS-ALFORT"</f>
        <v>MAISONS-ALFORT</v>
      </c>
      <c r="AQ357" t="str">
        <f>"Créteil"</f>
        <v>Créteil</v>
      </c>
    </row>
    <row r="358" spans="1:43" x14ac:dyDescent="0.25">
      <c r="A358" t="str">
        <f t="shared" si="69"/>
        <v>2A,2A Ing,2A ex Prem.A,T02650</v>
      </c>
      <c r="B358" t="str">
        <f>"ROUGY"</f>
        <v>ROUGY</v>
      </c>
      <c r="C358" t="str">
        <f>"Théo"</f>
        <v>Théo</v>
      </c>
      <c r="D358" t="str">
        <f>"023-2548"</f>
        <v>023-2548</v>
      </c>
      <c r="E358" t="str">
        <f>"081420102EK"</f>
        <v>081420102EK</v>
      </c>
      <c r="F358" t="str">
        <f t="shared" si="63"/>
        <v>0352480F</v>
      </c>
      <c r="G358" t="str">
        <f t="shared" si="64"/>
        <v>O</v>
      </c>
      <c r="H358">
        <v>10</v>
      </c>
      <c r="I358">
        <v>2003</v>
      </c>
      <c r="J358">
        <v>1</v>
      </c>
      <c r="K358" t="str">
        <f>"S"</f>
        <v>S</v>
      </c>
      <c r="L358">
        <v>3</v>
      </c>
      <c r="M358">
        <v>2021</v>
      </c>
      <c r="N358" t="str">
        <f t="shared" si="67"/>
        <v>E</v>
      </c>
      <c r="O358" t="str">
        <f>"D"</f>
        <v>D</v>
      </c>
      <c r="P358">
        <v>0</v>
      </c>
      <c r="Q358">
        <v>100</v>
      </c>
      <c r="R358">
        <v>100</v>
      </c>
      <c r="S358">
        <v>35170</v>
      </c>
      <c r="T358">
        <v>100</v>
      </c>
      <c r="U358">
        <v>35170</v>
      </c>
      <c r="V358" t="str">
        <f>""</f>
        <v/>
      </c>
      <c r="W358">
        <v>47</v>
      </c>
      <c r="X358">
        <v>0</v>
      </c>
      <c r="Y358">
        <v>6000577</v>
      </c>
      <c r="Z358">
        <v>2</v>
      </c>
      <c r="AA358">
        <v>27</v>
      </c>
      <c r="AB358" t="str">
        <f>""</f>
        <v/>
      </c>
      <c r="AC358" t="str">
        <f>""</f>
        <v/>
      </c>
      <c r="AD358" t="str">
        <f>""</f>
        <v/>
      </c>
      <c r="AE358">
        <v>2021</v>
      </c>
      <c r="AF358">
        <v>2023</v>
      </c>
      <c r="AG358" t="str">
        <f>"Bruz"</f>
        <v>Bruz</v>
      </c>
      <c r="AH358" t="str">
        <f>"Bruz"</f>
        <v>Bruz</v>
      </c>
      <c r="AI358" t="str">
        <f>""</f>
        <v/>
      </c>
      <c r="AJ358" t="str">
        <f>""</f>
        <v/>
      </c>
      <c r="AK358" t="str">
        <f>""</f>
        <v/>
      </c>
      <c r="AL358">
        <v>33</v>
      </c>
      <c r="AM358" t="str">
        <f>""</f>
        <v/>
      </c>
      <c r="AN358" t="str">
        <f>""</f>
        <v/>
      </c>
      <c r="AO358" t="str">
        <f>"Lycée Georges Cuvier"</f>
        <v>Lycée Georges Cuvier</v>
      </c>
      <c r="AP358" t="str">
        <f>"MONTBÉLIARD"</f>
        <v>MONTBÉLIARD</v>
      </c>
      <c r="AQ358" t="str">
        <f>"Besançon"</f>
        <v>Besançon</v>
      </c>
    </row>
    <row r="359" spans="1:43" x14ac:dyDescent="0.25">
      <c r="A359" t="str">
        <f t="shared" si="69"/>
        <v>2A,2A Ing,2A ex Prem.A,T02650</v>
      </c>
      <c r="B359" t="str">
        <f>"SONNET"</f>
        <v>SONNET</v>
      </c>
      <c r="C359" t="str">
        <f>"Charles"</f>
        <v>Charles</v>
      </c>
      <c r="D359" t="str">
        <f>"023-2473"</f>
        <v>023-2473</v>
      </c>
      <c r="E359" t="str">
        <f>"090988583DG"</f>
        <v>090988583DG</v>
      </c>
      <c r="F359" t="str">
        <f t="shared" si="63"/>
        <v>0352480F</v>
      </c>
      <c r="G359" t="str">
        <f t="shared" si="64"/>
        <v>O</v>
      </c>
      <c r="H359">
        <v>10</v>
      </c>
      <c r="I359">
        <v>2002</v>
      </c>
      <c r="J359">
        <v>1</v>
      </c>
      <c r="K359" t="str">
        <f>"S"</f>
        <v>S</v>
      </c>
      <c r="L359">
        <v>23</v>
      </c>
      <c r="M359">
        <v>2020</v>
      </c>
      <c r="N359" t="str">
        <f t="shared" si="67"/>
        <v>E</v>
      </c>
      <c r="O359" t="str">
        <f>"D"</f>
        <v>D</v>
      </c>
      <c r="P359">
        <v>0</v>
      </c>
      <c r="Q359">
        <v>100</v>
      </c>
      <c r="R359">
        <v>100</v>
      </c>
      <c r="S359" t="str">
        <f>""</f>
        <v/>
      </c>
      <c r="T359">
        <v>100</v>
      </c>
      <c r="U359" t="str">
        <f>""</f>
        <v/>
      </c>
      <c r="V359" t="str">
        <f>"TOEIC 1A le 24/05/20024 975"</f>
        <v>TOEIC 1A le 24/05/20024 975</v>
      </c>
      <c r="W359">
        <v>37</v>
      </c>
      <c r="X359">
        <v>0</v>
      </c>
      <c r="Y359">
        <v>6000577</v>
      </c>
      <c r="Z359">
        <v>2</v>
      </c>
      <c r="AA359">
        <v>27</v>
      </c>
      <c r="AB359" t="str">
        <f>""</f>
        <v/>
      </c>
      <c r="AC359" t="str">
        <f>""</f>
        <v/>
      </c>
      <c r="AD359" t="str">
        <f>""</f>
        <v/>
      </c>
      <c r="AE359">
        <v>2020</v>
      </c>
      <c r="AF359">
        <v>2023</v>
      </c>
      <c r="AG359" t="str">
        <f>""</f>
        <v/>
      </c>
      <c r="AH359" t="str">
        <f>""</f>
        <v/>
      </c>
      <c r="AI359" t="str">
        <f>""</f>
        <v/>
      </c>
      <c r="AJ359" t="str">
        <f>""</f>
        <v/>
      </c>
      <c r="AK359" t="str">
        <f>""</f>
        <v/>
      </c>
      <c r="AL359">
        <v>37</v>
      </c>
      <c r="AM359" t="str">
        <f>""</f>
        <v/>
      </c>
      <c r="AN359" t="str">
        <f>""</f>
        <v/>
      </c>
      <c r="AO359" t="str">
        <f>"Carnot"</f>
        <v>Carnot</v>
      </c>
      <c r="AP359" t="str">
        <f>"CANNES"</f>
        <v>CANNES</v>
      </c>
      <c r="AQ359" t="str">
        <f>"Nice"</f>
        <v>Nice</v>
      </c>
    </row>
    <row r="360" spans="1:43" x14ac:dyDescent="0.25">
      <c r="A360" t="str">
        <f t="shared" si="69"/>
        <v>2A,2A Ing,2A ex Prem.A,T02650</v>
      </c>
      <c r="B360" t="str">
        <f>"TEKOU"</f>
        <v>TEKOU</v>
      </c>
      <c r="C360" t="str">
        <f>"Pako"</f>
        <v>Pako</v>
      </c>
      <c r="D360" t="str">
        <f>"023-2453"</f>
        <v>023-2453</v>
      </c>
      <c r="E360" t="str">
        <f>"203132136CG"</f>
        <v>203132136CG</v>
      </c>
      <c r="F360" t="str">
        <f t="shared" si="63"/>
        <v>0352480F</v>
      </c>
      <c r="G360" t="str">
        <f t="shared" si="64"/>
        <v>O</v>
      </c>
      <c r="H360">
        <v>10</v>
      </c>
      <c r="I360">
        <v>2003</v>
      </c>
      <c r="J360">
        <v>1</v>
      </c>
      <c r="K360" t="str">
        <f>"C"</f>
        <v>C</v>
      </c>
      <c r="L360">
        <v>0</v>
      </c>
      <c r="M360">
        <v>2020</v>
      </c>
      <c r="N360" t="str">
        <f t="shared" si="67"/>
        <v>E</v>
      </c>
      <c r="O360" t="str">
        <f>"D"</f>
        <v>D</v>
      </c>
      <c r="P360">
        <v>0</v>
      </c>
      <c r="Q360">
        <v>345</v>
      </c>
      <c r="R360">
        <v>100</v>
      </c>
      <c r="S360">
        <v>35200</v>
      </c>
      <c r="T360">
        <v>100</v>
      </c>
      <c r="U360">
        <v>35200</v>
      </c>
      <c r="V360" t="str">
        <f>""</f>
        <v/>
      </c>
      <c r="W360">
        <v>99</v>
      </c>
      <c r="X360">
        <v>0</v>
      </c>
      <c r="Y360">
        <v>6000577</v>
      </c>
      <c r="Z360">
        <v>2</v>
      </c>
      <c r="AA360">
        <v>27</v>
      </c>
      <c r="AB360" t="str">
        <f>""</f>
        <v/>
      </c>
      <c r="AC360" t="str">
        <f>""</f>
        <v/>
      </c>
      <c r="AD360" t="str">
        <f>""</f>
        <v/>
      </c>
      <c r="AE360">
        <v>2020</v>
      </c>
      <c r="AF360">
        <v>2023</v>
      </c>
      <c r="AG360" t="str">
        <f>"Rennes"</f>
        <v>Rennes</v>
      </c>
      <c r="AH360" t="str">
        <f>"Rennes"</f>
        <v>Rennes</v>
      </c>
      <c r="AI360" t="str">
        <f>""</f>
        <v/>
      </c>
      <c r="AJ360" t="str">
        <f>""</f>
        <v/>
      </c>
      <c r="AK360" t="str">
        <f>""</f>
        <v/>
      </c>
      <c r="AL360">
        <v>0</v>
      </c>
      <c r="AM360" t="str">
        <f>""</f>
        <v/>
      </c>
      <c r="AN360" t="str">
        <f>""</f>
        <v/>
      </c>
      <c r="AO360" t="str">
        <f>"Groupe Scolaire du Collège Saint Joseph"</f>
        <v>Groupe Scolaire du Collège Saint Joseph</v>
      </c>
      <c r="AP360" t="str">
        <f>"LOMÉ"</f>
        <v>LOMÉ</v>
      </c>
      <c r="AQ360" t="str">
        <f>"Etranger"</f>
        <v>Etranger</v>
      </c>
    </row>
    <row r="361" spans="1:43" x14ac:dyDescent="0.25">
      <c r="A361" t="str">
        <f t="shared" si="69"/>
        <v>2A,2A Ing,2A ex Prem.A,T02650</v>
      </c>
      <c r="B361" t="str">
        <f>"VAUGHAN"</f>
        <v>VAUGHAN</v>
      </c>
      <c r="C361" t="str">
        <f>"Annabelle"</f>
        <v>Annabelle</v>
      </c>
      <c r="D361" t="str">
        <f>"023-2542"</f>
        <v>023-2542</v>
      </c>
      <c r="E361" t="str">
        <f>"133160094FB"</f>
        <v>133160094FB</v>
      </c>
      <c r="F361" t="str">
        <f t="shared" si="63"/>
        <v>0352480F</v>
      </c>
      <c r="G361" t="str">
        <f t="shared" si="64"/>
        <v>O</v>
      </c>
      <c r="H361">
        <v>10</v>
      </c>
      <c r="I361">
        <v>2002</v>
      </c>
      <c r="J361">
        <v>2</v>
      </c>
      <c r="K361" t="str">
        <f>"S"</f>
        <v>S</v>
      </c>
      <c r="L361">
        <v>4</v>
      </c>
      <c r="M361">
        <v>2020</v>
      </c>
      <c r="N361" t="str">
        <f t="shared" si="67"/>
        <v>E</v>
      </c>
      <c r="O361" t="str">
        <f>"A"</f>
        <v>A</v>
      </c>
      <c r="P361">
        <v>0</v>
      </c>
      <c r="Q361">
        <v>100</v>
      </c>
      <c r="R361">
        <v>100</v>
      </c>
      <c r="S361">
        <v>35000</v>
      </c>
      <c r="T361">
        <v>100</v>
      </c>
      <c r="U361">
        <v>35000</v>
      </c>
      <c r="V361" t="str">
        <f>"TOEIC 1A le 24/05/20024 975"</f>
        <v>TOEIC 1A le 24/05/20024 975</v>
      </c>
      <c r="W361">
        <v>22</v>
      </c>
      <c r="X361">
        <v>0</v>
      </c>
      <c r="Y361">
        <v>6000577</v>
      </c>
      <c r="Z361">
        <v>2</v>
      </c>
      <c r="AA361">
        <v>27</v>
      </c>
      <c r="AB361" t="str">
        <f>""</f>
        <v/>
      </c>
      <c r="AC361" t="str">
        <f>""</f>
        <v/>
      </c>
      <c r="AD361" t="str">
        <f>""</f>
        <v/>
      </c>
      <c r="AE361">
        <v>2020</v>
      </c>
      <c r="AF361">
        <v>2023</v>
      </c>
      <c r="AG361" t="str">
        <f>"Rennes"</f>
        <v>Rennes</v>
      </c>
      <c r="AH361" t="str">
        <f>"Rennes"</f>
        <v>Rennes</v>
      </c>
      <c r="AI361" t="str">
        <f>""</f>
        <v/>
      </c>
      <c r="AJ361" t="str">
        <f>""</f>
        <v/>
      </c>
      <c r="AK361" t="str">
        <f>""</f>
        <v/>
      </c>
      <c r="AL361">
        <v>34</v>
      </c>
      <c r="AM361" t="str">
        <f>""</f>
        <v/>
      </c>
      <c r="AN361" t="str">
        <f>""</f>
        <v/>
      </c>
      <c r="AO361" t="str">
        <f>"Lycée René Cassin"</f>
        <v>Lycée René Cassin</v>
      </c>
      <c r="AP361" t="str">
        <f>"BAYONNE"</f>
        <v>BAYONNE</v>
      </c>
      <c r="AQ361" t="str">
        <f>"Bordeaux"</f>
        <v>Bordeaux</v>
      </c>
    </row>
    <row r="362" spans="1:43" x14ac:dyDescent="0.25">
      <c r="A362" t="str">
        <f t="shared" si="69"/>
        <v>2A,2A Ing,2A ex Prem.A,T02650</v>
      </c>
      <c r="B362" t="str">
        <f>"VILLARD"</f>
        <v>VILLARD</v>
      </c>
      <c r="C362" t="str">
        <f>"Antoine"</f>
        <v>Antoine</v>
      </c>
      <c r="D362" t="str">
        <f>"023-2454"</f>
        <v>023-2454</v>
      </c>
      <c r="E362" t="str">
        <f>"072005722KE"</f>
        <v>072005722KE</v>
      </c>
      <c r="F362" t="str">
        <f t="shared" si="63"/>
        <v>0352480F</v>
      </c>
      <c r="G362" t="str">
        <f t="shared" si="64"/>
        <v>O</v>
      </c>
      <c r="H362">
        <v>10</v>
      </c>
      <c r="I362">
        <v>2003</v>
      </c>
      <c r="J362">
        <v>1</v>
      </c>
      <c r="K362" t="str">
        <f>"S"</f>
        <v>S</v>
      </c>
      <c r="L362">
        <v>8</v>
      </c>
      <c r="M362">
        <v>2021</v>
      </c>
      <c r="N362" t="str">
        <f t="shared" si="67"/>
        <v>E</v>
      </c>
      <c r="O362" t="str">
        <f>"D"</f>
        <v>D</v>
      </c>
      <c r="P362">
        <v>0</v>
      </c>
      <c r="Q362">
        <v>100</v>
      </c>
      <c r="R362">
        <v>100</v>
      </c>
      <c r="S362">
        <v>35170</v>
      </c>
      <c r="T362">
        <v>100</v>
      </c>
      <c r="U362">
        <v>35170</v>
      </c>
      <c r="V362" t="str">
        <f>"TOEIC 1A le 24/05/20024 985"</f>
        <v>TOEIC 1A le 24/05/20024 985</v>
      </c>
      <c r="W362">
        <v>38</v>
      </c>
      <c r="X362">
        <v>0</v>
      </c>
      <c r="Y362">
        <v>6000577</v>
      </c>
      <c r="Z362">
        <v>2</v>
      </c>
      <c r="AA362">
        <v>27</v>
      </c>
      <c r="AB362" t="str">
        <f>""</f>
        <v/>
      </c>
      <c r="AC362" t="str">
        <f>""</f>
        <v/>
      </c>
      <c r="AD362" t="str">
        <f>""</f>
        <v/>
      </c>
      <c r="AE362">
        <v>2021</v>
      </c>
      <c r="AF362">
        <v>2023</v>
      </c>
      <c r="AG362" t="str">
        <f>"Bruz"</f>
        <v>Bruz</v>
      </c>
      <c r="AH362" t="str">
        <f>"Bruz"</f>
        <v>Bruz</v>
      </c>
      <c r="AI362" t="str">
        <f>""</f>
        <v/>
      </c>
      <c r="AJ362" t="str">
        <f>""</f>
        <v/>
      </c>
      <c r="AK362" t="str">
        <f>""</f>
        <v/>
      </c>
      <c r="AL362">
        <v>34</v>
      </c>
      <c r="AM362" t="str">
        <f>""</f>
        <v/>
      </c>
      <c r="AN362" t="str">
        <f>""</f>
        <v/>
      </c>
      <c r="AO362" t="str">
        <f>"Lycée Champollion"</f>
        <v>Lycée Champollion</v>
      </c>
      <c r="AP362" t="str">
        <f>"GRENOBLE"</f>
        <v>GRENOBLE</v>
      </c>
      <c r="AQ362" t="str">
        <f>"Grenoble"</f>
        <v>Grenoble</v>
      </c>
    </row>
    <row r="363" spans="1:43" x14ac:dyDescent="0.25">
      <c r="A363" t="str">
        <f t="shared" si="69"/>
        <v>2A,2A Ing,2A ex Prem.A,T02650</v>
      </c>
      <c r="B363" t="str">
        <f>"VINCENT"</f>
        <v>VINCENT</v>
      </c>
      <c r="C363" t="str">
        <f>"Armand"</f>
        <v>Armand</v>
      </c>
      <c r="D363" t="str">
        <f>"023-2492"</f>
        <v>023-2492</v>
      </c>
      <c r="E363" t="str">
        <f>"091058819CJ"</f>
        <v>091058819CJ</v>
      </c>
      <c r="F363" t="str">
        <f t="shared" si="63"/>
        <v>0352480F</v>
      </c>
      <c r="G363" t="str">
        <f t="shared" si="64"/>
        <v>O</v>
      </c>
      <c r="H363">
        <v>10</v>
      </c>
      <c r="I363">
        <v>2003</v>
      </c>
      <c r="J363">
        <v>1</v>
      </c>
      <c r="K363" t="str">
        <f>"S"</f>
        <v>S</v>
      </c>
      <c r="L363">
        <v>1</v>
      </c>
      <c r="M363">
        <v>2021</v>
      </c>
      <c r="N363" t="str">
        <f t="shared" si="67"/>
        <v>E</v>
      </c>
      <c r="O363" t="str">
        <f>"D"</f>
        <v>D</v>
      </c>
      <c r="P363">
        <v>0</v>
      </c>
      <c r="Q363">
        <v>100</v>
      </c>
      <c r="R363">
        <v>100</v>
      </c>
      <c r="S363">
        <v>34131</v>
      </c>
      <c r="T363">
        <v>100</v>
      </c>
      <c r="U363">
        <v>34131</v>
      </c>
      <c r="V363" t="str">
        <f>"TOEIC 1A le 24/05/20024 910"</f>
        <v>TOEIC 1A le 24/05/20024 910</v>
      </c>
      <c r="W363">
        <v>38</v>
      </c>
      <c r="X363">
        <v>0</v>
      </c>
      <c r="Y363">
        <v>6000577</v>
      </c>
      <c r="Z363">
        <v>2</v>
      </c>
      <c r="AA363">
        <v>27</v>
      </c>
      <c r="AB363" t="str">
        <f>""</f>
        <v/>
      </c>
      <c r="AC363" t="str">
        <f>""</f>
        <v/>
      </c>
      <c r="AD363" t="str">
        <f>""</f>
        <v/>
      </c>
      <c r="AE363">
        <v>2021</v>
      </c>
      <c r="AF363">
        <v>2023</v>
      </c>
      <c r="AG363" t="str">
        <f>"Chartres de Bretagne"</f>
        <v>Chartres de Bretagne</v>
      </c>
      <c r="AH363" t="str">
        <f>"Chartres de Bretagne"</f>
        <v>Chartres de Bretagne</v>
      </c>
      <c r="AI363" t="str">
        <f>""</f>
        <v/>
      </c>
      <c r="AJ363" t="str">
        <f>""</f>
        <v/>
      </c>
      <c r="AK363" t="str">
        <f>""</f>
        <v/>
      </c>
      <c r="AL363">
        <v>37</v>
      </c>
      <c r="AM363" t="str">
        <f>""</f>
        <v/>
      </c>
      <c r="AN363" t="str">
        <f>""</f>
        <v/>
      </c>
      <c r="AO363" t="str">
        <f>"Stanislas"</f>
        <v>Stanislas</v>
      </c>
      <c r="AP363" t="str">
        <f>"PARIS"</f>
        <v>PARIS</v>
      </c>
      <c r="AQ363" t="str">
        <f>"Paris"</f>
        <v>Paris</v>
      </c>
    </row>
    <row r="364" spans="1:43" x14ac:dyDescent="0.25">
      <c r="A364" t="str">
        <f t="shared" si="69"/>
        <v>2A,2A Ing,2A ex Prem.A,T02650</v>
      </c>
      <c r="B364" t="str">
        <f>"VINOUSE"</f>
        <v>VINOUSE</v>
      </c>
      <c r="C364" t="str">
        <f>"Louane"</f>
        <v>Louane</v>
      </c>
      <c r="D364" t="str">
        <f>"023-2387"</f>
        <v>023-2387</v>
      </c>
      <c r="E364" t="str">
        <f>"060816267BH"</f>
        <v>060816267BH</v>
      </c>
      <c r="F364" t="str">
        <f t="shared" si="63"/>
        <v>0352480F</v>
      </c>
      <c r="G364" t="str">
        <f t="shared" si="64"/>
        <v>O</v>
      </c>
      <c r="H364">
        <v>10</v>
      </c>
      <c r="I364">
        <v>2004</v>
      </c>
      <c r="J364">
        <v>2</v>
      </c>
      <c r="K364" t="str">
        <f>"C"</f>
        <v>C</v>
      </c>
      <c r="L364">
        <v>14</v>
      </c>
      <c r="M364">
        <v>2021</v>
      </c>
      <c r="N364" t="str">
        <f t="shared" si="67"/>
        <v>E</v>
      </c>
      <c r="O364" t="str">
        <f>"C"</f>
        <v>C</v>
      </c>
      <c r="P364">
        <v>0</v>
      </c>
      <c r="Q364">
        <v>100</v>
      </c>
      <c r="R364">
        <v>100</v>
      </c>
      <c r="S364">
        <v>35370</v>
      </c>
      <c r="T364">
        <v>100</v>
      </c>
      <c r="U364">
        <v>35370</v>
      </c>
      <c r="V364" t="str">
        <f>""</f>
        <v/>
      </c>
      <c r="W364">
        <v>48</v>
      </c>
      <c r="X364">
        <v>0</v>
      </c>
      <c r="Y364">
        <v>6000577</v>
      </c>
      <c r="Z364">
        <v>2</v>
      </c>
      <c r="AA364">
        <v>27</v>
      </c>
      <c r="AB364" t="str">
        <f>""</f>
        <v/>
      </c>
      <c r="AC364" t="str">
        <f>""</f>
        <v/>
      </c>
      <c r="AD364" t="str">
        <f>""</f>
        <v/>
      </c>
      <c r="AE364">
        <v>2021</v>
      </c>
      <c r="AF364">
        <v>2023</v>
      </c>
      <c r="AG364" t="str">
        <f>"Argentré-du-Plessis"</f>
        <v>Argentré-du-Plessis</v>
      </c>
      <c r="AH364" t="str">
        <f>"Argentré-du-Plessis"</f>
        <v>Argentré-du-Plessis</v>
      </c>
      <c r="AI364" t="str">
        <f>""</f>
        <v/>
      </c>
      <c r="AJ364" t="str">
        <f>""</f>
        <v/>
      </c>
      <c r="AK364" t="str">
        <f>""</f>
        <v/>
      </c>
      <c r="AL364">
        <v>38</v>
      </c>
      <c r="AM364" t="str">
        <f>""</f>
        <v/>
      </c>
      <c r="AN364" t="str">
        <f>""</f>
        <v/>
      </c>
      <c r="AO364" t="str">
        <f>"Jeanne d'Arc"</f>
        <v>Jeanne d'Arc</v>
      </c>
      <c r="AP364" t="str">
        <f>"VITRÉ"</f>
        <v>VITRÉ</v>
      </c>
      <c r="AQ364" t="str">
        <f>"Rennes"</f>
        <v>Rennes</v>
      </c>
    </row>
    <row r="365" spans="1:43" x14ac:dyDescent="0.25">
      <c r="A365" t="str">
        <f t="shared" si="69"/>
        <v>2A,2A Ing,2A ex Prem.A,T02650</v>
      </c>
      <c r="B365" t="str">
        <f>"WANG"</f>
        <v>WANG</v>
      </c>
      <c r="C365" t="str">
        <f>"Yuzhi"</f>
        <v>Yuzhi</v>
      </c>
      <c r="D365" t="str">
        <f>"023-2388"</f>
        <v>023-2388</v>
      </c>
      <c r="E365" t="str">
        <f>"203157060DB"</f>
        <v>203157060DB</v>
      </c>
      <c r="F365" t="str">
        <f t="shared" si="63"/>
        <v>0352480F</v>
      </c>
      <c r="G365" t="str">
        <f t="shared" si="64"/>
        <v>O</v>
      </c>
      <c r="H365">
        <v>10</v>
      </c>
      <c r="I365">
        <v>2002</v>
      </c>
      <c r="J365">
        <v>1</v>
      </c>
      <c r="K365">
        <v>31</v>
      </c>
      <c r="L365">
        <v>0</v>
      </c>
      <c r="M365">
        <v>2020</v>
      </c>
      <c r="N365" t="str">
        <f t="shared" si="67"/>
        <v>E</v>
      </c>
      <c r="O365" t="str">
        <f>"C"</f>
        <v>C</v>
      </c>
      <c r="P365">
        <v>0</v>
      </c>
      <c r="Q365">
        <v>216</v>
      </c>
      <c r="R365">
        <v>100</v>
      </c>
      <c r="S365">
        <v>35000</v>
      </c>
      <c r="T365">
        <v>100</v>
      </c>
      <c r="U365">
        <v>35000</v>
      </c>
      <c r="V365" t="str">
        <f>"TOEIC 1A le 24/05/20024 835"</f>
        <v>TOEIC 1A le 24/05/20024 835</v>
      </c>
      <c r="W365">
        <v>38</v>
      </c>
      <c r="X365">
        <v>0</v>
      </c>
      <c r="Y365">
        <v>6000577</v>
      </c>
      <c r="Z365">
        <v>2</v>
      </c>
      <c r="AA365">
        <v>27</v>
      </c>
      <c r="AB365" t="str">
        <f>""</f>
        <v/>
      </c>
      <c r="AC365" t="str">
        <f>""</f>
        <v/>
      </c>
      <c r="AD365" t="str">
        <f>""</f>
        <v/>
      </c>
      <c r="AE365">
        <v>2020</v>
      </c>
      <c r="AF365">
        <v>2023</v>
      </c>
      <c r="AG365" t="str">
        <f t="shared" ref="AG365:AH367" si="71">"Rennes"</f>
        <v>Rennes</v>
      </c>
      <c r="AH365" t="str">
        <f t="shared" si="71"/>
        <v>Rennes</v>
      </c>
      <c r="AI365" t="str">
        <f>""</f>
        <v/>
      </c>
      <c r="AJ365" t="str">
        <f>""</f>
        <v/>
      </c>
      <c r="AK365" t="str">
        <f>""</f>
        <v/>
      </c>
      <c r="AL365">
        <v>22</v>
      </c>
      <c r="AM365" t="str">
        <f>""</f>
        <v/>
      </c>
      <c r="AN365" t="str">
        <f>""</f>
        <v/>
      </c>
      <c r="AO365" t="str">
        <f>"Lycée 1 de Lanzhou"</f>
        <v>Lycée 1 de Lanzhou</v>
      </c>
      <c r="AP365" t="str">
        <f>"LANZHOU, CHINE"</f>
        <v>LANZHOU, CHINE</v>
      </c>
      <c r="AQ365" t="str">
        <f>"Etranger"</f>
        <v>Etranger</v>
      </c>
    </row>
    <row r="366" spans="1:43" x14ac:dyDescent="0.25">
      <c r="A366" t="str">
        <f t="shared" si="69"/>
        <v>2A,2A Ing,2A ex Prem.A,T02650</v>
      </c>
      <c r="B366" t="str">
        <f>"YVERNAULT-COLLET"</f>
        <v>YVERNAULT-COLLET</v>
      </c>
      <c r="C366" t="str">
        <f>"Clément"</f>
        <v>Clément</v>
      </c>
      <c r="D366" t="str">
        <f>"023-2464"</f>
        <v>023-2464</v>
      </c>
      <c r="E366" t="str">
        <f>"143067273GE"</f>
        <v>143067273GE</v>
      </c>
      <c r="F366" t="str">
        <f t="shared" si="63"/>
        <v>0352480F</v>
      </c>
      <c r="G366" t="str">
        <f t="shared" si="64"/>
        <v>O</v>
      </c>
      <c r="H366">
        <v>10</v>
      </c>
      <c r="I366">
        <v>2004</v>
      </c>
      <c r="J366">
        <v>1</v>
      </c>
      <c r="K366" t="str">
        <f>""</f>
        <v/>
      </c>
      <c r="L366" t="str">
        <f>""</f>
        <v/>
      </c>
      <c r="M366">
        <v>2021</v>
      </c>
      <c r="N366" t="str">
        <f t="shared" ref="N366:N378" si="72">"E"</f>
        <v>E</v>
      </c>
      <c r="O366" t="str">
        <f>"A"</f>
        <v>A</v>
      </c>
      <c r="P366">
        <v>0</v>
      </c>
      <c r="Q366">
        <v>100</v>
      </c>
      <c r="R366">
        <v>100</v>
      </c>
      <c r="S366">
        <v>35000</v>
      </c>
      <c r="T366">
        <v>100</v>
      </c>
      <c r="U366">
        <v>35000</v>
      </c>
      <c r="V366" t="str">
        <f>""</f>
        <v/>
      </c>
      <c r="W366">
        <v>99</v>
      </c>
      <c r="X366">
        <v>0</v>
      </c>
      <c r="Y366">
        <v>6000577</v>
      </c>
      <c r="Z366">
        <v>2</v>
      </c>
      <c r="AA366">
        <v>27</v>
      </c>
      <c r="AB366" t="str">
        <f>""</f>
        <v/>
      </c>
      <c r="AC366" t="str">
        <f>""</f>
        <v/>
      </c>
      <c r="AD366" t="str">
        <f>""</f>
        <v/>
      </c>
      <c r="AE366">
        <v>2021</v>
      </c>
      <c r="AF366">
        <v>2023</v>
      </c>
      <c r="AG366" t="str">
        <f t="shared" si="71"/>
        <v>Rennes</v>
      </c>
      <c r="AH366" t="str">
        <f t="shared" si="71"/>
        <v>Rennes</v>
      </c>
      <c r="AI366" t="str">
        <f>""</f>
        <v/>
      </c>
      <c r="AJ366" t="str">
        <f>""</f>
        <v/>
      </c>
      <c r="AK366" t="str">
        <f>""</f>
        <v/>
      </c>
      <c r="AL366">
        <v>38</v>
      </c>
      <c r="AM366" t="str">
        <f>""</f>
        <v/>
      </c>
      <c r="AN366" t="str">
        <f>""</f>
        <v/>
      </c>
      <c r="AO366" t="str">
        <f>""</f>
        <v/>
      </c>
      <c r="AP366" t="str">
        <f>""</f>
        <v/>
      </c>
      <c r="AQ366" t="str">
        <f>""</f>
        <v/>
      </c>
    </row>
    <row r="367" spans="1:43" x14ac:dyDescent="0.25">
      <c r="A367" t="str">
        <f>"2A,2A Ing,2A ex Prem.A,T02650,2A Menu 3 - DIGISPORT"</f>
        <v>2A,2A Ing,2A ex Prem.A,T02650,2A Menu 3 - DIGISPORT</v>
      </c>
      <c r="B367" t="str">
        <f>"FAJOUR"</f>
        <v>FAJOUR</v>
      </c>
      <c r="C367" t="str">
        <f>"Paul"</f>
        <v>Paul</v>
      </c>
      <c r="D367" t="str">
        <f>"023-2389"</f>
        <v>023-2389</v>
      </c>
      <c r="E367" t="str">
        <f>"070122231DK"</f>
        <v>070122231DK</v>
      </c>
      <c r="F367" t="str">
        <f t="shared" si="63"/>
        <v>0352480F</v>
      </c>
      <c r="G367" t="str">
        <f t="shared" si="64"/>
        <v>O</v>
      </c>
      <c r="H367">
        <v>10</v>
      </c>
      <c r="I367">
        <v>2003</v>
      </c>
      <c r="J367">
        <v>1</v>
      </c>
      <c r="K367" t="str">
        <f>""</f>
        <v/>
      </c>
      <c r="L367">
        <v>14</v>
      </c>
      <c r="M367">
        <v>2021</v>
      </c>
      <c r="N367" t="str">
        <f t="shared" si="72"/>
        <v>E</v>
      </c>
      <c r="O367" t="str">
        <f>"A"</f>
        <v>A</v>
      </c>
      <c r="P367">
        <v>0</v>
      </c>
      <c r="Q367">
        <v>100</v>
      </c>
      <c r="R367">
        <v>100</v>
      </c>
      <c r="S367">
        <v>35000</v>
      </c>
      <c r="T367">
        <v>100</v>
      </c>
      <c r="U367">
        <v>35000</v>
      </c>
      <c r="V367" t="str">
        <f>"TOEIC 1A le 24/05/20024 990"</f>
        <v>TOEIC 1A le 24/05/20024 990</v>
      </c>
      <c r="W367">
        <v>38</v>
      </c>
      <c r="X367">
        <v>0</v>
      </c>
      <c r="Y367">
        <v>6000577</v>
      </c>
      <c r="Z367">
        <v>2</v>
      </c>
      <c r="AA367">
        <v>27</v>
      </c>
      <c r="AB367" t="str">
        <f>""</f>
        <v/>
      </c>
      <c r="AC367" t="str">
        <f>""</f>
        <v/>
      </c>
      <c r="AD367" t="str">
        <f>""</f>
        <v/>
      </c>
      <c r="AE367">
        <v>2021</v>
      </c>
      <c r="AF367">
        <v>2023</v>
      </c>
      <c r="AG367" t="str">
        <f t="shared" si="71"/>
        <v>Rennes</v>
      </c>
      <c r="AH367" t="str">
        <f t="shared" si="71"/>
        <v>Rennes</v>
      </c>
      <c r="AI367" t="str">
        <f>""</f>
        <v/>
      </c>
      <c r="AJ367" t="str">
        <f>""</f>
        <v/>
      </c>
      <c r="AK367" t="str">
        <f>""</f>
        <v/>
      </c>
      <c r="AL367">
        <v>42</v>
      </c>
      <c r="AM367" t="str">
        <f>""</f>
        <v/>
      </c>
      <c r="AN367" t="str">
        <f>""</f>
        <v/>
      </c>
      <c r="AO367" t="str">
        <f>"Lycée Jean Brito"</f>
        <v>Lycée Jean Brito</v>
      </c>
      <c r="AP367" t="str">
        <f>"BAIN DE BRETAGNE"</f>
        <v>BAIN DE BRETAGNE</v>
      </c>
      <c r="AQ367" t="str">
        <f>"Rennes"</f>
        <v>Rennes</v>
      </c>
    </row>
    <row r="368" spans="1:43" x14ac:dyDescent="0.25">
      <c r="A368" t="str">
        <f>"2A,2A Ing,2A ex Prem.A,T02650,2A Menu 3 - DIGISPORT"</f>
        <v>2A,2A Ing,2A ex Prem.A,T02650,2A Menu 3 - DIGISPORT</v>
      </c>
      <c r="B368" t="str">
        <f>"GARDELLE"</f>
        <v>GARDELLE</v>
      </c>
      <c r="C368" t="str">
        <f>"Mathieu"</f>
        <v>Mathieu</v>
      </c>
      <c r="D368" t="str">
        <f>"023-2533"</f>
        <v>023-2533</v>
      </c>
      <c r="E368" t="str">
        <f>"081093036DB"</f>
        <v>081093036DB</v>
      </c>
      <c r="F368" t="str">
        <f t="shared" si="63"/>
        <v>0352480F</v>
      </c>
      <c r="G368" t="str">
        <f t="shared" si="64"/>
        <v>O</v>
      </c>
      <c r="H368">
        <v>10</v>
      </c>
      <c r="I368">
        <v>2001</v>
      </c>
      <c r="J368">
        <v>1</v>
      </c>
      <c r="K368" t="str">
        <f>"S"</f>
        <v>S</v>
      </c>
      <c r="L368">
        <v>13</v>
      </c>
      <c r="M368">
        <v>2018</v>
      </c>
      <c r="N368" t="str">
        <f t="shared" si="72"/>
        <v>E</v>
      </c>
      <c r="O368" t="str">
        <f>"C"</f>
        <v>C</v>
      </c>
      <c r="P368">
        <v>0</v>
      </c>
      <c r="Q368">
        <v>100</v>
      </c>
      <c r="R368">
        <v>100</v>
      </c>
      <c r="S368">
        <v>35170</v>
      </c>
      <c r="T368">
        <v>100</v>
      </c>
      <c r="U368">
        <v>35170</v>
      </c>
      <c r="V368" t="str">
        <f>"TOEIC 1A le 24/05/20024 935"</f>
        <v>TOEIC 1A le 24/05/20024 935</v>
      </c>
      <c r="W368">
        <v>38</v>
      </c>
      <c r="X368">
        <v>0</v>
      </c>
      <c r="Y368">
        <v>6000577</v>
      </c>
      <c r="Z368">
        <v>2</v>
      </c>
      <c r="AA368">
        <v>27</v>
      </c>
      <c r="AB368" t="str">
        <f>""</f>
        <v/>
      </c>
      <c r="AC368" t="str">
        <f>""</f>
        <v/>
      </c>
      <c r="AD368" t="str">
        <f>""</f>
        <v/>
      </c>
      <c r="AE368">
        <v>2018</v>
      </c>
      <c r="AF368">
        <v>2023</v>
      </c>
      <c r="AG368" t="str">
        <f>"BRUZ"</f>
        <v>BRUZ</v>
      </c>
      <c r="AH368" t="str">
        <f>"BRUZ"</f>
        <v>BRUZ</v>
      </c>
      <c r="AI368" t="str">
        <f>""</f>
        <v/>
      </c>
      <c r="AJ368" t="str">
        <f>""</f>
        <v/>
      </c>
      <c r="AK368" t="str">
        <f>""</f>
        <v/>
      </c>
      <c r="AL368">
        <v>47</v>
      </c>
      <c r="AM368" t="str">
        <f>""</f>
        <v/>
      </c>
      <c r="AN368" t="str">
        <f>""</f>
        <v/>
      </c>
      <c r="AO368" t="str">
        <f>"LYCEE BERNARD PALISSY"</f>
        <v>LYCEE BERNARD PALISSY</v>
      </c>
      <c r="AP368" t="str">
        <f>"SAINTES"</f>
        <v>SAINTES</v>
      </c>
      <c r="AQ368" t="str">
        <f>"Poitiers"</f>
        <v>Poitiers</v>
      </c>
    </row>
    <row r="369" spans="1:43" x14ac:dyDescent="0.25">
      <c r="A369" t="str">
        <f>"2A,2A Ing,2A ex Prem.A,T02650,2A Menu 3 - DIGISPORT"</f>
        <v>2A,2A Ing,2A ex Prem.A,T02650,2A Menu 3 - DIGISPORT</v>
      </c>
      <c r="B369" t="str">
        <f>"HARLE"</f>
        <v>HARLE</v>
      </c>
      <c r="C369" t="str">
        <f>"Louis"</f>
        <v>Louis</v>
      </c>
      <c r="D369" t="str">
        <f>"023-2486"</f>
        <v>023-2486</v>
      </c>
      <c r="E369" t="str">
        <f>"081124049FJ"</f>
        <v>081124049FJ</v>
      </c>
      <c r="F369" t="str">
        <f t="shared" si="63"/>
        <v>0352480F</v>
      </c>
      <c r="G369" t="str">
        <f t="shared" si="64"/>
        <v>O</v>
      </c>
      <c r="H369">
        <v>10</v>
      </c>
      <c r="I369">
        <v>2003</v>
      </c>
      <c r="J369">
        <v>1</v>
      </c>
      <c r="K369" t="str">
        <f>"S"</f>
        <v>S</v>
      </c>
      <c r="L369">
        <v>9</v>
      </c>
      <c r="M369">
        <v>2021</v>
      </c>
      <c r="N369" t="str">
        <f t="shared" si="72"/>
        <v>E</v>
      </c>
      <c r="O369" t="str">
        <f>"D"</f>
        <v>D</v>
      </c>
      <c r="P369">
        <v>0</v>
      </c>
      <c r="Q369">
        <v>100</v>
      </c>
      <c r="R369">
        <v>100</v>
      </c>
      <c r="S369">
        <v>35170</v>
      </c>
      <c r="T369">
        <v>100</v>
      </c>
      <c r="U369">
        <v>35170</v>
      </c>
      <c r="V369" t="str">
        <f>"TOEIC 1A le 24/05/20024 795"</f>
        <v>TOEIC 1A le 24/05/20024 795</v>
      </c>
      <c r="W369">
        <v>73</v>
      </c>
      <c r="X369">
        <v>0</v>
      </c>
      <c r="Y369">
        <v>6000577</v>
      </c>
      <c r="Z369">
        <v>2</v>
      </c>
      <c r="AA369">
        <v>27</v>
      </c>
      <c r="AB369" t="str">
        <f>""</f>
        <v/>
      </c>
      <c r="AC369" t="str">
        <f>""</f>
        <v/>
      </c>
      <c r="AD369" t="str">
        <f>""</f>
        <v/>
      </c>
      <c r="AE369">
        <v>2021</v>
      </c>
      <c r="AF369">
        <v>2023</v>
      </c>
      <c r="AG369" t="str">
        <f>"BRUZ"</f>
        <v>BRUZ</v>
      </c>
      <c r="AH369" t="str">
        <f>"BRUZ"</f>
        <v>BRUZ</v>
      </c>
      <c r="AI369" t="str">
        <f>""</f>
        <v/>
      </c>
      <c r="AJ369" t="str">
        <f>""</f>
        <v/>
      </c>
      <c r="AK369" t="str">
        <f>""</f>
        <v/>
      </c>
      <c r="AL369">
        <v>42</v>
      </c>
      <c r="AM369" t="str">
        <f>""</f>
        <v/>
      </c>
      <c r="AN369" t="str">
        <f>""</f>
        <v/>
      </c>
      <c r="AO369" t="str">
        <f>"Lycée Giraux Sannier"</f>
        <v>Lycée Giraux Sannier</v>
      </c>
      <c r="AP369" t="str">
        <f>"SAINT-MARTIN-BOULOGNE"</f>
        <v>SAINT-MARTIN-BOULOGNE</v>
      </c>
      <c r="AQ369" t="str">
        <f>"Lille"</f>
        <v>Lille</v>
      </c>
    </row>
    <row r="370" spans="1:43" x14ac:dyDescent="0.25">
      <c r="A370" t="str">
        <f>"2A,2A Ing,2A ex Prem.A,T02650,2A Menu 3 - DIGISPORT"</f>
        <v>2A,2A Ing,2A ex Prem.A,T02650,2A Menu 3 - DIGISPORT</v>
      </c>
      <c r="B370" t="str">
        <f>"JACQUEMIN"</f>
        <v>JACQUEMIN</v>
      </c>
      <c r="C370" t="str">
        <f>"Maxence"</f>
        <v>Maxence</v>
      </c>
      <c r="D370" t="str">
        <f>"023-2442"</f>
        <v>023-2442</v>
      </c>
      <c r="E370" t="str">
        <f>"060743085GB"</f>
        <v>060743085GB</v>
      </c>
      <c r="F370" t="str">
        <f t="shared" si="63"/>
        <v>0352480F</v>
      </c>
      <c r="G370" t="str">
        <f t="shared" si="64"/>
        <v>O</v>
      </c>
      <c r="H370">
        <v>10</v>
      </c>
      <c r="I370">
        <v>2002</v>
      </c>
      <c r="J370">
        <v>1</v>
      </c>
      <c r="K370" t="str">
        <f>"S"</f>
        <v>S</v>
      </c>
      <c r="L370">
        <v>15</v>
      </c>
      <c r="M370">
        <v>2020</v>
      </c>
      <c r="N370" t="str">
        <f t="shared" si="72"/>
        <v>E</v>
      </c>
      <c r="O370" t="str">
        <f>"D"</f>
        <v>D</v>
      </c>
      <c r="P370">
        <v>0</v>
      </c>
      <c r="Q370">
        <v>100</v>
      </c>
      <c r="R370">
        <v>100</v>
      </c>
      <c r="S370">
        <v>35170</v>
      </c>
      <c r="T370">
        <v>100</v>
      </c>
      <c r="U370">
        <v>35170</v>
      </c>
      <c r="V370" t="str">
        <f>"Délégué 2023/2024 - CER  TOEIC 1A le 24/05/20024 885"</f>
        <v>Délégué 2023/2024 - CER  TOEIC 1A le 24/05/20024 885</v>
      </c>
      <c r="W370">
        <v>37</v>
      </c>
      <c r="X370">
        <v>0</v>
      </c>
      <c r="Y370">
        <v>6000577</v>
      </c>
      <c r="Z370">
        <v>2</v>
      </c>
      <c r="AA370">
        <v>27</v>
      </c>
      <c r="AB370" t="str">
        <f>""</f>
        <v/>
      </c>
      <c r="AC370" t="str">
        <f>""</f>
        <v/>
      </c>
      <c r="AD370" t="str">
        <f>""</f>
        <v/>
      </c>
      <c r="AE370">
        <v>2020</v>
      </c>
      <c r="AF370">
        <v>2023</v>
      </c>
      <c r="AG370" t="str">
        <f>"Bruz"</f>
        <v>Bruz</v>
      </c>
      <c r="AH370" t="str">
        <f>"Bruz"</f>
        <v>Bruz</v>
      </c>
      <c r="AI370" t="str">
        <f>""</f>
        <v/>
      </c>
      <c r="AJ370" t="str">
        <f>""</f>
        <v/>
      </c>
      <c r="AK370" t="str">
        <f>""</f>
        <v/>
      </c>
      <c r="AL370">
        <v>0</v>
      </c>
      <c r="AM370" t="str">
        <f>""</f>
        <v/>
      </c>
      <c r="AN370" t="str">
        <f>""</f>
        <v/>
      </c>
      <c r="AO370" t="str">
        <f>"Gymnase Jean Sturm"</f>
        <v>Gymnase Jean Sturm</v>
      </c>
      <c r="AP370" t="str">
        <f>"STRASBOURG"</f>
        <v>STRASBOURG</v>
      </c>
      <c r="AQ370" t="str">
        <f>"Strasbourg"</f>
        <v>Strasbourg</v>
      </c>
    </row>
    <row r="371" spans="1:43" x14ac:dyDescent="0.25">
      <c r="A371" t="str">
        <f>"2A,2A Ing,2A ex Prem.A,T02650,2A Menu 3 - DIGISPORT"</f>
        <v>2A,2A Ing,2A ex Prem.A,T02650,2A Menu 3 - DIGISPORT</v>
      </c>
      <c r="B371" t="str">
        <f>"RODARY"</f>
        <v>RODARY</v>
      </c>
      <c r="C371" t="str">
        <f>"Loïc"</f>
        <v>Loïc</v>
      </c>
      <c r="D371" t="str">
        <f>"023-2351"</f>
        <v>023-2351</v>
      </c>
      <c r="E371" t="str">
        <f>"072180649FJ"</f>
        <v>072180649FJ</v>
      </c>
      <c r="F371" t="str">
        <f t="shared" si="63"/>
        <v>0352480F</v>
      </c>
      <c r="G371" t="str">
        <f t="shared" si="64"/>
        <v>O</v>
      </c>
      <c r="H371">
        <v>10</v>
      </c>
      <c r="I371">
        <v>2003</v>
      </c>
      <c r="J371">
        <v>1</v>
      </c>
      <c r="K371" t="str">
        <f>"S"</f>
        <v>S</v>
      </c>
      <c r="L371">
        <v>8</v>
      </c>
      <c r="M371">
        <v>2021</v>
      </c>
      <c r="N371" t="str">
        <f t="shared" si="72"/>
        <v>E</v>
      </c>
      <c r="O371" t="str">
        <f>"C"</f>
        <v>C</v>
      </c>
      <c r="P371">
        <v>0</v>
      </c>
      <c r="Q371">
        <v>100</v>
      </c>
      <c r="R371">
        <v>100</v>
      </c>
      <c r="S371">
        <v>35170</v>
      </c>
      <c r="T371">
        <v>100</v>
      </c>
      <c r="U371">
        <v>35170</v>
      </c>
      <c r="V371" t="str">
        <f>""</f>
        <v/>
      </c>
      <c r="W371">
        <v>38</v>
      </c>
      <c r="X371">
        <v>0</v>
      </c>
      <c r="Y371">
        <v>6000577</v>
      </c>
      <c r="Z371">
        <v>2</v>
      </c>
      <c r="AA371">
        <v>27</v>
      </c>
      <c r="AB371" t="str">
        <f>""</f>
        <v/>
      </c>
      <c r="AC371" t="str">
        <f>""</f>
        <v/>
      </c>
      <c r="AD371" t="str">
        <f>""</f>
        <v/>
      </c>
      <c r="AE371">
        <v>2021</v>
      </c>
      <c r="AF371">
        <v>2023</v>
      </c>
      <c r="AG371" t="str">
        <f>"Bruz"</f>
        <v>Bruz</v>
      </c>
      <c r="AH371" t="str">
        <f>"Bruz"</f>
        <v>Bruz</v>
      </c>
      <c r="AI371" t="str">
        <f>""</f>
        <v/>
      </c>
      <c r="AJ371" t="str">
        <f>""</f>
        <v/>
      </c>
      <c r="AK371" t="str">
        <f>""</f>
        <v/>
      </c>
      <c r="AL371">
        <v>45</v>
      </c>
      <c r="AM371" t="str">
        <f>""</f>
        <v/>
      </c>
      <c r="AN371" t="str">
        <f>""</f>
        <v/>
      </c>
      <c r="AO371" t="str">
        <f>"Ferdinand Buisson"</f>
        <v>Ferdinand Buisson</v>
      </c>
      <c r="AP371" t="str">
        <f>"VOIRON"</f>
        <v>VOIRON</v>
      </c>
      <c r="AQ371" t="str">
        <f>"Grenoble"</f>
        <v>Grenoble</v>
      </c>
    </row>
    <row r="372" spans="1:43" x14ac:dyDescent="0.25">
      <c r="A372" t="str">
        <f>"2A,2A Ing,2A ex Prem.A,T04150"</f>
        <v>2A,2A Ing,2A ex Prem.A,T04150</v>
      </c>
      <c r="B372" t="str">
        <f>"BALADI"</f>
        <v>BALADI</v>
      </c>
      <c r="C372" t="str">
        <f>"Imane"</f>
        <v>Imane</v>
      </c>
      <c r="D372" t="str">
        <f>"023-2418"</f>
        <v>023-2418</v>
      </c>
      <c r="E372" t="str">
        <f>"223391752CE"</f>
        <v>223391752CE</v>
      </c>
      <c r="F372" t="str">
        <f t="shared" si="63"/>
        <v>0352480F</v>
      </c>
      <c r="G372" t="str">
        <f t="shared" si="64"/>
        <v>O</v>
      </c>
      <c r="H372">
        <v>10</v>
      </c>
      <c r="I372">
        <v>2002</v>
      </c>
      <c r="J372">
        <v>2</v>
      </c>
      <c r="K372" t="str">
        <f>"E"</f>
        <v>E</v>
      </c>
      <c r="L372">
        <v>0</v>
      </c>
      <c r="M372">
        <v>2020</v>
      </c>
      <c r="N372" t="str">
        <f t="shared" si="72"/>
        <v>E</v>
      </c>
      <c r="O372" t="str">
        <f>"N"</f>
        <v>N</v>
      </c>
      <c r="P372">
        <v>0</v>
      </c>
      <c r="Q372">
        <v>350</v>
      </c>
      <c r="R372">
        <v>100</v>
      </c>
      <c r="S372" t="str">
        <f>"YOUSS"</f>
        <v>YOUSS</v>
      </c>
      <c r="T372">
        <v>100</v>
      </c>
      <c r="U372" t="str">
        <f>"YOUSS"</f>
        <v>YOUSS</v>
      </c>
      <c r="V372" t="str">
        <f>"TOEFL iBT (avant ENSAI) le 03/2023 : 74/120 niveau B2"</f>
        <v>TOEFL iBT (avant ENSAI) le 03/2023 : 74/120 niveau B2</v>
      </c>
      <c r="W372">
        <v>0</v>
      </c>
      <c r="X372">
        <v>0</v>
      </c>
      <c r="Y372">
        <v>6000577</v>
      </c>
      <c r="Z372">
        <v>2</v>
      </c>
      <c r="AA372">
        <v>27</v>
      </c>
      <c r="AB372" t="str">
        <f>""</f>
        <v/>
      </c>
      <c r="AC372" t="str">
        <f>""</f>
        <v/>
      </c>
      <c r="AD372" t="str">
        <f>""</f>
        <v/>
      </c>
      <c r="AE372" t="str">
        <f>""</f>
        <v/>
      </c>
      <c r="AF372">
        <v>2023</v>
      </c>
      <c r="AG372" t="str">
        <f>"UFIA"</f>
        <v>UFIA</v>
      </c>
      <c r="AH372" t="str">
        <f>"UFIA"</f>
        <v>UFIA</v>
      </c>
      <c r="AI372" t="str">
        <f>""</f>
        <v/>
      </c>
      <c r="AJ372" t="str">
        <f>""</f>
        <v/>
      </c>
      <c r="AK372" t="str">
        <f>""</f>
        <v/>
      </c>
      <c r="AL372">
        <v>0</v>
      </c>
      <c r="AM372" t="str">
        <f>""</f>
        <v/>
      </c>
      <c r="AN372" t="str">
        <f>""</f>
        <v/>
      </c>
      <c r="AO372" t="str">
        <f>"Lycée Mohamed 6 d'excellence"</f>
        <v>Lycée Mohamed 6 d'excellence</v>
      </c>
      <c r="AP372" t="str">
        <f>"BENGUERIR"</f>
        <v>BENGUERIR</v>
      </c>
      <c r="AQ372" t="str">
        <f>"Etranger"</f>
        <v>Etranger</v>
      </c>
    </row>
    <row r="373" spans="1:43" x14ac:dyDescent="0.25">
      <c r="A373" t="str">
        <f>"2A,2A Ing,2A ex Prem.A,T04150"</f>
        <v>2A,2A Ing,2A ex Prem.A,T04150</v>
      </c>
      <c r="B373" t="str">
        <f>"LEFDAOUI"</f>
        <v>LEFDAOUI</v>
      </c>
      <c r="C373" t="str">
        <f>"Wissal"</f>
        <v>Wissal</v>
      </c>
      <c r="D373" t="str">
        <f>"023-2419"</f>
        <v>023-2419</v>
      </c>
      <c r="E373" t="str">
        <f>"223391748CJ"</f>
        <v>223391748CJ</v>
      </c>
      <c r="F373" t="str">
        <f t="shared" si="63"/>
        <v>0352480F</v>
      </c>
      <c r="G373" t="str">
        <f t="shared" si="64"/>
        <v>O</v>
      </c>
      <c r="H373">
        <v>10</v>
      </c>
      <c r="I373">
        <v>2001</v>
      </c>
      <c r="J373">
        <v>2</v>
      </c>
      <c r="K373">
        <v>1</v>
      </c>
      <c r="L373">
        <v>0</v>
      </c>
      <c r="M373">
        <v>2019</v>
      </c>
      <c r="N373" t="str">
        <f t="shared" si="72"/>
        <v>E</v>
      </c>
      <c r="O373" t="str">
        <f>"N"</f>
        <v>N</v>
      </c>
      <c r="P373">
        <v>0</v>
      </c>
      <c r="Q373">
        <v>350</v>
      </c>
      <c r="R373">
        <v>100</v>
      </c>
      <c r="S373">
        <v>35200</v>
      </c>
      <c r="T373">
        <v>100</v>
      </c>
      <c r="U373">
        <v>35200</v>
      </c>
      <c r="V373" t="str">
        <f>"IELTS hors ENSAI le 08/04/2023 - score 7.0 : niveau C1  TOEFL hors ENSAI le 4/02/2023 - score 94/120 : niveau B2+"</f>
        <v>IELTS hors ENSAI le 08/04/2023 - score 7.0 : niveau C1  TOEFL hors ENSAI le 4/02/2023 - score 94/120 : niveau B2+</v>
      </c>
      <c r="W373">
        <v>33</v>
      </c>
      <c r="X373">
        <v>0</v>
      </c>
      <c r="Y373">
        <v>6000577</v>
      </c>
      <c r="Z373">
        <v>2</v>
      </c>
      <c r="AA373">
        <v>27</v>
      </c>
      <c r="AB373" t="str">
        <f>""</f>
        <v/>
      </c>
      <c r="AC373" t="str">
        <f>""</f>
        <v/>
      </c>
      <c r="AD373" t="str">
        <f>""</f>
        <v/>
      </c>
      <c r="AE373">
        <v>2023</v>
      </c>
      <c r="AF373">
        <v>2023</v>
      </c>
      <c r="AG373" t="str">
        <f>"rennes"</f>
        <v>rennes</v>
      </c>
      <c r="AH373" t="str">
        <f>"rennes"</f>
        <v>rennes</v>
      </c>
      <c r="AI373" t="str">
        <f>""</f>
        <v/>
      </c>
      <c r="AJ373" t="str">
        <f>""</f>
        <v/>
      </c>
      <c r="AK373" t="str">
        <f>""</f>
        <v/>
      </c>
      <c r="AL373">
        <v>81</v>
      </c>
      <c r="AM373" t="str">
        <f>""</f>
        <v/>
      </c>
      <c r="AN373" t="str">
        <f>""</f>
        <v/>
      </c>
      <c r="AO373" t="str">
        <f>"El Yakada"</f>
        <v>El Yakada</v>
      </c>
      <c r="AP373" t="str">
        <f>"SALÉ"</f>
        <v>SALÉ</v>
      </c>
      <c r="AQ373" t="str">
        <f>"Etranger"</f>
        <v>Etranger</v>
      </c>
    </row>
    <row r="374" spans="1:43" x14ac:dyDescent="0.25">
      <c r="A374" t="str">
        <f>"3A Att sortant"</f>
        <v>3A Att sortant</v>
      </c>
      <c r="B374" t="str">
        <f>"WOJDACKI"</f>
        <v>WOJDACKI</v>
      </c>
      <c r="C374" t="str">
        <f>"Thibaut"</f>
        <v>Thibaut</v>
      </c>
      <c r="D374" t="str">
        <f>"021-1967"</f>
        <v>021-1967</v>
      </c>
      <c r="E374" t="str">
        <f>"1203013558H"</f>
        <v>1203013558H</v>
      </c>
      <c r="F374" t="str">
        <f t="shared" si="63"/>
        <v>0352480F</v>
      </c>
      <c r="G374" t="str">
        <f t="shared" si="64"/>
        <v>O</v>
      </c>
      <c r="H374">
        <v>10</v>
      </c>
      <c r="I374">
        <v>1993</v>
      </c>
      <c r="J374">
        <v>1</v>
      </c>
      <c r="K374" t="str">
        <f>"S"</f>
        <v>S</v>
      </c>
      <c r="L374">
        <v>12</v>
      </c>
      <c r="M374">
        <v>2010</v>
      </c>
      <c r="N374" t="str">
        <f t="shared" si="72"/>
        <v>E</v>
      </c>
      <c r="O374" t="str">
        <f>"N"</f>
        <v>N</v>
      </c>
      <c r="P374">
        <v>0</v>
      </c>
      <c r="Q374">
        <v>100</v>
      </c>
      <c r="R374">
        <v>100</v>
      </c>
      <c r="S374">
        <v>35170</v>
      </c>
      <c r="T374">
        <v>100</v>
      </c>
      <c r="U374">
        <v>35170</v>
      </c>
      <c r="V374" t="str">
        <f>""</f>
        <v/>
      </c>
      <c r="W374">
        <v>73</v>
      </c>
      <c r="X374">
        <v>0</v>
      </c>
      <c r="Y374">
        <v>6000577</v>
      </c>
      <c r="Z374" t="str">
        <f>""</f>
        <v/>
      </c>
      <c r="AA374">
        <v>27</v>
      </c>
      <c r="AB374" t="str">
        <f>""</f>
        <v/>
      </c>
      <c r="AC374" t="str">
        <f>""</f>
        <v/>
      </c>
      <c r="AD374" t="str">
        <f>""</f>
        <v/>
      </c>
      <c r="AE374">
        <v>2010</v>
      </c>
      <c r="AF374">
        <v>2021</v>
      </c>
      <c r="AG374" t="str">
        <f>"Bruz"</f>
        <v>Bruz</v>
      </c>
      <c r="AH374" t="str">
        <f>"Bruz"</f>
        <v>Bruz</v>
      </c>
      <c r="AI374" t="str">
        <f>""</f>
        <v/>
      </c>
      <c r="AJ374" t="str">
        <f>""</f>
        <v/>
      </c>
      <c r="AK374" t="str">
        <f>""</f>
        <v/>
      </c>
      <c r="AL374">
        <v>73</v>
      </c>
      <c r="AM374" t="str">
        <f>""</f>
        <v/>
      </c>
      <c r="AN374" t="str">
        <f>""</f>
        <v/>
      </c>
      <c r="AO374" t="str">
        <f>"Jean Auguste Margueritte - site Galland"</f>
        <v>Jean Auguste Margueritte - site Galland</v>
      </c>
      <c r="AP374" t="str">
        <f>"VERDUN"</f>
        <v>VERDUN</v>
      </c>
      <c r="AQ374" t="str">
        <f>"Nancy-Metz"</f>
        <v>Nancy-Metz</v>
      </c>
    </row>
    <row r="375" spans="1:43" x14ac:dyDescent="0.25">
      <c r="A375" t="str">
        <f t="shared" ref="A375:A406" si="73">"3A Att sortant,T00000"</f>
        <v>3A Att sortant,T00000</v>
      </c>
      <c r="B375" t="str">
        <f>"ANDREANI"</f>
        <v>ANDREANI</v>
      </c>
      <c r="C375" t="str">
        <f>"Nicolas"</f>
        <v>Nicolas</v>
      </c>
      <c r="D375" t="str">
        <f>"018-1260"</f>
        <v>018-1260</v>
      </c>
      <c r="E375" t="str">
        <f>"0209023646R"</f>
        <v>0209023646R</v>
      </c>
      <c r="F375" t="str">
        <f t="shared" si="63"/>
        <v>0352480F</v>
      </c>
      <c r="G375" t="str">
        <f t="shared" si="64"/>
        <v>O</v>
      </c>
      <c r="H375">
        <v>10</v>
      </c>
      <c r="I375">
        <v>1998</v>
      </c>
      <c r="J375">
        <v>1</v>
      </c>
      <c r="K375" t="str">
        <f>"S"</f>
        <v>S</v>
      </c>
      <c r="L375">
        <v>2</v>
      </c>
      <c r="M375">
        <v>2016</v>
      </c>
      <c r="N375" t="str">
        <f t="shared" si="72"/>
        <v>E</v>
      </c>
      <c r="O375" t="str">
        <f>"A"</f>
        <v>A</v>
      </c>
      <c r="P375">
        <v>0</v>
      </c>
      <c r="Q375">
        <v>100</v>
      </c>
      <c r="R375">
        <v>100</v>
      </c>
      <c r="S375">
        <v>92240</v>
      </c>
      <c r="T375">
        <v>100</v>
      </c>
      <c r="U375">
        <v>92240</v>
      </c>
      <c r="V375" t="str">
        <f>""</f>
        <v/>
      </c>
      <c r="W375">
        <v>33</v>
      </c>
      <c r="X375">
        <v>0</v>
      </c>
      <c r="Y375">
        <v>6000577</v>
      </c>
      <c r="Z375" t="str">
        <f>""</f>
        <v/>
      </c>
      <c r="AA375">
        <v>27</v>
      </c>
      <c r="AB375" t="str">
        <f>""</f>
        <v/>
      </c>
      <c r="AC375" t="str">
        <f>""</f>
        <v/>
      </c>
      <c r="AD375" t="str">
        <f>""</f>
        <v/>
      </c>
      <c r="AE375">
        <v>2016</v>
      </c>
      <c r="AF375">
        <v>2018</v>
      </c>
      <c r="AG375" t="str">
        <f>"Malakoff"</f>
        <v>Malakoff</v>
      </c>
      <c r="AH375" t="str">
        <f>"Malakoff"</f>
        <v>Malakoff</v>
      </c>
      <c r="AI375" t="str">
        <f>""</f>
        <v/>
      </c>
      <c r="AJ375" t="str">
        <f>""</f>
        <v/>
      </c>
      <c r="AK375" t="str">
        <f>""</f>
        <v/>
      </c>
      <c r="AL375">
        <v>33</v>
      </c>
      <c r="AM375" t="str">
        <f>""</f>
        <v/>
      </c>
      <c r="AN375" t="str">
        <f>""</f>
        <v/>
      </c>
      <c r="AO375" t="str">
        <f>"Antonin Artaud"</f>
        <v>Antonin Artaud</v>
      </c>
      <c r="AP375" t="str">
        <f>"MARSEILLE"</f>
        <v>MARSEILLE</v>
      </c>
      <c r="AQ375" t="str">
        <f>"Aix-Marseille"</f>
        <v>Aix-Marseille</v>
      </c>
    </row>
    <row r="376" spans="1:43" x14ac:dyDescent="0.25">
      <c r="A376" t="str">
        <f t="shared" si="73"/>
        <v>3A Att sortant,T00000</v>
      </c>
      <c r="B376" t="str">
        <f>"AUFRANT"</f>
        <v>AUFRANT</v>
      </c>
      <c r="C376" t="str">
        <f>"Sabine"</f>
        <v>Sabine</v>
      </c>
      <c r="D376" t="str">
        <f>"015-0723"</f>
        <v>015-0723</v>
      </c>
      <c r="E376" t="str">
        <f>"2506005154W"</f>
        <v>2506005154W</v>
      </c>
      <c r="F376" t="str">
        <f t="shared" si="63"/>
        <v>0352480F</v>
      </c>
      <c r="G376" t="str">
        <f t="shared" si="64"/>
        <v>O</v>
      </c>
      <c r="H376">
        <v>10</v>
      </c>
      <c r="I376">
        <v>1996</v>
      </c>
      <c r="J376">
        <v>2</v>
      </c>
      <c r="K376" t="str">
        <f>"S"</f>
        <v>S</v>
      </c>
      <c r="L376">
        <v>25</v>
      </c>
      <c r="M376">
        <v>2013</v>
      </c>
      <c r="N376" t="str">
        <f t="shared" si="72"/>
        <v>E</v>
      </c>
      <c r="O376" t="str">
        <f>"D"</f>
        <v>D</v>
      </c>
      <c r="P376">
        <v>0</v>
      </c>
      <c r="Q376">
        <v>100</v>
      </c>
      <c r="R376">
        <v>100</v>
      </c>
      <c r="S376">
        <v>92330</v>
      </c>
      <c r="T376">
        <v>100</v>
      </c>
      <c r="U376">
        <v>92330</v>
      </c>
      <c r="V376" t="str">
        <f>""</f>
        <v/>
      </c>
      <c r="W376">
        <v>0</v>
      </c>
      <c r="X376">
        <v>0</v>
      </c>
      <c r="Y376">
        <v>6000577</v>
      </c>
      <c r="Z376" t="str">
        <f>""</f>
        <v/>
      </c>
      <c r="AA376">
        <v>27</v>
      </c>
      <c r="AB376" t="str">
        <f>""</f>
        <v/>
      </c>
      <c r="AC376" t="str">
        <f>""</f>
        <v/>
      </c>
      <c r="AD376" t="str">
        <f>""</f>
        <v/>
      </c>
      <c r="AE376">
        <v>2013</v>
      </c>
      <c r="AF376">
        <v>2015</v>
      </c>
      <c r="AG376" t="str">
        <f>"Sceaux"</f>
        <v>Sceaux</v>
      </c>
      <c r="AH376" t="str">
        <f>"Sceaux"</f>
        <v>Sceaux</v>
      </c>
      <c r="AI376" t="str">
        <f>""</f>
        <v/>
      </c>
      <c r="AJ376" t="str">
        <f>"CPGE MP"</f>
        <v>CPGE MP</v>
      </c>
      <c r="AK376" t="str">
        <f>""</f>
        <v/>
      </c>
      <c r="AL376">
        <v>0</v>
      </c>
      <c r="AM376" t="str">
        <f>""</f>
        <v/>
      </c>
      <c r="AN376" t="str">
        <f>""</f>
        <v/>
      </c>
      <c r="AO376" t="str">
        <f>"Marie Curie"</f>
        <v>Marie Curie</v>
      </c>
      <c r="AP376" t="str">
        <f>"SCEAUX"</f>
        <v>SCEAUX</v>
      </c>
      <c r="AQ376" t="str">
        <f>"Versailles"</f>
        <v>Versailles</v>
      </c>
    </row>
    <row r="377" spans="1:43" x14ac:dyDescent="0.25">
      <c r="A377" t="str">
        <f t="shared" si="73"/>
        <v>3A Att sortant,T00000</v>
      </c>
      <c r="B377" t="str">
        <f>"AVENTIN"</f>
        <v>AVENTIN</v>
      </c>
      <c r="C377" t="str">
        <f>"Paul"</f>
        <v>Paul</v>
      </c>
      <c r="D377" t="str">
        <f>"021-2057"</f>
        <v>021-2057</v>
      </c>
      <c r="E377" t="str">
        <f>"061175574KF"</f>
        <v>061175574KF</v>
      </c>
      <c r="F377" t="str">
        <f t="shared" si="63"/>
        <v>0352480F</v>
      </c>
      <c r="G377" t="str">
        <f t="shared" si="64"/>
        <v>O</v>
      </c>
      <c r="H377">
        <v>10</v>
      </c>
      <c r="I377">
        <v>2001</v>
      </c>
      <c r="J377">
        <v>1</v>
      </c>
      <c r="K377" t="str">
        <f>"S"</f>
        <v>S</v>
      </c>
      <c r="L377">
        <v>13</v>
      </c>
      <c r="M377">
        <v>2019</v>
      </c>
      <c r="N377" t="str">
        <f t="shared" si="72"/>
        <v>E</v>
      </c>
      <c r="O377" t="str">
        <f>"D"</f>
        <v>D</v>
      </c>
      <c r="P377">
        <v>0</v>
      </c>
      <c r="Q377">
        <v>100</v>
      </c>
      <c r="R377">
        <v>100</v>
      </c>
      <c r="S377">
        <v>35136</v>
      </c>
      <c r="T377">
        <v>100</v>
      </c>
      <c r="U377">
        <v>35136</v>
      </c>
      <c r="V377" t="str">
        <f>""</f>
        <v/>
      </c>
      <c r="W377">
        <v>33</v>
      </c>
      <c r="X377">
        <v>0</v>
      </c>
      <c r="Y377">
        <v>6000577</v>
      </c>
      <c r="Z377" t="str">
        <f>""</f>
        <v/>
      </c>
      <c r="AA377">
        <v>27</v>
      </c>
      <c r="AB377" t="str">
        <f>""</f>
        <v/>
      </c>
      <c r="AC377" t="str">
        <f>""</f>
        <v/>
      </c>
      <c r="AD377" t="str">
        <f>""</f>
        <v/>
      </c>
      <c r="AE377">
        <v>2019</v>
      </c>
      <c r="AF377">
        <v>2021</v>
      </c>
      <c r="AG377" t="str">
        <f>"Saint Jacques de la Lande"</f>
        <v>Saint Jacques de la Lande</v>
      </c>
      <c r="AH377" t="str">
        <f>"Saint Jacques de la Lande"</f>
        <v>Saint Jacques de la Lande</v>
      </c>
      <c r="AI377" t="str">
        <f>""</f>
        <v/>
      </c>
      <c r="AJ377" t="str">
        <f>""</f>
        <v/>
      </c>
      <c r="AK377" t="str">
        <f>""</f>
        <v/>
      </c>
      <c r="AL377">
        <v>54</v>
      </c>
      <c r="AM377" t="str">
        <f>""</f>
        <v/>
      </c>
      <c r="AN377" t="str">
        <f>""</f>
        <v/>
      </c>
      <c r="AO377" t="str">
        <f>"Lycée Guez de Balzac"</f>
        <v>Lycée Guez de Balzac</v>
      </c>
      <c r="AP377" t="str">
        <f>"ANGOULÊME"</f>
        <v>ANGOULÊME</v>
      </c>
      <c r="AQ377" t="str">
        <f>"Poitiers"</f>
        <v>Poitiers</v>
      </c>
    </row>
    <row r="378" spans="1:43" x14ac:dyDescent="0.25">
      <c r="A378" t="str">
        <f t="shared" si="73"/>
        <v>3A Att sortant,T00000</v>
      </c>
      <c r="B378" t="str">
        <f>"AVILA"</f>
        <v>AVILA</v>
      </c>
      <c r="C378" t="str">
        <f>"Emeline"</f>
        <v>Emeline</v>
      </c>
      <c r="D378" t="str">
        <f>"021-1938"</f>
        <v>021-1938</v>
      </c>
      <c r="E378" t="str">
        <f>"081538449EC"</f>
        <v>081538449EC</v>
      </c>
      <c r="F378" t="str">
        <f t="shared" si="63"/>
        <v>0352480F</v>
      </c>
      <c r="G378" t="str">
        <f t="shared" si="64"/>
        <v>O</v>
      </c>
      <c r="H378">
        <v>10</v>
      </c>
      <c r="I378">
        <v>2001</v>
      </c>
      <c r="J378">
        <v>2</v>
      </c>
      <c r="K378" t="str">
        <f>"ES"</f>
        <v>ES</v>
      </c>
      <c r="L378">
        <v>12</v>
      </c>
      <c r="M378">
        <v>2018</v>
      </c>
      <c r="N378" t="str">
        <f t="shared" si="72"/>
        <v>E</v>
      </c>
      <c r="O378" t="str">
        <f>"N"</f>
        <v>N</v>
      </c>
      <c r="P378">
        <v>0</v>
      </c>
      <c r="Q378">
        <v>100</v>
      </c>
      <c r="R378">
        <v>100</v>
      </c>
      <c r="S378">
        <v>35000</v>
      </c>
      <c r="T378">
        <v>100</v>
      </c>
      <c r="U378">
        <v>35000</v>
      </c>
      <c r="V378" t="str">
        <f>"TOEIC à l'ENSAI le 19/05/2022: 965"</f>
        <v>TOEIC à l'ENSAI le 19/05/2022: 965</v>
      </c>
      <c r="W378">
        <v>34</v>
      </c>
      <c r="X378">
        <v>0</v>
      </c>
      <c r="Y378">
        <v>6000577</v>
      </c>
      <c r="Z378" t="str">
        <f>""</f>
        <v/>
      </c>
      <c r="AA378">
        <v>27</v>
      </c>
      <c r="AB378" t="str">
        <f>""</f>
        <v/>
      </c>
      <c r="AC378" t="str">
        <f>""</f>
        <v/>
      </c>
      <c r="AD378" t="str">
        <f>""</f>
        <v/>
      </c>
      <c r="AE378">
        <v>2018</v>
      </c>
      <c r="AF378">
        <v>2021</v>
      </c>
      <c r="AG378" t="str">
        <f>"Rennes"</f>
        <v>Rennes</v>
      </c>
      <c r="AH378" t="str">
        <f>"Rennes"</f>
        <v>Rennes</v>
      </c>
      <c r="AI378" t="str">
        <f>""</f>
        <v/>
      </c>
      <c r="AJ378" t="str">
        <f>""</f>
        <v/>
      </c>
      <c r="AK378" t="str">
        <f>""</f>
        <v/>
      </c>
      <c r="AL378">
        <v>34</v>
      </c>
      <c r="AM378" t="str">
        <f>""</f>
        <v/>
      </c>
      <c r="AN378" t="str">
        <f>""</f>
        <v/>
      </c>
      <c r="AO378" t="str">
        <f>"Lycée Fabert"</f>
        <v>Lycée Fabert</v>
      </c>
      <c r="AP378" t="str">
        <f>"METZ"</f>
        <v>METZ</v>
      </c>
      <c r="AQ378" t="str">
        <f>"Nancy-Metz"</f>
        <v>Nancy-Metz</v>
      </c>
    </row>
    <row r="379" spans="1:43" x14ac:dyDescent="0.25">
      <c r="A379" t="str">
        <f t="shared" si="73"/>
        <v>3A Att sortant,T00000</v>
      </c>
      <c r="B379" t="str">
        <f>"BALDACCHINI"</f>
        <v>BALDACCHINI</v>
      </c>
      <c r="C379" t="str">
        <f>"Mauro"</f>
        <v>Mauro</v>
      </c>
      <c r="D379" t="str">
        <f>"023-2402"</f>
        <v>023-2402</v>
      </c>
      <c r="E379" t="str">
        <f>"223382879HA"</f>
        <v>223382879HA</v>
      </c>
      <c r="F379" t="str">
        <f t="shared" si="63"/>
        <v>0352480F</v>
      </c>
      <c r="G379" t="str">
        <f t="shared" si="64"/>
        <v>O</v>
      </c>
      <c r="H379">
        <v>10</v>
      </c>
      <c r="I379">
        <v>2000</v>
      </c>
      <c r="J379">
        <v>1</v>
      </c>
      <c r="K379" t="str">
        <f>"S"</f>
        <v>S</v>
      </c>
      <c r="L379">
        <v>0</v>
      </c>
      <c r="M379">
        <v>2019</v>
      </c>
      <c r="N379" t="str">
        <f>"R"</f>
        <v>R</v>
      </c>
      <c r="O379">
        <v>2</v>
      </c>
      <c r="P379">
        <v>0</v>
      </c>
      <c r="Q379">
        <v>127</v>
      </c>
      <c r="R379">
        <v>100</v>
      </c>
      <c r="S379">
        <v>35200</v>
      </c>
      <c r="T379">
        <v>100</v>
      </c>
      <c r="U379">
        <v>35200</v>
      </c>
      <c r="V379" t="str">
        <f>""</f>
        <v/>
      </c>
      <c r="W379">
        <v>72</v>
      </c>
      <c r="X379">
        <v>0</v>
      </c>
      <c r="Y379">
        <v>6000577</v>
      </c>
      <c r="Z379" t="str">
        <f>""</f>
        <v/>
      </c>
      <c r="AA379">
        <v>27</v>
      </c>
      <c r="AB379" t="str">
        <f>""</f>
        <v/>
      </c>
      <c r="AC379" t="str">
        <f>""</f>
        <v/>
      </c>
      <c r="AD379" t="str">
        <f>""</f>
        <v/>
      </c>
      <c r="AE379">
        <v>2023</v>
      </c>
      <c r="AF379">
        <v>2023</v>
      </c>
      <c r="AG379" t="str">
        <f>"Rennes"</f>
        <v>Rennes</v>
      </c>
      <c r="AH379" t="str">
        <f>"Rennes"</f>
        <v>Rennes</v>
      </c>
      <c r="AI379" t="str">
        <f>""</f>
        <v/>
      </c>
      <c r="AJ379" t="str">
        <f>""</f>
        <v/>
      </c>
      <c r="AK379" t="str">
        <f>""</f>
        <v/>
      </c>
      <c r="AL379">
        <v>0</v>
      </c>
      <c r="AM379" t="str">
        <f>""</f>
        <v/>
      </c>
      <c r="AN379" t="str">
        <f>""</f>
        <v/>
      </c>
      <c r="AO379" t="str">
        <f>"Liceo Scientifico Giuseppe Peano"</f>
        <v>Liceo Scientifico Giuseppe Peano</v>
      </c>
      <c r="AP379" t="str">
        <f>"MONTEROTONDO (ROME)"</f>
        <v>MONTEROTONDO (ROME)</v>
      </c>
      <c r="AQ379" t="str">
        <f>"Etranger"</f>
        <v>Etranger</v>
      </c>
    </row>
    <row r="380" spans="1:43" x14ac:dyDescent="0.25">
      <c r="A380" t="str">
        <f t="shared" si="73"/>
        <v>3A Att sortant,T00000</v>
      </c>
      <c r="B380" t="str">
        <f>"BARRERE"</f>
        <v>BARRERE</v>
      </c>
      <c r="C380" t="str">
        <f>"Marie"</f>
        <v>Marie</v>
      </c>
      <c r="D380" t="str">
        <f>"021-1936"</f>
        <v>021-1936</v>
      </c>
      <c r="E380" t="str">
        <f>"050252898JG"</f>
        <v>050252898JG</v>
      </c>
      <c r="F380" t="str">
        <f t="shared" si="63"/>
        <v>0352480F</v>
      </c>
      <c r="G380" t="str">
        <f t="shared" si="64"/>
        <v>O</v>
      </c>
      <c r="H380">
        <v>10</v>
      </c>
      <c r="I380">
        <v>2001</v>
      </c>
      <c r="J380">
        <v>2</v>
      </c>
      <c r="K380" t="str">
        <f>"S"</f>
        <v>S</v>
      </c>
      <c r="L380">
        <v>4</v>
      </c>
      <c r="M380">
        <v>2019</v>
      </c>
      <c r="N380" t="str">
        <f>"E"</f>
        <v>E</v>
      </c>
      <c r="O380" t="str">
        <f>"D"</f>
        <v>D</v>
      </c>
      <c r="P380">
        <v>0</v>
      </c>
      <c r="Q380">
        <v>100</v>
      </c>
      <c r="R380">
        <v>100</v>
      </c>
      <c r="S380">
        <v>35170</v>
      </c>
      <c r="T380">
        <v>100</v>
      </c>
      <c r="U380">
        <v>35170</v>
      </c>
      <c r="V380" t="str">
        <f>"TOEIC à l'ENSAI le 19/05/2022: 850"</f>
        <v>TOEIC à l'ENSAI le 19/05/2022: 850</v>
      </c>
      <c r="W380">
        <v>33</v>
      </c>
      <c r="X380">
        <v>0</v>
      </c>
      <c r="Y380">
        <v>6000577</v>
      </c>
      <c r="Z380" t="str">
        <f>""</f>
        <v/>
      </c>
      <c r="AA380">
        <v>27</v>
      </c>
      <c r="AB380" t="str">
        <f>""</f>
        <v/>
      </c>
      <c r="AC380" t="str">
        <f>""</f>
        <v/>
      </c>
      <c r="AD380" t="str">
        <f>""</f>
        <v/>
      </c>
      <c r="AE380">
        <v>2019</v>
      </c>
      <c r="AF380">
        <v>2021</v>
      </c>
      <c r="AG380" t="str">
        <f>"Bruz"</f>
        <v>Bruz</v>
      </c>
      <c r="AH380" t="str">
        <f>"Bruz"</f>
        <v>Bruz</v>
      </c>
      <c r="AI380" t="str">
        <f>""</f>
        <v/>
      </c>
      <c r="AJ380" t="str">
        <f>""</f>
        <v/>
      </c>
      <c r="AK380" t="str">
        <f>""</f>
        <v/>
      </c>
      <c r="AL380">
        <v>43</v>
      </c>
      <c r="AM380" t="str">
        <f>""</f>
        <v/>
      </c>
      <c r="AN380" t="str">
        <f>""</f>
        <v/>
      </c>
      <c r="AO380" t="str">
        <f>"Lycée des Graves"</f>
        <v>Lycée des Graves</v>
      </c>
      <c r="AP380" t="str">
        <f>"GRADIGNAN"</f>
        <v>GRADIGNAN</v>
      </c>
      <c r="AQ380" t="str">
        <f>"Bordeaux"</f>
        <v>Bordeaux</v>
      </c>
    </row>
    <row r="381" spans="1:43" x14ac:dyDescent="0.25">
      <c r="A381" t="str">
        <f t="shared" si="73"/>
        <v>3A Att sortant,T00000</v>
      </c>
      <c r="B381" t="str">
        <f>"BENCHEKARA"</f>
        <v>BENCHEKARA</v>
      </c>
      <c r="C381" t="str">
        <f>"Narjis"</f>
        <v>Narjis</v>
      </c>
      <c r="D381" t="str">
        <f>"018-1313"</f>
        <v>018-1313</v>
      </c>
      <c r="E381" t="str">
        <f>"2508039978L"</f>
        <v>2508039978L</v>
      </c>
      <c r="F381" t="str">
        <f t="shared" si="63"/>
        <v>0352480F</v>
      </c>
      <c r="G381" t="str">
        <f t="shared" si="64"/>
        <v>O</v>
      </c>
      <c r="H381">
        <v>10</v>
      </c>
      <c r="I381">
        <v>1997</v>
      </c>
      <c r="J381">
        <v>2</v>
      </c>
      <c r="K381" t="str">
        <f>"ES"</f>
        <v>ES</v>
      </c>
      <c r="L381">
        <v>25</v>
      </c>
      <c r="M381">
        <v>2015</v>
      </c>
      <c r="N381" t="str">
        <f>"E"</f>
        <v>E</v>
      </c>
      <c r="O381" t="str">
        <f>"N"</f>
        <v>N</v>
      </c>
      <c r="P381">
        <v>0</v>
      </c>
      <c r="Q381">
        <v>100</v>
      </c>
      <c r="R381">
        <v>100</v>
      </c>
      <c r="S381">
        <v>92120</v>
      </c>
      <c r="T381">
        <v>100</v>
      </c>
      <c r="U381">
        <v>92120</v>
      </c>
      <c r="V381" t="str">
        <f>""</f>
        <v/>
      </c>
      <c r="W381">
        <v>22</v>
      </c>
      <c r="X381">
        <v>0</v>
      </c>
      <c r="Y381">
        <v>6000577</v>
      </c>
      <c r="Z381" t="str">
        <f>""</f>
        <v/>
      </c>
      <c r="AA381">
        <v>27</v>
      </c>
      <c r="AB381" t="str">
        <f>""</f>
        <v/>
      </c>
      <c r="AC381" t="str">
        <f>""</f>
        <v/>
      </c>
      <c r="AD381" t="str">
        <f>""</f>
        <v/>
      </c>
      <c r="AE381">
        <v>2015</v>
      </c>
      <c r="AF381">
        <v>2018</v>
      </c>
      <c r="AG381" t="str">
        <f>"Montrouge"</f>
        <v>Montrouge</v>
      </c>
      <c r="AH381" t="str">
        <f>"Montrouge"</f>
        <v>Montrouge</v>
      </c>
      <c r="AI381" t="str">
        <f>""</f>
        <v/>
      </c>
      <c r="AJ381" t="str">
        <f>""</f>
        <v/>
      </c>
      <c r="AK381" t="str">
        <f>""</f>
        <v/>
      </c>
      <c r="AL381">
        <v>22</v>
      </c>
      <c r="AM381" t="str">
        <f>""</f>
        <v/>
      </c>
      <c r="AN381" t="str">
        <f>""</f>
        <v/>
      </c>
      <c r="AO381" t="str">
        <f>"Lycée Mansart"</f>
        <v>Lycée Mansart</v>
      </c>
      <c r="AP381" t="str">
        <f>"SAINT-CYR L'ÉCOLE"</f>
        <v>SAINT-CYR L'ÉCOLE</v>
      </c>
      <c r="AQ381" t="str">
        <f>"Versailles"</f>
        <v>Versailles</v>
      </c>
    </row>
    <row r="382" spans="1:43" x14ac:dyDescent="0.25">
      <c r="A382" t="str">
        <f t="shared" si="73"/>
        <v>3A Att sortant,T00000</v>
      </c>
      <c r="B382" t="str">
        <f>"BERNARD"</f>
        <v>BERNARD</v>
      </c>
      <c r="C382" t="str">
        <f>"Maëlys"</f>
        <v>Maëlys</v>
      </c>
      <c r="D382" t="str">
        <f>"018-1401"</f>
        <v>018-1401</v>
      </c>
      <c r="E382" t="str">
        <f>"1809007516T"</f>
        <v>1809007516T</v>
      </c>
      <c r="F382" t="str">
        <f t="shared" si="63"/>
        <v>0352480F</v>
      </c>
      <c r="G382" t="str">
        <f t="shared" si="64"/>
        <v>O</v>
      </c>
      <c r="H382">
        <v>10</v>
      </c>
      <c r="I382">
        <v>1998</v>
      </c>
      <c r="J382">
        <v>2</v>
      </c>
      <c r="K382" t="str">
        <f>"S"</f>
        <v>S</v>
      </c>
      <c r="L382">
        <v>18</v>
      </c>
      <c r="M382">
        <v>2016</v>
      </c>
      <c r="N382" t="str">
        <f>"E"</f>
        <v>E</v>
      </c>
      <c r="O382" t="str">
        <f>"D"</f>
        <v>D</v>
      </c>
      <c r="P382">
        <v>0</v>
      </c>
      <c r="Q382">
        <v>100</v>
      </c>
      <c r="R382">
        <v>100</v>
      </c>
      <c r="S382">
        <v>18310</v>
      </c>
      <c r="T382">
        <v>100</v>
      </c>
      <c r="U382">
        <v>18310</v>
      </c>
      <c r="V382" t="str">
        <f>"score TOEIC passé à l'Ensai le 10/01/2020 : 525"</f>
        <v>score TOEIC passé à l'Ensai le 10/01/2020 : 525</v>
      </c>
      <c r="W382">
        <v>37</v>
      </c>
      <c r="X382">
        <v>0</v>
      </c>
      <c r="Y382">
        <v>6000577</v>
      </c>
      <c r="Z382" t="str">
        <f>""</f>
        <v/>
      </c>
      <c r="AA382">
        <v>27</v>
      </c>
      <c r="AB382" t="str">
        <f>""</f>
        <v/>
      </c>
      <c r="AC382" t="str">
        <f>""</f>
        <v/>
      </c>
      <c r="AD382" t="str">
        <f>""</f>
        <v/>
      </c>
      <c r="AE382">
        <v>2016</v>
      </c>
      <c r="AF382">
        <v>2018</v>
      </c>
      <c r="AG382" t="str">
        <f>"Graçay"</f>
        <v>Graçay</v>
      </c>
      <c r="AH382" t="str">
        <f>"Graçay"</f>
        <v>Graçay</v>
      </c>
      <c r="AI382" t="str">
        <f>""</f>
        <v/>
      </c>
      <c r="AJ382" t="str">
        <f>""</f>
        <v/>
      </c>
      <c r="AK382" t="str">
        <f>""</f>
        <v/>
      </c>
      <c r="AL382">
        <v>42</v>
      </c>
      <c r="AM382" t="str">
        <f>""</f>
        <v/>
      </c>
      <c r="AN382" t="str">
        <f>""</f>
        <v/>
      </c>
      <c r="AO382" t="str">
        <f>"Lycée honoré de Balzac"</f>
        <v>Lycée honoré de Balzac</v>
      </c>
      <c r="AP382" t="str">
        <f>"ISSOUDUN"</f>
        <v>ISSOUDUN</v>
      </c>
      <c r="AQ382" t="str">
        <f>"Orléans-Tours"</f>
        <v>Orléans-Tours</v>
      </c>
    </row>
    <row r="383" spans="1:43" x14ac:dyDescent="0.25">
      <c r="A383" t="str">
        <f t="shared" si="73"/>
        <v>3A Att sortant,T00000</v>
      </c>
      <c r="B383" t="str">
        <f>"BIGARRE"</f>
        <v>BIGARRE</v>
      </c>
      <c r="C383" t="str">
        <f>"Sacha"</f>
        <v>Sacha</v>
      </c>
      <c r="D383" t="str">
        <f>"023-2553"</f>
        <v>023-2553</v>
      </c>
      <c r="E383" t="str">
        <f>"50158574CK"</f>
        <v>50158574CK</v>
      </c>
      <c r="F383" t="str">
        <f t="shared" si="63"/>
        <v>0352480F</v>
      </c>
      <c r="G383" t="str">
        <f t="shared" si="64"/>
        <v>O</v>
      </c>
      <c r="H383">
        <v>10</v>
      </c>
      <c r="I383">
        <v>2001</v>
      </c>
      <c r="J383">
        <v>1</v>
      </c>
      <c r="K383" t="str">
        <f>"ES"</f>
        <v>ES</v>
      </c>
      <c r="L383">
        <v>18</v>
      </c>
      <c r="M383">
        <v>2019</v>
      </c>
      <c r="N383" t="str">
        <f>"A"</f>
        <v>A</v>
      </c>
      <c r="O383" t="str">
        <f>"N"</f>
        <v>N</v>
      </c>
      <c r="P383">
        <v>0</v>
      </c>
      <c r="Q383">
        <v>100</v>
      </c>
      <c r="R383">
        <v>100</v>
      </c>
      <c r="S383" t="str">
        <f>"Renne"</f>
        <v>Renne</v>
      </c>
      <c r="T383">
        <v>100</v>
      </c>
      <c r="U383" t="str">
        <f>"Renne"</f>
        <v>Renne</v>
      </c>
      <c r="V383" t="str">
        <f>""</f>
        <v/>
      </c>
      <c r="W383">
        <v>0</v>
      </c>
      <c r="X383">
        <v>0</v>
      </c>
      <c r="Y383">
        <v>6000577</v>
      </c>
      <c r="Z383" t="str">
        <f>""</f>
        <v/>
      </c>
      <c r="AA383">
        <v>27</v>
      </c>
      <c r="AB383" t="str">
        <f>""</f>
        <v/>
      </c>
      <c r="AC383" t="str">
        <f>""</f>
        <v/>
      </c>
      <c r="AD383" t="str">
        <f>""</f>
        <v/>
      </c>
      <c r="AE383">
        <v>2019</v>
      </c>
      <c r="AF383">
        <v>2023</v>
      </c>
      <c r="AG383" t="str">
        <f>""</f>
        <v/>
      </c>
      <c r="AH383" t="str">
        <f>""</f>
        <v/>
      </c>
      <c r="AI383" t="str">
        <f>""</f>
        <v/>
      </c>
      <c r="AJ383" t="str">
        <f>""</f>
        <v/>
      </c>
      <c r="AK383" t="str">
        <f>""</f>
        <v/>
      </c>
      <c r="AL383">
        <v>0</v>
      </c>
      <c r="AM383" t="str">
        <f>""</f>
        <v/>
      </c>
      <c r="AN383" t="str">
        <f>""</f>
        <v/>
      </c>
      <c r="AO383" t="str">
        <f>"Descartes"</f>
        <v>Descartes</v>
      </c>
      <c r="AP383" t="str">
        <f>"TOURS"</f>
        <v>TOURS</v>
      </c>
      <c r="AQ383" t="str">
        <f>"Orléans-Tours"</f>
        <v>Orléans-Tours</v>
      </c>
    </row>
    <row r="384" spans="1:43" x14ac:dyDescent="0.25">
      <c r="A384" t="str">
        <f t="shared" si="73"/>
        <v>3A Att sortant,T00000</v>
      </c>
      <c r="B384" t="str">
        <f>"BOREL HERBERT"</f>
        <v>BOREL HERBERT</v>
      </c>
      <c r="C384" t="str">
        <f>"Cléo"</f>
        <v>Cléo</v>
      </c>
      <c r="D384" t="str">
        <f>"021-1973"</f>
        <v>021-1973</v>
      </c>
      <c r="E384" t="str">
        <f>"060029316AH"</f>
        <v>060029316AH</v>
      </c>
      <c r="F384" t="str">
        <f t="shared" si="63"/>
        <v>0352480F</v>
      </c>
      <c r="G384" t="str">
        <f t="shared" si="64"/>
        <v>O</v>
      </c>
      <c r="H384">
        <v>10</v>
      </c>
      <c r="I384">
        <v>2002</v>
      </c>
      <c r="J384">
        <v>2</v>
      </c>
      <c r="K384" t="str">
        <f>"S"</f>
        <v>S</v>
      </c>
      <c r="L384">
        <v>16</v>
      </c>
      <c r="M384">
        <v>2019</v>
      </c>
      <c r="N384" t="str">
        <f t="shared" ref="N384:N396" si="74">"E"</f>
        <v>E</v>
      </c>
      <c r="O384" t="str">
        <f>"D"</f>
        <v>D</v>
      </c>
      <c r="P384">
        <v>0</v>
      </c>
      <c r="Q384">
        <v>100</v>
      </c>
      <c r="R384">
        <v>100</v>
      </c>
      <c r="S384">
        <v>35170</v>
      </c>
      <c r="T384">
        <v>100</v>
      </c>
      <c r="U384">
        <v>35170</v>
      </c>
      <c r="V384" t="str">
        <f>"TOEIC à l'ENSAI le 19/05/2022: score 965"</f>
        <v>TOEIC à l'ENSAI le 19/05/2022: score 965</v>
      </c>
      <c r="W384">
        <v>37</v>
      </c>
      <c r="X384">
        <v>0</v>
      </c>
      <c r="Y384">
        <v>6000577</v>
      </c>
      <c r="Z384" t="str">
        <f>""</f>
        <v/>
      </c>
      <c r="AA384">
        <v>27</v>
      </c>
      <c r="AB384" t="str">
        <f>""</f>
        <v/>
      </c>
      <c r="AC384" t="str">
        <f>""</f>
        <v/>
      </c>
      <c r="AD384" t="str">
        <f>""</f>
        <v/>
      </c>
      <c r="AE384">
        <v>2019</v>
      </c>
      <c r="AF384">
        <v>2021</v>
      </c>
      <c r="AG384" t="str">
        <f>"Bruz"</f>
        <v>Bruz</v>
      </c>
      <c r="AH384" t="str">
        <f>"Bruz"</f>
        <v>Bruz</v>
      </c>
      <c r="AI384" t="str">
        <f>""</f>
        <v/>
      </c>
      <c r="AJ384" t="str">
        <f>""</f>
        <v/>
      </c>
      <c r="AK384" t="str">
        <f>""</f>
        <v/>
      </c>
      <c r="AL384">
        <v>33</v>
      </c>
      <c r="AM384" t="str">
        <f>""</f>
        <v/>
      </c>
      <c r="AN384" t="str">
        <f>""</f>
        <v/>
      </c>
      <c r="AO384" t="str">
        <f>"Jean Pierre Vernant"</f>
        <v>Jean Pierre Vernant</v>
      </c>
      <c r="AP384" t="str">
        <f>"PINS JUSTARET"</f>
        <v>PINS JUSTARET</v>
      </c>
      <c r="AQ384" t="str">
        <f>"Toulouse"</f>
        <v>Toulouse</v>
      </c>
    </row>
    <row r="385" spans="1:43" x14ac:dyDescent="0.25">
      <c r="A385" t="str">
        <f t="shared" si="73"/>
        <v>3A Att sortant,T00000</v>
      </c>
      <c r="B385" t="str">
        <f>"BOULARD"</f>
        <v>BOULARD</v>
      </c>
      <c r="C385" t="str">
        <f>"Constance"</f>
        <v>Constance</v>
      </c>
      <c r="D385" t="str">
        <f>"018-1404"</f>
        <v>018-1404</v>
      </c>
      <c r="E385" t="str">
        <f>"1009006079N"</f>
        <v>1009006079N</v>
      </c>
      <c r="F385" t="str">
        <f t="shared" si="63"/>
        <v>0352480F</v>
      </c>
      <c r="G385" t="str">
        <f t="shared" si="64"/>
        <v>O</v>
      </c>
      <c r="H385">
        <v>10</v>
      </c>
      <c r="I385">
        <v>1998</v>
      </c>
      <c r="J385">
        <v>2</v>
      </c>
      <c r="K385" t="str">
        <f>"S"</f>
        <v>S</v>
      </c>
      <c r="L385">
        <v>10</v>
      </c>
      <c r="M385">
        <v>2016</v>
      </c>
      <c r="N385" t="str">
        <f t="shared" si="74"/>
        <v>E</v>
      </c>
      <c r="O385" t="str">
        <f>"D"</f>
        <v>D</v>
      </c>
      <c r="P385">
        <v>0</v>
      </c>
      <c r="Q385">
        <v>100</v>
      </c>
      <c r="R385">
        <v>100</v>
      </c>
      <c r="S385">
        <v>34090</v>
      </c>
      <c r="T385">
        <v>100</v>
      </c>
      <c r="U385">
        <v>34090</v>
      </c>
      <c r="V385" t="str">
        <f>""</f>
        <v/>
      </c>
      <c r="W385">
        <v>47</v>
      </c>
      <c r="X385">
        <v>0</v>
      </c>
      <c r="Y385">
        <v>6000577</v>
      </c>
      <c r="Z385" t="str">
        <f>""</f>
        <v/>
      </c>
      <c r="AA385">
        <v>27</v>
      </c>
      <c r="AB385" t="str">
        <f>""</f>
        <v/>
      </c>
      <c r="AC385" t="str">
        <f>""</f>
        <v/>
      </c>
      <c r="AD385" t="str">
        <f>""</f>
        <v/>
      </c>
      <c r="AE385">
        <v>2016</v>
      </c>
      <c r="AF385">
        <v>2018</v>
      </c>
      <c r="AG385" t="str">
        <f>"Montpellier"</f>
        <v>Montpellier</v>
      </c>
      <c r="AH385" t="str">
        <f>"Montpellier"</f>
        <v>Montpellier</v>
      </c>
      <c r="AI385" t="str">
        <f>""</f>
        <v/>
      </c>
      <c r="AJ385" t="str">
        <f>""</f>
        <v/>
      </c>
      <c r="AK385" t="str">
        <f>""</f>
        <v/>
      </c>
      <c r="AL385">
        <v>21</v>
      </c>
      <c r="AM385" t="str">
        <f>""</f>
        <v/>
      </c>
      <c r="AN385" t="str">
        <f>""</f>
        <v/>
      </c>
      <c r="AO385" t="str">
        <f>"Jean Puy"</f>
        <v>Jean Puy</v>
      </c>
      <c r="AP385" t="str">
        <f>"ROANNE"</f>
        <v>ROANNE</v>
      </c>
      <c r="AQ385" t="str">
        <f>"Lyon"</f>
        <v>Lyon</v>
      </c>
    </row>
    <row r="386" spans="1:43" x14ac:dyDescent="0.25">
      <c r="A386" t="str">
        <f t="shared" si="73"/>
        <v>3A Att sortant,T00000</v>
      </c>
      <c r="B386" t="str">
        <f>"BRUSQ"</f>
        <v>BRUSQ</v>
      </c>
      <c r="C386" t="str">
        <f>"David"</f>
        <v>David</v>
      </c>
      <c r="D386" t="str">
        <f>"017-1041"</f>
        <v>017-1041</v>
      </c>
      <c r="E386" t="str">
        <f>"0401007039S"</f>
        <v>0401007039S</v>
      </c>
      <c r="F386" t="str">
        <f t="shared" ref="F386:F449" si="75">"0352480F"</f>
        <v>0352480F</v>
      </c>
      <c r="G386" t="str">
        <f t="shared" ref="G386:G449" si="76">"O"</f>
        <v>O</v>
      </c>
      <c r="H386">
        <v>10</v>
      </c>
      <c r="I386">
        <v>1990</v>
      </c>
      <c r="J386">
        <v>1</v>
      </c>
      <c r="K386" t="str">
        <f>"S"</f>
        <v>S</v>
      </c>
      <c r="L386">
        <v>4</v>
      </c>
      <c r="M386">
        <v>2008</v>
      </c>
      <c r="N386" t="str">
        <f t="shared" si="74"/>
        <v>E</v>
      </c>
      <c r="O386" t="str">
        <f>"W"</f>
        <v>W</v>
      </c>
      <c r="P386">
        <v>0</v>
      </c>
      <c r="Q386">
        <v>100</v>
      </c>
      <c r="R386">
        <v>100</v>
      </c>
      <c r="S386">
        <v>33140</v>
      </c>
      <c r="T386">
        <v>100</v>
      </c>
      <c r="U386">
        <v>33140</v>
      </c>
      <c r="V386" t="str">
        <f>"Obtention TOEIC passé à l'ENSAI le 28/05/2018 - score 830    Elu représentant des élèves attachés 2A 2018/2019"</f>
        <v>Obtention TOEIC passé à l'ENSAI le 28/05/2018 - score 830    Elu représentant des élèves attachés 2A 2018/2019</v>
      </c>
      <c r="W386">
        <v>37</v>
      </c>
      <c r="X386">
        <v>0</v>
      </c>
      <c r="Y386">
        <v>6000577</v>
      </c>
      <c r="Z386" t="str">
        <f>""</f>
        <v/>
      </c>
      <c r="AA386">
        <v>27</v>
      </c>
      <c r="AB386" t="str">
        <f>""</f>
        <v/>
      </c>
      <c r="AC386" t="str">
        <f>""</f>
        <v/>
      </c>
      <c r="AD386" t="str">
        <f>""</f>
        <v/>
      </c>
      <c r="AE386">
        <v>2008</v>
      </c>
      <c r="AF386">
        <v>2017</v>
      </c>
      <c r="AG386" t="str">
        <f>"Villenave d'Ornon"</f>
        <v>Villenave d'Ornon</v>
      </c>
      <c r="AH386" t="str">
        <f>"Villenave d'Ornon"</f>
        <v>Villenave d'Ornon</v>
      </c>
      <c r="AI386" t="str">
        <f>""</f>
        <v/>
      </c>
      <c r="AJ386" t="str">
        <f>""</f>
        <v/>
      </c>
      <c r="AK386" t="str">
        <f>""</f>
        <v/>
      </c>
      <c r="AL386">
        <v>37</v>
      </c>
      <c r="AM386" t="str">
        <f>""</f>
        <v/>
      </c>
      <c r="AN386" t="str">
        <f>""</f>
        <v/>
      </c>
      <c r="AO386" t="str">
        <f>"LYCEE DES GRAVES"</f>
        <v>LYCEE DES GRAVES</v>
      </c>
      <c r="AP386" t="str">
        <f>"GRADIGNAN"</f>
        <v>GRADIGNAN</v>
      </c>
      <c r="AQ386" t="str">
        <f>"Bordeaux"</f>
        <v>Bordeaux</v>
      </c>
    </row>
    <row r="387" spans="1:43" x14ac:dyDescent="0.25">
      <c r="A387" t="str">
        <f t="shared" si="73"/>
        <v>3A Att sortant,T00000</v>
      </c>
      <c r="B387" t="str">
        <f>"CARAY"</f>
        <v>CARAY</v>
      </c>
      <c r="C387" t="str">
        <f>"Jérôme"</f>
        <v>Jérôme</v>
      </c>
      <c r="D387" t="str">
        <f>"015-0363"</f>
        <v>015-0363</v>
      </c>
      <c r="E387" t="str">
        <f>"07JZ4Q000G2"</f>
        <v>07JZ4Q000G2</v>
      </c>
      <c r="F387" t="str">
        <f t="shared" si="75"/>
        <v>0352480F</v>
      </c>
      <c r="G387" t="str">
        <f t="shared" si="76"/>
        <v>O</v>
      </c>
      <c r="H387">
        <v>10</v>
      </c>
      <c r="I387">
        <v>1973</v>
      </c>
      <c r="J387">
        <v>1</v>
      </c>
      <c r="K387" t="str">
        <f>"C"</f>
        <v>C</v>
      </c>
      <c r="L387">
        <v>25</v>
      </c>
      <c r="M387">
        <v>1991</v>
      </c>
      <c r="N387" t="str">
        <f t="shared" si="74"/>
        <v>E</v>
      </c>
      <c r="O387" t="str">
        <f>"Q"</f>
        <v>Q</v>
      </c>
      <c r="P387">
        <v>0</v>
      </c>
      <c r="Q387">
        <v>100</v>
      </c>
      <c r="R387">
        <v>100</v>
      </c>
      <c r="S387">
        <v>13008</v>
      </c>
      <c r="T387">
        <v>100</v>
      </c>
      <c r="U387">
        <v>13008</v>
      </c>
      <c r="V387" t="str">
        <f>""</f>
        <v/>
      </c>
      <c r="W387">
        <v>73</v>
      </c>
      <c r="X387">
        <v>0</v>
      </c>
      <c r="Y387">
        <v>6000577</v>
      </c>
      <c r="Z387" t="str">
        <f>""</f>
        <v/>
      </c>
      <c r="AA387">
        <v>27</v>
      </c>
      <c r="AB387" t="str">
        <f>""</f>
        <v/>
      </c>
      <c r="AC387" t="str">
        <f>""</f>
        <v/>
      </c>
      <c r="AD387" t="str">
        <f>"Q"</f>
        <v>Q</v>
      </c>
      <c r="AE387">
        <v>1991</v>
      </c>
      <c r="AF387">
        <v>2015</v>
      </c>
      <c r="AG387" t="str">
        <f>"Marseille"</f>
        <v>Marseille</v>
      </c>
      <c r="AH387" t="str">
        <f>"Marseille"</f>
        <v>Marseille</v>
      </c>
      <c r="AI387" t="str">
        <f>""</f>
        <v/>
      </c>
      <c r="AJ387" t="str">
        <f>"DEUG A"</f>
        <v>DEUG A</v>
      </c>
      <c r="AK387" t="str">
        <f>""</f>
        <v/>
      </c>
      <c r="AL387">
        <v>99</v>
      </c>
      <c r="AM387" t="str">
        <f>""</f>
        <v/>
      </c>
      <c r="AN387" t="str">
        <f>""</f>
        <v/>
      </c>
      <c r="AO387" t="str">
        <f>"Parc des Loges"</f>
        <v>Parc des Loges</v>
      </c>
      <c r="AP387" t="str">
        <f>"EVRY"</f>
        <v>EVRY</v>
      </c>
      <c r="AQ387" t="str">
        <f>"Versailles"</f>
        <v>Versailles</v>
      </c>
    </row>
    <row r="388" spans="1:43" x14ac:dyDescent="0.25">
      <c r="A388" t="str">
        <f t="shared" si="73"/>
        <v>3A Att sortant,T00000</v>
      </c>
      <c r="B388" t="str">
        <f>"CARRERE"</f>
        <v>CARRERE</v>
      </c>
      <c r="C388" t="str">
        <f>"Gaëtan"</f>
        <v>Gaëtan</v>
      </c>
      <c r="D388" t="str">
        <f>"021-2032"</f>
        <v>021-2032</v>
      </c>
      <c r="E388" t="str">
        <f>"050265312JJ"</f>
        <v>050265312JJ</v>
      </c>
      <c r="F388" t="str">
        <f t="shared" si="75"/>
        <v>0352480F</v>
      </c>
      <c r="G388" t="str">
        <f t="shared" si="76"/>
        <v>O</v>
      </c>
      <c r="H388">
        <v>10</v>
      </c>
      <c r="I388">
        <v>2002</v>
      </c>
      <c r="J388">
        <v>1</v>
      </c>
      <c r="K388" t="str">
        <f t="shared" ref="K388:K395" si="77">"S"</f>
        <v>S</v>
      </c>
      <c r="L388">
        <v>11</v>
      </c>
      <c r="M388">
        <v>2019</v>
      </c>
      <c r="N388" t="str">
        <f t="shared" si="74"/>
        <v>E</v>
      </c>
      <c r="O388" t="str">
        <f>"D"</f>
        <v>D</v>
      </c>
      <c r="P388">
        <v>0</v>
      </c>
      <c r="Q388">
        <v>100</v>
      </c>
      <c r="R388">
        <v>100</v>
      </c>
      <c r="S388">
        <v>35170</v>
      </c>
      <c r="T388">
        <v>100</v>
      </c>
      <c r="U388">
        <v>35170</v>
      </c>
      <c r="V388" t="str">
        <f>"TOEIC à l'ENSAI le 19/05/2022: score 970"</f>
        <v>TOEIC à l'ENSAI le 19/05/2022: score 970</v>
      </c>
      <c r="W388">
        <v>33</v>
      </c>
      <c r="X388">
        <v>0</v>
      </c>
      <c r="Y388">
        <v>6000577</v>
      </c>
      <c r="Z388" t="str">
        <f>""</f>
        <v/>
      </c>
      <c r="AA388">
        <v>27</v>
      </c>
      <c r="AB388" t="str">
        <f>""</f>
        <v/>
      </c>
      <c r="AC388" t="str">
        <f>""</f>
        <v/>
      </c>
      <c r="AD388" t="str">
        <f>""</f>
        <v/>
      </c>
      <c r="AE388">
        <v>2019</v>
      </c>
      <c r="AF388">
        <v>2021</v>
      </c>
      <c r="AG388" t="str">
        <f>"BRUZ"</f>
        <v>BRUZ</v>
      </c>
      <c r="AH388" t="str">
        <f>"BRUZ"</f>
        <v>BRUZ</v>
      </c>
      <c r="AI388" t="str">
        <f>""</f>
        <v/>
      </c>
      <c r="AJ388" t="str">
        <f>""</f>
        <v/>
      </c>
      <c r="AK388" t="str">
        <f>""</f>
        <v/>
      </c>
      <c r="AL388">
        <v>33</v>
      </c>
      <c r="AM388" t="str">
        <f>""</f>
        <v/>
      </c>
      <c r="AN388" t="str">
        <f>""</f>
        <v/>
      </c>
      <c r="AO388" t="str">
        <f>"Lycée Jean Moulin"</f>
        <v>Lycée Jean Moulin</v>
      </c>
      <c r="AP388" t="str">
        <f>"PEZENAS"</f>
        <v>PEZENAS</v>
      </c>
      <c r="AQ388" t="str">
        <f>"Montpellier"</f>
        <v>Montpellier</v>
      </c>
    </row>
    <row r="389" spans="1:43" x14ac:dyDescent="0.25">
      <c r="A389" t="str">
        <f t="shared" si="73"/>
        <v>3A Att sortant,T00000</v>
      </c>
      <c r="B389" t="str">
        <f>"DAO"</f>
        <v>DAO</v>
      </c>
      <c r="C389" t="str">
        <f>"Maha"</f>
        <v>Maha</v>
      </c>
      <c r="D389" t="str">
        <f>"021-1944"</f>
        <v>021-1944</v>
      </c>
      <c r="E389" t="str">
        <f>"081021517GB"</f>
        <v>081021517GB</v>
      </c>
      <c r="F389" t="str">
        <f t="shared" si="75"/>
        <v>0352480F</v>
      </c>
      <c r="G389" t="str">
        <f t="shared" si="76"/>
        <v>O</v>
      </c>
      <c r="H389">
        <v>10</v>
      </c>
      <c r="I389">
        <v>2000</v>
      </c>
      <c r="J389">
        <v>2</v>
      </c>
      <c r="K389" t="str">
        <f t="shared" si="77"/>
        <v>S</v>
      </c>
      <c r="L389">
        <v>9</v>
      </c>
      <c r="M389">
        <v>2018</v>
      </c>
      <c r="N389" t="str">
        <f t="shared" si="74"/>
        <v>E</v>
      </c>
      <c r="O389" t="str">
        <f>"N"</f>
        <v>N</v>
      </c>
      <c r="P389">
        <v>0</v>
      </c>
      <c r="Q389">
        <v>100</v>
      </c>
      <c r="R389">
        <v>100</v>
      </c>
      <c r="S389">
        <v>35170</v>
      </c>
      <c r="T389">
        <v>100</v>
      </c>
      <c r="U389">
        <v>35170</v>
      </c>
      <c r="V389" t="str">
        <f>"TOEIC à l'ENSAI le 19/05/2022: score 990"</f>
        <v>TOEIC à l'ENSAI le 19/05/2022: score 990</v>
      </c>
      <c r="W389">
        <v>45</v>
      </c>
      <c r="X389">
        <v>0</v>
      </c>
      <c r="Y389">
        <v>6000577</v>
      </c>
      <c r="Z389" t="str">
        <f>""</f>
        <v/>
      </c>
      <c r="AA389">
        <v>27</v>
      </c>
      <c r="AB389" t="str">
        <f>""</f>
        <v/>
      </c>
      <c r="AC389" t="str">
        <f>""</f>
        <v/>
      </c>
      <c r="AD389" t="str">
        <f>""</f>
        <v/>
      </c>
      <c r="AE389">
        <v>2018</v>
      </c>
      <c r="AF389">
        <v>2021</v>
      </c>
      <c r="AG389" t="str">
        <f>"BRUZ"</f>
        <v>BRUZ</v>
      </c>
      <c r="AH389" t="str">
        <f>"BRUZ"</f>
        <v>BRUZ</v>
      </c>
      <c r="AI389" t="str">
        <f>""</f>
        <v/>
      </c>
      <c r="AJ389" t="str">
        <f>""</f>
        <v/>
      </c>
      <c r="AK389" t="str">
        <f>""</f>
        <v/>
      </c>
      <c r="AL389">
        <v>43</v>
      </c>
      <c r="AM389" t="str">
        <f>""</f>
        <v/>
      </c>
      <c r="AN389" t="str">
        <f>""</f>
        <v/>
      </c>
      <c r="AO389" t="str">
        <f>"Lycée International Montebello"</f>
        <v>Lycée International Montebello</v>
      </c>
      <c r="AP389" t="str">
        <f>"LILLE"</f>
        <v>LILLE</v>
      </c>
      <c r="AQ389" t="str">
        <f>"Lille"</f>
        <v>Lille</v>
      </c>
    </row>
    <row r="390" spans="1:43" x14ac:dyDescent="0.25">
      <c r="A390" t="str">
        <f t="shared" si="73"/>
        <v>3A Att sortant,T00000</v>
      </c>
      <c r="B390" t="str">
        <f>"DAVID"</f>
        <v>DAVID</v>
      </c>
      <c r="C390" t="str">
        <f>"Maëlys"</f>
        <v>Maëlys</v>
      </c>
      <c r="D390" t="str">
        <f>"019-1565"</f>
        <v>019-1565</v>
      </c>
      <c r="E390" t="str">
        <f>"1410009519T"</f>
        <v>1410009519T</v>
      </c>
      <c r="F390" t="str">
        <f t="shared" si="75"/>
        <v>0352480F</v>
      </c>
      <c r="G390" t="str">
        <f t="shared" si="76"/>
        <v>O</v>
      </c>
      <c r="H390">
        <v>10</v>
      </c>
      <c r="I390">
        <v>2000</v>
      </c>
      <c r="J390">
        <v>2</v>
      </c>
      <c r="K390" t="str">
        <f t="shared" si="77"/>
        <v>S</v>
      </c>
      <c r="L390">
        <v>14</v>
      </c>
      <c r="M390">
        <v>2017</v>
      </c>
      <c r="N390" t="str">
        <f t="shared" si="74"/>
        <v>E</v>
      </c>
      <c r="O390" t="str">
        <f>"A"</f>
        <v>A</v>
      </c>
      <c r="P390">
        <v>0</v>
      </c>
      <c r="Q390">
        <v>100</v>
      </c>
      <c r="R390">
        <v>100</v>
      </c>
      <c r="S390">
        <v>35170</v>
      </c>
      <c r="T390">
        <v>100</v>
      </c>
      <c r="U390">
        <v>35170</v>
      </c>
      <c r="V390" t="str">
        <f>""</f>
        <v/>
      </c>
      <c r="W390">
        <v>38</v>
      </c>
      <c r="X390">
        <v>0</v>
      </c>
      <c r="Y390">
        <v>6000577</v>
      </c>
      <c r="Z390" t="str">
        <f>""</f>
        <v/>
      </c>
      <c r="AA390">
        <v>27</v>
      </c>
      <c r="AB390" t="str">
        <f>""</f>
        <v/>
      </c>
      <c r="AC390" t="str">
        <f>""</f>
        <v/>
      </c>
      <c r="AD390" t="str">
        <f>""</f>
        <v/>
      </c>
      <c r="AE390">
        <v>2017</v>
      </c>
      <c r="AF390">
        <v>2019</v>
      </c>
      <c r="AG390" t="str">
        <f>"Bruz"</f>
        <v>Bruz</v>
      </c>
      <c r="AH390" t="str">
        <f>"Bruz"</f>
        <v>Bruz</v>
      </c>
      <c r="AI390" t="str">
        <f>""</f>
        <v/>
      </c>
      <c r="AJ390" t="str">
        <f>""</f>
        <v/>
      </c>
      <c r="AK390" t="str">
        <f>""</f>
        <v/>
      </c>
      <c r="AL390">
        <v>47</v>
      </c>
      <c r="AM390" t="str">
        <f>""</f>
        <v/>
      </c>
      <c r="AN390" t="str">
        <f>""</f>
        <v/>
      </c>
      <c r="AO390" t="str">
        <f>"Amiral Ronarc'h"</f>
        <v>Amiral Ronarc'h</v>
      </c>
      <c r="AP390" t="str">
        <f>"BREST"</f>
        <v>BREST</v>
      </c>
      <c r="AQ390" t="str">
        <f>"Rennes"</f>
        <v>Rennes</v>
      </c>
    </row>
    <row r="391" spans="1:43" x14ac:dyDescent="0.25">
      <c r="A391" t="str">
        <f t="shared" si="73"/>
        <v>3A Att sortant,T00000</v>
      </c>
      <c r="B391" t="str">
        <f>"DESCAMPS"</f>
        <v>DESCAMPS</v>
      </c>
      <c r="C391" t="str">
        <f>"Baptiste"</f>
        <v>Baptiste</v>
      </c>
      <c r="D391" t="str">
        <f>"021-2060"</f>
        <v>021-2060</v>
      </c>
      <c r="E391" t="str">
        <f>"081365669GF"</f>
        <v>081365669GF</v>
      </c>
      <c r="F391" t="str">
        <f t="shared" si="75"/>
        <v>0352480F</v>
      </c>
      <c r="G391" t="str">
        <f t="shared" si="76"/>
        <v>O</v>
      </c>
      <c r="H391">
        <v>10</v>
      </c>
      <c r="I391">
        <v>2001</v>
      </c>
      <c r="J391">
        <v>1</v>
      </c>
      <c r="K391" t="str">
        <f t="shared" si="77"/>
        <v>S</v>
      </c>
      <c r="L391">
        <v>7</v>
      </c>
      <c r="M391">
        <v>2019</v>
      </c>
      <c r="N391" t="str">
        <f t="shared" si="74"/>
        <v>E</v>
      </c>
      <c r="O391" t="str">
        <f>"I"</f>
        <v>I</v>
      </c>
      <c r="P391">
        <v>0</v>
      </c>
      <c r="Q391">
        <v>100</v>
      </c>
      <c r="R391">
        <v>100</v>
      </c>
      <c r="S391">
        <v>35200</v>
      </c>
      <c r="T391">
        <v>100</v>
      </c>
      <c r="U391">
        <v>35200</v>
      </c>
      <c r="V391" t="str">
        <f>""</f>
        <v/>
      </c>
      <c r="W391">
        <v>35</v>
      </c>
      <c r="X391">
        <v>0</v>
      </c>
      <c r="Y391">
        <v>6000577</v>
      </c>
      <c r="Z391" t="str">
        <f>""</f>
        <v/>
      </c>
      <c r="AA391">
        <v>27</v>
      </c>
      <c r="AB391" t="str">
        <f>""</f>
        <v/>
      </c>
      <c r="AC391" t="str">
        <f>""</f>
        <v/>
      </c>
      <c r="AD391" t="str">
        <f>""</f>
        <v/>
      </c>
      <c r="AE391">
        <v>2019</v>
      </c>
      <c r="AF391">
        <v>2021</v>
      </c>
      <c r="AG391" t="str">
        <f>"Rennes"</f>
        <v>Rennes</v>
      </c>
      <c r="AH391" t="str">
        <f>"Rennes"</f>
        <v>Rennes</v>
      </c>
      <c r="AI391" t="str">
        <f>""</f>
        <v/>
      </c>
      <c r="AJ391" t="str">
        <f>""</f>
        <v/>
      </c>
      <c r="AK391" t="str">
        <f>""</f>
        <v/>
      </c>
      <c r="AL391">
        <v>43</v>
      </c>
      <c r="AM391" t="str">
        <f>""</f>
        <v/>
      </c>
      <c r="AN391" t="str">
        <f>""</f>
        <v/>
      </c>
      <c r="AO391" t="str">
        <f>"Montchapet"</f>
        <v>Montchapet</v>
      </c>
      <c r="AP391" t="str">
        <f>"DIJON"</f>
        <v>DIJON</v>
      </c>
      <c r="AQ391" t="str">
        <f>"Dijon"</f>
        <v>Dijon</v>
      </c>
    </row>
    <row r="392" spans="1:43" x14ac:dyDescent="0.25">
      <c r="A392" t="str">
        <f t="shared" si="73"/>
        <v>3A Att sortant,T00000</v>
      </c>
      <c r="B392" t="str">
        <f>"DUPIN"</f>
        <v>DUPIN</v>
      </c>
      <c r="C392" t="str">
        <f>"Jean"</f>
        <v>Jean</v>
      </c>
      <c r="D392" t="str">
        <f>"019-1538"</f>
        <v>019-1538</v>
      </c>
      <c r="E392" t="str">
        <f>"1010026382N"</f>
        <v>1010026382N</v>
      </c>
      <c r="F392" t="str">
        <f t="shared" si="75"/>
        <v>0352480F</v>
      </c>
      <c r="G392" t="str">
        <f t="shared" si="76"/>
        <v>O</v>
      </c>
      <c r="H392">
        <v>10</v>
      </c>
      <c r="I392">
        <v>1999</v>
      </c>
      <c r="J392">
        <v>1</v>
      </c>
      <c r="K392" t="str">
        <f t="shared" si="77"/>
        <v>S</v>
      </c>
      <c r="L392">
        <v>10</v>
      </c>
      <c r="M392">
        <v>2017</v>
      </c>
      <c r="N392" t="str">
        <f t="shared" si="74"/>
        <v>E</v>
      </c>
      <c r="O392" t="str">
        <f>"D"</f>
        <v>D</v>
      </c>
      <c r="P392">
        <v>0</v>
      </c>
      <c r="Q392">
        <v>100</v>
      </c>
      <c r="R392">
        <v>100</v>
      </c>
      <c r="S392">
        <v>75012</v>
      </c>
      <c r="T392">
        <v>100</v>
      </c>
      <c r="U392">
        <v>75012</v>
      </c>
      <c r="V392" t="str">
        <f>""</f>
        <v/>
      </c>
      <c r="W392">
        <v>33</v>
      </c>
      <c r="X392">
        <v>0</v>
      </c>
      <c r="Y392">
        <v>6000577</v>
      </c>
      <c r="Z392" t="str">
        <f>""</f>
        <v/>
      </c>
      <c r="AA392">
        <v>27</v>
      </c>
      <c r="AB392" t="str">
        <f>""</f>
        <v/>
      </c>
      <c r="AC392" t="str">
        <f>""</f>
        <v/>
      </c>
      <c r="AD392" t="str">
        <f>""</f>
        <v/>
      </c>
      <c r="AE392">
        <v>2017</v>
      </c>
      <c r="AF392">
        <v>2019</v>
      </c>
      <c r="AG392" t="str">
        <f>"Paris"</f>
        <v>Paris</v>
      </c>
      <c r="AH392" t="str">
        <f>"Paris"</f>
        <v>Paris</v>
      </c>
      <c r="AI392" t="str">
        <f>""</f>
        <v/>
      </c>
      <c r="AJ392" t="str">
        <f>""</f>
        <v/>
      </c>
      <c r="AK392" t="str">
        <f>""</f>
        <v/>
      </c>
      <c r="AL392">
        <v>42</v>
      </c>
      <c r="AM392" t="str">
        <f>""</f>
        <v/>
      </c>
      <c r="AN392" t="str">
        <f>""</f>
        <v/>
      </c>
      <c r="AO392" t="str">
        <f>"CHAMPAGNAT"</f>
        <v>CHAMPAGNAT</v>
      </c>
      <c r="AP392" t="str">
        <f>"SAINT SYMPHORIEN SUR COISE"</f>
        <v>SAINT SYMPHORIEN SUR COISE</v>
      </c>
      <c r="AQ392" t="str">
        <f>"Lyon"</f>
        <v>Lyon</v>
      </c>
    </row>
    <row r="393" spans="1:43" x14ac:dyDescent="0.25">
      <c r="A393" t="str">
        <f t="shared" si="73"/>
        <v>3A Att sortant,T00000</v>
      </c>
      <c r="B393" t="str">
        <f>"DURAND"</f>
        <v>DURAND</v>
      </c>
      <c r="C393" t="str">
        <f>"Fanny"</f>
        <v>Fanny</v>
      </c>
      <c r="D393" t="str">
        <f>"021-2103"</f>
        <v>021-2103</v>
      </c>
      <c r="E393" t="str">
        <f>"090991230AJ"</f>
        <v>090991230AJ</v>
      </c>
      <c r="F393" t="str">
        <f t="shared" si="75"/>
        <v>0352480F</v>
      </c>
      <c r="G393" t="str">
        <f t="shared" si="76"/>
        <v>O</v>
      </c>
      <c r="H393">
        <v>10</v>
      </c>
      <c r="I393">
        <v>2001</v>
      </c>
      <c r="J393">
        <v>2</v>
      </c>
      <c r="K393" t="str">
        <f t="shared" si="77"/>
        <v>S</v>
      </c>
      <c r="L393">
        <v>24</v>
      </c>
      <c r="M393">
        <v>2019</v>
      </c>
      <c r="N393" t="str">
        <f t="shared" si="74"/>
        <v>E</v>
      </c>
      <c r="O393" t="str">
        <f>"D"</f>
        <v>D</v>
      </c>
      <c r="P393">
        <v>0</v>
      </c>
      <c r="Q393">
        <v>100</v>
      </c>
      <c r="R393">
        <v>100</v>
      </c>
      <c r="S393">
        <v>35131</v>
      </c>
      <c r="T393">
        <v>100</v>
      </c>
      <c r="U393">
        <v>35131</v>
      </c>
      <c r="V393" t="str">
        <f>"TOEIC à l'ENSAI le 19/05/2022: score 955"</f>
        <v>TOEIC à l'ENSAI le 19/05/2022: score 955</v>
      </c>
      <c r="W393">
        <v>33</v>
      </c>
      <c r="X393">
        <v>0</v>
      </c>
      <c r="Y393">
        <v>6000577</v>
      </c>
      <c r="Z393" t="str">
        <f>""</f>
        <v/>
      </c>
      <c r="AA393">
        <v>27</v>
      </c>
      <c r="AB393" t="str">
        <f>""</f>
        <v/>
      </c>
      <c r="AC393" t="str">
        <f>""</f>
        <v/>
      </c>
      <c r="AD393" t="str">
        <f>""</f>
        <v/>
      </c>
      <c r="AE393">
        <v>2019</v>
      </c>
      <c r="AF393">
        <v>2021</v>
      </c>
      <c r="AG393" t="str">
        <f>"Chartres-de-Bretagne"</f>
        <v>Chartres-de-Bretagne</v>
      </c>
      <c r="AH393" t="str">
        <f>"Chartres-de-Bretagne"</f>
        <v>Chartres-de-Bretagne</v>
      </c>
      <c r="AI393" t="str">
        <f>""</f>
        <v/>
      </c>
      <c r="AJ393" t="str">
        <f>""</f>
        <v/>
      </c>
      <c r="AK393" t="str">
        <f>""</f>
        <v/>
      </c>
      <c r="AL393">
        <v>33</v>
      </c>
      <c r="AM393" t="str">
        <f>""</f>
        <v/>
      </c>
      <c r="AN393" t="str">
        <f>""</f>
        <v/>
      </c>
      <c r="AO393" t="str">
        <f>"Lycée Léon Blum"</f>
        <v>Lycée Léon Blum</v>
      </c>
      <c r="AP393" t="str">
        <f>"CRÉTEIL"</f>
        <v>CRÉTEIL</v>
      </c>
      <c r="AQ393" t="str">
        <f>"Créteil"</f>
        <v>Créteil</v>
      </c>
    </row>
    <row r="394" spans="1:43" x14ac:dyDescent="0.25">
      <c r="A394" t="str">
        <f t="shared" si="73"/>
        <v>3A Att sortant,T00000</v>
      </c>
      <c r="B394" t="str">
        <f>"DUVAL"</f>
        <v>DUVAL</v>
      </c>
      <c r="C394" t="str">
        <f>"Corentin"</f>
        <v>Corentin</v>
      </c>
      <c r="D394" t="str">
        <f>"021-1972"</f>
        <v>021-1972</v>
      </c>
      <c r="E394" t="str">
        <f>"070432961KH"</f>
        <v>070432961KH</v>
      </c>
      <c r="F394" t="str">
        <f t="shared" si="75"/>
        <v>0352480F</v>
      </c>
      <c r="G394" t="str">
        <f t="shared" si="76"/>
        <v>O</v>
      </c>
      <c r="H394">
        <v>10</v>
      </c>
      <c r="I394">
        <v>2001</v>
      </c>
      <c r="J394">
        <v>1</v>
      </c>
      <c r="K394" t="str">
        <f t="shared" si="77"/>
        <v>S</v>
      </c>
      <c r="L394">
        <v>17</v>
      </c>
      <c r="M394">
        <v>2019</v>
      </c>
      <c r="N394" t="str">
        <f t="shared" si="74"/>
        <v>E</v>
      </c>
      <c r="O394" t="str">
        <f>"D"</f>
        <v>D</v>
      </c>
      <c r="P394">
        <v>0</v>
      </c>
      <c r="Q394">
        <v>100</v>
      </c>
      <c r="R394">
        <v>100</v>
      </c>
      <c r="S394">
        <v>35136</v>
      </c>
      <c r="T394">
        <v>100</v>
      </c>
      <c r="U394">
        <v>35136</v>
      </c>
      <c r="V394" t="str">
        <f>""</f>
        <v/>
      </c>
      <c r="W394">
        <v>46</v>
      </c>
      <c r="X394">
        <v>0</v>
      </c>
      <c r="Y394">
        <v>6000577</v>
      </c>
      <c r="Z394" t="str">
        <f>""</f>
        <v/>
      </c>
      <c r="AA394">
        <v>27</v>
      </c>
      <c r="AB394" t="str">
        <f>""</f>
        <v/>
      </c>
      <c r="AC394" t="str">
        <f>""</f>
        <v/>
      </c>
      <c r="AD394" t="str">
        <f>""</f>
        <v/>
      </c>
      <c r="AE394">
        <v>2019</v>
      </c>
      <c r="AF394">
        <v>2021</v>
      </c>
      <c r="AG394" t="str">
        <f>"Saint-Jacques-de-la-Lande"</f>
        <v>Saint-Jacques-de-la-Lande</v>
      </c>
      <c r="AH394" t="str">
        <f>"Saint-Jacques-de-la-Lande"</f>
        <v>Saint-Jacques-de-la-Lande</v>
      </c>
      <c r="AI394" t="str">
        <f>""</f>
        <v/>
      </c>
      <c r="AJ394" t="str">
        <f>""</f>
        <v/>
      </c>
      <c r="AK394" t="str">
        <f>""</f>
        <v/>
      </c>
      <c r="AL394">
        <v>38</v>
      </c>
      <c r="AM394" t="str">
        <f>""</f>
        <v/>
      </c>
      <c r="AN394" t="str">
        <f>""</f>
        <v/>
      </c>
      <c r="AO394" t="str">
        <f>"Lycée Aristide Briand"</f>
        <v>Lycée Aristide Briand</v>
      </c>
      <c r="AP394" t="str">
        <f>"SAINT-NAZAIRE"</f>
        <v>SAINT-NAZAIRE</v>
      </c>
      <c r="AQ394" t="str">
        <f>"Nantes"</f>
        <v>Nantes</v>
      </c>
    </row>
    <row r="395" spans="1:43" x14ac:dyDescent="0.25">
      <c r="A395" t="str">
        <f t="shared" si="73"/>
        <v>3A Att sortant,T00000</v>
      </c>
      <c r="B395" t="str">
        <f>"FAUCON"</f>
        <v>FAUCON</v>
      </c>
      <c r="C395" t="str">
        <f>"Hugues"</f>
        <v>Hugues</v>
      </c>
      <c r="D395" t="str">
        <f>"021-1977"</f>
        <v>021-1977</v>
      </c>
      <c r="E395" t="str">
        <f>"071192974HK"</f>
        <v>071192974HK</v>
      </c>
      <c r="F395" t="str">
        <f t="shared" si="75"/>
        <v>0352480F</v>
      </c>
      <c r="G395" t="str">
        <f t="shared" si="76"/>
        <v>O</v>
      </c>
      <c r="H395">
        <v>10</v>
      </c>
      <c r="I395">
        <v>2001</v>
      </c>
      <c r="J395">
        <v>1</v>
      </c>
      <c r="K395" t="str">
        <f t="shared" si="77"/>
        <v>S</v>
      </c>
      <c r="L395">
        <v>25</v>
      </c>
      <c r="M395">
        <v>2019</v>
      </c>
      <c r="N395" t="str">
        <f t="shared" si="74"/>
        <v>E</v>
      </c>
      <c r="O395" t="str">
        <f>"D"</f>
        <v>D</v>
      </c>
      <c r="P395">
        <v>0</v>
      </c>
      <c r="Q395">
        <v>100</v>
      </c>
      <c r="R395">
        <v>100</v>
      </c>
      <c r="S395">
        <v>35136</v>
      </c>
      <c r="T395">
        <v>100</v>
      </c>
      <c r="U395">
        <v>35136</v>
      </c>
      <c r="V395" t="str">
        <f>""</f>
        <v/>
      </c>
      <c r="W395">
        <v>45</v>
      </c>
      <c r="X395">
        <v>0</v>
      </c>
      <c r="Y395">
        <v>6000577</v>
      </c>
      <c r="Z395" t="str">
        <f>""</f>
        <v/>
      </c>
      <c r="AA395">
        <v>27</v>
      </c>
      <c r="AB395" t="str">
        <f>""</f>
        <v/>
      </c>
      <c r="AC395" t="str">
        <f>""</f>
        <v/>
      </c>
      <c r="AD395" t="str">
        <f>""</f>
        <v/>
      </c>
      <c r="AE395">
        <v>2019</v>
      </c>
      <c r="AF395">
        <v>2021</v>
      </c>
      <c r="AG395" t="str">
        <f>"Saint-Jacques-de-la-Lande"</f>
        <v>Saint-Jacques-de-la-Lande</v>
      </c>
      <c r="AH395" t="str">
        <f>"Saint-Jacques-de-la-Lande"</f>
        <v>Saint-Jacques-de-la-Lande</v>
      </c>
      <c r="AI395" t="str">
        <f>""</f>
        <v/>
      </c>
      <c r="AJ395" t="str">
        <f>""</f>
        <v/>
      </c>
      <c r="AK395" t="str">
        <f>""</f>
        <v/>
      </c>
      <c r="AL395">
        <v>38</v>
      </c>
      <c r="AM395" t="str">
        <f>""</f>
        <v/>
      </c>
      <c r="AN395" t="str">
        <f>""</f>
        <v/>
      </c>
      <c r="AO395" t="str">
        <f>"LYCÉE DUMONT D'URVILLE"</f>
        <v>LYCÉE DUMONT D'URVILLE</v>
      </c>
      <c r="AP395" t="str">
        <f>"MAUREPAS"</f>
        <v>MAUREPAS</v>
      </c>
      <c r="AQ395" t="str">
        <f>"Versailles"</f>
        <v>Versailles</v>
      </c>
    </row>
    <row r="396" spans="1:43" x14ac:dyDescent="0.25">
      <c r="A396" t="str">
        <f t="shared" si="73"/>
        <v>3A Att sortant,T00000</v>
      </c>
      <c r="B396" t="str">
        <f>"FEAUX DE LACROIX"</f>
        <v>FEAUX DE LACROIX</v>
      </c>
      <c r="C396" t="str">
        <f>"Christian"</f>
        <v>Christian</v>
      </c>
      <c r="D396" t="str">
        <f>"017-1064"</f>
        <v>017-1064</v>
      </c>
      <c r="E396" t="str">
        <f>"07JZ4S000G4"</f>
        <v>07JZ4S000G4</v>
      </c>
      <c r="F396" t="str">
        <f t="shared" si="75"/>
        <v>0352480F</v>
      </c>
      <c r="G396" t="str">
        <f t="shared" si="76"/>
        <v>O</v>
      </c>
      <c r="H396">
        <v>10</v>
      </c>
      <c r="I396">
        <v>1967</v>
      </c>
      <c r="J396">
        <v>1</v>
      </c>
      <c r="K396">
        <v>31</v>
      </c>
      <c r="L396">
        <v>0</v>
      </c>
      <c r="M396">
        <v>1986</v>
      </c>
      <c r="N396" t="str">
        <f t="shared" si="74"/>
        <v>E</v>
      </c>
      <c r="O396" t="str">
        <f>"U"</f>
        <v>U</v>
      </c>
      <c r="P396">
        <v>0</v>
      </c>
      <c r="Q396">
        <v>109</v>
      </c>
      <c r="R396">
        <v>100</v>
      </c>
      <c r="S396">
        <v>14000</v>
      </c>
      <c r="T396">
        <v>100</v>
      </c>
      <c r="U396">
        <v>14000</v>
      </c>
      <c r="V396" t="str">
        <f>"Obtention TOEIC passé à l'ENSAI le 28/05/2018 - score 985"</f>
        <v>Obtention TOEIC passé à l'ENSAI le 28/05/2018 - score 985</v>
      </c>
      <c r="W396">
        <v>73</v>
      </c>
      <c r="X396">
        <v>0</v>
      </c>
      <c r="Y396">
        <v>6000577</v>
      </c>
      <c r="Z396" t="str">
        <f>""</f>
        <v/>
      </c>
      <c r="AA396">
        <v>27</v>
      </c>
      <c r="AB396" t="str">
        <f>""</f>
        <v/>
      </c>
      <c r="AC396" t="str">
        <f>""</f>
        <v/>
      </c>
      <c r="AD396" t="str">
        <f>""</f>
        <v/>
      </c>
      <c r="AE396">
        <v>2017</v>
      </c>
      <c r="AF396">
        <v>2017</v>
      </c>
      <c r="AG396" t="str">
        <f>"Caen"</f>
        <v>Caen</v>
      </c>
      <c r="AH396" t="str">
        <f>"Caen"</f>
        <v>Caen</v>
      </c>
      <c r="AI396" t="str">
        <f>""</f>
        <v/>
      </c>
      <c r="AJ396" t="str">
        <f>""</f>
        <v/>
      </c>
      <c r="AK396" t="str">
        <f>""</f>
        <v/>
      </c>
      <c r="AL396">
        <v>73</v>
      </c>
      <c r="AM396" t="str">
        <f>""</f>
        <v/>
      </c>
      <c r="AN396" t="str">
        <f>""</f>
        <v/>
      </c>
      <c r="AO396" t="str">
        <f>"Georg Büchner Gymnasium"</f>
        <v>Georg Büchner Gymnasium</v>
      </c>
      <c r="AP396" t="str">
        <f>"COLOGNE"</f>
        <v>COLOGNE</v>
      </c>
      <c r="AQ396" t="str">
        <f>"Etranger"</f>
        <v>Etranger</v>
      </c>
    </row>
    <row r="397" spans="1:43" x14ac:dyDescent="0.25">
      <c r="A397" t="str">
        <f t="shared" si="73"/>
        <v>3A Att sortant,T00000</v>
      </c>
      <c r="B397" t="str">
        <f>"GOURDON"</f>
        <v>GOURDON</v>
      </c>
      <c r="C397" t="str">
        <f>"Lucie"</f>
        <v>Lucie</v>
      </c>
      <c r="D397" t="str">
        <f>"023-2554"</f>
        <v>023-2554</v>
      </c>
      <c r="E397" t="str">
        <f>"90988352HD"</f>
        <v>90988352HD</v>
      </c>
      <c r="F397" t="str">
        <f t="shared" si="75"/>
        <v>0352480F</v>
      </c>
      <c r="G397" t="str">
        <f t="shared" si="76"/>
        <v>O</v>
      </c>
      <c r="H397">
        <v>10</v>
      </c>
      <c r="I397">
        <v>2001</v>
      </c>
      <c r="J397">
        <v>2</v>
      </c>
      <c r="K397" t="str">
        <f>"ES"</f>
        <v>ES</v>
      </c>
      <c r="L397">
        <v>24</v>
      </c>
      <c r="M397">
        <v>2019</v>
      </c>
      <c r="N397" t="str">
        <f>"S"</f>
        <v>S</v>
      </c>
      <c r="O397" t="str">
        <f>"Q"</f>
        <v>Q</v>
      </c>
      <c r="P397">
        <v>0</v>
      </c>
      <c r="Q397">
        <v>100</v>
      </c>
      <c r="R397">
        <v>100</v>
      </c>
      <c r="S397">
        <v>35000</v>
      </c>
      <c r="T397">
        <v>100</v>
      </c>
      <c r="U397">
        <v>35000</v>
      </c>
      <c r="V397" t="str">
        <f>""</f>
        <v/>
      </c>
      <c r="W397">
        <v>37</v>
      </c>
      <c r="X397">
        <v>0</v>
      </c>
      <c r="Y397">
        <v>6000577</v>
      </c>
      <c r="Z397" t="str">
        <f>""</f>
        <v/>
      </c>
      <c r="AA397">
        <v>27</v>
      </c>
      <c r="AB397" t="str">
        <f>""</f>
        <v/>
      </c>
      <c r="AC397" t="str">
        <f>""</f>
        <v/>
      </c>
      <c r="AD397" t="str">
        <f>""</f>
        <v/>
      </c>
      <c r="AE397">
        <v>2019</v>
      </c>
      <c r="AF397">
        <v>2023</v>
      </c>
      <c r="AG397" t="str">
        <f>"Rennes"</f>
        <v>Rennes</v>
      </c>
      <c r="AH397" t="str">
        <f>"Rennes"</f>
        <v>Rennes</v>
      </c>
      <c r="AI397" t="str">
        <f>""</f>
        <v/>
      </c>
      <c r="AJ397" t="str">
        <f>""</f>
        <v/>
      </c>
      <c r="AK397" t="str">
        <f>""</f>
        <v/>
      </c>
      <c r="AL397">
        <v>82</v>
      </c>
      <c r="AM397" t="str">
        <f>""</f>
        <v/>
      </c>
      <c r="AN397" t="str">
        <f>""</f>
        <v/>
      </c>
      <c r="AO397" t="str">
        <f>"Simone Signoret"</f>
        <v>Simone Signoret</v>
      </c>
      <c r="AP397" t="str">
        <f>"VAUX LE PÉNIL"</f>
        <v>VAUX LE PÉNIL</v>
      </c>
      <c r="AQ397" t="str">
        <f>"Créteil"</f>
        <v>Créteil</v>
      </c>
    </row>
    <row r="398" spans="1:43" x14ac:dyDescent="0.25">
      <c r="A398" t="str">
        <f t="shared" si="73"/>
        <v>3A Att sortant,T00000</v>
      </c>
      <c r="B398" t="str">
        <f>"HEARD"</f>
        <v>HEARD</v>
      </c>
      <c r="C398" t="str">
        <f>"Emma"</f>
        <v>Emma</v>
      </c>
      <c r="D398" t="str">
        <f>"021-2016"</f>
        <v>021-2016</v>
      </c>
      <c r="E398" t="str">
        <f>"071369945DG"</f>
        <v>071369945DG</v>
      </c>
      <c r="F398" t="str">
        <f t="shared" si="75"/>
        <v>0352480F</v>
      </c>
      <c r="G398" t="str">
        <f t="shared" si="76"/>
        <v>O</v>
      </c>
      <c r="H398">
        <v>10</v>
      </c>
      <c r="I398">
        <v>2001</v>
      </c>
      <c r="J398">
        <v>2</v>
      </c>
      <c r="K398" t="str">
        <f>"S"</f>
        <v>S</v>
      </c>
      <c r="L398">
        <v>5</v>
      </c>
      <c r="M398">
        <v>2019</v>
      </c>
      <c r="N398" t="str">
        <f>"E"</f>
        <v>E</v>
      </c>
      <c r="O398" t="str">
        <f>"D"</f>
        <v>D</v>
      </c>
      <c r="P398">
        <v>0</v>
      </c>
      <c r="Q398">
        <v>100</v>
      </c>
      <c r="R398">
        <v>100</v>
      </c>
      <c r="S398">
        <v>35170</v>
      </c>
      <c r="T398">
        <v>100</v>
      </c>
      <c r="U398">
        <v>35170</v>
      </c>
      <c r="V398" t="str">
        <f>"TOEIC à l'ENSAI le 19/05/2022: score 985"</f>
        <v>TOEIC à l'ENSAI le 19/05/2022: score 985</v>
      </c>
      <c r="W398">
        <v>33</v>
      </c>
      <c r="X398">
        <v>0</v>
      </c>
      <c r="Y398">
        <v>6000577</v>
      </c>
      <c r="Z398" t="str">
        <f>""</f>
        <v/>
      </c>
      <c r="AA398">
        <v>27</v>
      </c>
      <c r="AB398" t="str">
        <f>""</f>
        <v/>
      </c>
      <c r="AC398" t="str">
        <f>""</f>
        <v/>
      </c>
      <c r="AD398" t="str">
        <f>""</f>
        <v/>
      </c>
      <c r="AE398">
        <v>2019</v>
      </c>
      <c r="AF398">
        <v>2021</v>
      </c>
      <c r="AG398" t="str">
        <f>"Bruz"</f>
        <v>Bruz</v>
      </c>
      <c r="AH398" t="str">
        <f>"Bruz"</f>
        <v>Bruz</v>
      </c>
      <c r="AI398" t="str">
        <f>""</f>
        <v/>
      </c>
      <c r="AJ398" t="str">
        <f>""</f>
        <v/>
      </c>
      <c r="AK398" t="str">
        <f>""</f>
        <v/>
      </c>
      <c r="AL398">
        <v>45</v>
      </c>
      <c r="AM398" t="str">
        <f>""</f>
        <v/>
      </c>
      <c r="AN398" t="str">
        <f>""</f>
        <v/>
      </c>
      <c r="AO398" t="str">
        <f>"Jean Rostand"</f>
        <v>Jean Rostand</v>
      </c>
      <c r="AP398" t="str">
        <f>"CAEN"</f>
        <v>CAEN</v>
      </c>
      <c r="AQ398" t="str">
        <f>"Caen"</f>
        <v>Caen</v>
      </c>
    </row>
    <row r="399" spans="1:43" x14ac:dyDescent="0.25">
      <c r="A399" t="str">
        <f t="shared" si="73"/>
        <v>3A Att sortant,T00000</v>
      </c>
      <c r="B399" t="str">
        <f>"HIRTZ"</f>
        <v>HIRTZ</v>
      </c>
      <c r="C399" t="str">
        <f>"Etienne"</f>
        <v>Etienne</v>
      </c>
      <c r="D399" t="str">
        <f>"021-2022"</f>
        <v>021-2022</v>
      </c>
      <c r="E399" t="str">
        <f>"153167218FA"</f>
        <v>153167218FA</v>
      </c>
      <c r="F399" t="str">
        <f t="shared" si="75"/>
        <v>0352480F</v>
      </c>
      <c r="G399" t="str">
        <f t="shared" si="76"/>
        <v>O</v>
      </c>
      <c r="H399">
        <v>10</v>
      </c>
      <c r="I399">
        <v>2001</v>
      </c>
      <c r="J399">
        <v>1</v>
      </c>
      <c r="K399" t="str">
        <f>"S"</f>
        <v>S</v>
      </c>
      <c r="L399">
        <v>12</v>
      </c>
      <c r="M399">
        <v>2018</v>
      </c>
      <c r="N399" t="str">
        <f>"E"</f>
        <v>E</v>
      </c>
      <c r="O399" t="str">
        <f>"D"</f>
        <v>D</v>
      </c>
      <c r="P399">
        <v>0</v>
      </c>
      <c r="Q399">
        <v>100</v>
      </c>
      <c r="R399">
        <v>100</v>
      </c>
      <c r="S399">
        <v>35000</v>
      </c>
      <c r="T399">
        <v>100</v>
      </c>
      <c r="U399">
        <v>35000</v>
      </c>
      <c r="V399" t="str">
        <f>"Linguaskill General à l'ENSAI le 10/11/2022 : niveau B2 en anglais certifié (score 170)"</f>
        <v>Linguaskill General à l'ENSAI le 10/11/2022 : niveau B2 en anglais certifié (score 170)</v>
      </c>
      <c r="W399">
        <v>31</v>
      </c>
      <c r="X399">
        <v>0</v>
      </c>
      <c r="Y399">
        <v>6000577</v>
      </c>
      <c r="Z399" t="str">
        <f>""</f>
        <v/>
      </c>
      <c r="AA399">
        <v>27</v>
      </c>
      <c r="AB399" t="str">
        <f>""</f>
        <v/>
      </c>
      <c r="AC399" t="str">
        <f>""</f>
        <v/>
      </c>
      <c r="AD399" t="str">
        <f>""</f>
        <v/>
      </c>
      <c r="AE399">
        <v>2018</v>
      </c>
      <c r="AF399">
        <v>2021</v>
      </c>
      <c r="AG399" t="str">
        <f>"ennes"</f>
        <v>ennes</v>
      </c>
      <c r="AH399" t="str">
        <f>"ennes"</f>
        <v>ennes</v>
      </c>
      <c r="AI399" t="str">
        <f>""</f>
        <v/>
      </c>
      <c r="AJ399" t="str">
        <f>""</f>
        <v/>
      </c>
      <c r="AK399" t="str">
        <f>""</f>
        <v/>
      </c>
      <c r="AL399">
        <v>31</v>
      </c>
      <c r="AM399" t="str">
        <f>""</f>
        <v/>
      </c>
      <c r="AN399" t="str">
        <f>""</f>
        <v/>
      </c>
      <c r="AO399" t="str">
        <f>"Lycée Fabert"</f>
        <v>Lycée Fabert</v>
      </c>
      <c r="AP399" t="str">
        <f>"METZ"</f>
        <v>METZ</v>
      </c>
      <c r="AQ399" t="str">
        <f>"Nancy-Metz"</f>
        <v>Nancy-Metz</v>
      </c>
    </row>
    <row r="400" spans="1:43" x14ac:dyDescent="0.25">
      <c r="A400" t="str">
        <f t="shared" si="73"/>
        <v>3A Att sortant,T00000</v>
      </c>
      <c r="B400" t="str">
        <f>"IASONI"</f>
        <v>IASONI</v>
      </c>
      <c r="C400" t="str">
        <f>"Enzo"</f>
        <v>Enzo</v>
      </c>
      <c r="D400" t="str">
        <f>"017-1119"</f>
        <v>017-1119</v>
      </c>
      <c r="E400" t="str">
        <f>"2407003867B"</f>
        <v>2407003867B</v>
      </c>
      <c r="F400" t="str">
        <f t="shared" si="75"/>
        <v>0352480F</v>
      </c>
      <c r="G400" t="str">
        <f t="shared" si="76"/>
        <v>O</v>
      </c>
      <c r="H400">
        <v>10</v>
      </c>
      <c r="I400">
        <v>1996</v>
      </c>
      <c r="J400">
        <v>1</v>
      </c>
      <c r="K400" t="str">
        <f>"S"</f>
        <v>S</v>
      </c>
      <c r="L400">
        <v>24</v>
      </c>
      <c r="M400">
        <v>2014</v>
      </c>
      <c r="N400" t="str">
        <f>"E"</f>
        <v>E</v>
      </c>
      <c r="O400" t="str">
        <f>"D"</f>
        <v>D</v>
      </c>
      <c r="P400">
        <v>0</v>
      </c>
      <c r="Q400">
        <v>100</v>
      </c>
      <c r="R400">
        <v>100</v>
      </c>
      <c r="S400">
        <v>92320</v>
      </c>
      <c r="T400">
        <v>100</v>
      </c>
      <c r="U400">
        <v>92320</v>
      </c>
      <c r="V400" t="str">
        <f>"Obtention TOEIC passé à l'ENSAI le 28/05/2018 - score 950"</f>
        <v>Obtention TOEIC passé à l'ENSAI le 28/05/2018 - score 950</v>
      </c>
      <c r="W400">
        <v>54</v>
      </c>
      <c r="X400">
        <v>0</v>
      </c>
      <c r="Y400">
        <v>6000577</v>
      </c>
      <c r="Z400" t="str">
        <f>""</f>
        <v/>
      </c>
      <c r="AA400">
        <v>27</v>
      </c>
      <c r="AB400" t="str">
        <f>""</f>
        <v/>
      </c>
      <c r="AC400" t="str">
        <f>""</f>
        <v/>
      </c>
      <c r="AD400" t="str">
        <f>""</f>
        <v/>
      </c>
      <c r="AE400">
        <v>2014</v>
      </c>
      <c r="AF400">
        <v>2017</v>
      </c>
      <c r="AG400" t="str">
        <f>"CHATILLON"</f>
        <v>CHATILLON</v>
      </c>
      <c r="AH400" t="str">
        <f>"CHATILLON"</f>
        <v>CHATILLON</v>
      </c>
      <c r="AI400" t="str">
        <f>""</f>
        <v/>
      </c>
      <c r="AJ400" t="str">
        <f>""</f>
        <v/>
      </c>
      <c r="AK400" t="str">
        <f>""</f>
        <v/>
      </c>
      <c r="AL400">
        <v>48</v>
      </c>
      <c r="AM400" t="str">
        <f>""</f>
        <v/>
      </c>
      <c r="AN400" t="str">
        <f>""</f>
        <v/>
      </c>
      <c r="AO400" t="str">
        <f>"Lycée Albert Schweitzer"</f>
        <v>Lycée Albert Schweitzer</v>
      </c>
      <c r="AP400" t="str">
        <f>"LE RAINCY"</f>
        <v>LE RAINCY</v>
      </c>
      <c r="AQ400" t="str">
        <f>"Créteil"</f>
        <v>Créteil</v>
      </c>
    </row>
    <row r="401" spans="1:43" x14ac:dyDescent="0.25">
      <c r="A401" t="str">
        <f t="shared" si="73"/>
        <v>3A Att sortant,T00000</v>
      </c>
      <c r="B401" t="str">
        <f>"JAMET"</f>
        <v>JAMET</v>
      </c>
      <c r="C401" t="str">
        <f>"Lucile"</f>
        <v>Lucile</v>
      </c>
      <c r="D401" t="str">
        <f>"017-1067"</f>
        <v>017-1067</v>
      </c>
      <c r="E401" t="str">
        <f>"0897016808V"</f>
        <v>0897016808V</v>
      </c>
      <c r="F401" t="str">
        <f t="shared" si="75"/>
        <v>0352480F</v>
      </c>
      <c r="G401" t="str">
        <f t="shared" si="76"/>
        <v>O</v>
      </c>
      <c r="H401">
        <v>10</v>
      </c>
      <c r="I401">
        <v>1987</v>
      </c>
      <c r="J401">
        <v>2</v>
      </c>
      <c r="K401" t="str">
        <f>"S"</f>
        <v>S</v>
      </c>
      <c r="L401">
        <v>8</v>
      </c>
      <c r="M401">
        <v>2004</v>
      </c>
      <c r="N401" t="str">
        <f>"E"</f>
        <v>E</v>
      </c>
      <c r="O401" t="str">
        <f>"N"</f>
        <v>N</v>
      </c>
      <c r="P401">
        <v>0</v>
      </c>
      <c r="Q401">
        <v>100</v>
      </c>
      <c r="R401">
        <v>100</v>
      </c>
      <c r="S401">
        <v>13004</v>
      </c>
      <c r="T401">
        <v>100</v>
      </c>
      <c r="U401">
        <v>13004</v>
      </c>
      <c r="V401" t="str">
        <f>"Obtention TOEIC passé à l'ENSAI le 28/05/2018 - score 905"</f>
        <v>Obtention TOEIC passé à l'ENSAI le 28/05/2018 - score 905</v>
      </c>
      <c r="W401">
        <v>73</v>
      </c>
      <c r="X401">
        <v>0</v>
      </c>
      <c r="Y401">
        <v>6000577</v>
      </c>
      <c r="Z401" t="str">
        <f>""</f>
        <v/>
      </c>
      <c r="AA401">
        <v>27</v>
      </c>
      <c r="AB401" t="str">
        <f>""</f>
        <v/>
      </c>
      <c r="AC401" t="str">
        <f>""</f>
        <v/>
      </c>
      <c r="AD401" t="str">
        <f>""</f>
        <v/>
      </c>
      <c r="AE401">
        <v>2004</v>
      </c>
      <c r="AF401">
        <v>2017</v>
      </c>
      <c r="AG401" t="str">
        <f>"Marseille 04"</f>
        <v>Marseille 04</v>
      </c>
      <c r="AH401" t="str">
        <f>"Marseille 04"</f>
        <v>Marseille 04</v>
      </c>
      <c r="AI401" t="str">
        <f>""</f>
        <v/>
      </c>
      <c r="AJ401" t="str">
        <f>""</f>
        <v/>
      </c>
      <c r="AK401" t="str">
        <f>""</f>
        <v/>
      </c>
      <c r="AL401">
        <v>73</v>
      </c>
      <c r="AM401" t="str">
        <f>""</f>
        <v/>
      </c>
      <c r="AN401" t="str">
        <f>""</f>
        <v/>
      </c>
      <c r="AO401" t="str">
        <f>"Charles Baudelaire"</f>
        <v>Charles Baudelaire</v>
      </c>
      <c r="AP401" t="str">
        <f>"CRAN GEVRIER"</f>
        <v>CRAN GEVRIER</v>
      </c>
      <c r="AQ401" t="str">
        <f>"Grenoble"</f>
        <v>Grenoble</v>
      </c>
    </row>
    <row r="402" spans="1:43" x14ac:dyDescent="0.25">
      <c r="A402" t="str">
        <f t="shared" si="73"/>
        <v>3A Att sortant,T00000</v>
      </c>
      <c r="B402" t="str">
        <f>"JOBKEL"</f>
        <v>JOBKEL</v>
      </c>
      <c r="C402" t="str">
        <f>"Théo"</f>
        <v>Théo</v>
      </c>
      <c r="D402" t="str">
        <f>"020-1723"</f>
        <v>020-1723</v>
      </c>
      <c r="E402" t="str">
        <f>"071302361BB"</f>
        <v>071302361BB</v>
      </c>
      <c r="F402" t="str">
        <f t="shared" si="75"/>
        <v>0352480F</v>
      </c>
      <c r="G402" t="str">
        <f t="shared" si="76"/>
        <v>O</v>
      </c>
      <c r="H402">
        <v>10</v>
      </c>
      <c r="I402">
        <v>2000</v>
      </c>
      <c r="J402">
        <v>1</v>
      </c>
      <c r="K402" t="str">
        <f>"S"</f>
        <v>S</v>
      </c>
      <c r="L402">
        <v>4</v>
      </c>
      <c r="M402">
        <v>2018</v>
      </c>
      <c r="N402" t="str">
        <f>"E"</f>
        <v>E</v>
      </c>
      <c r="O402" t="str">
        <f>"D"</f>
        <v>D</v>
      </c>
      <c r="P402">
        <v>0</v>
      </c>
      <c r="Q402">
        <v>100</v>
      </c>
      <c r="R402">
        <v>100</v>
      </c>
      <c r="S402">
        <v>35000</v>
      </c>
      <c r="T402">
        <v>100</v>
      </c>
      <c r="U402">
        <v>35000</v>
      </c>
      <c r="V402" t="str">
        <f>""</f>
        <v/>
      </c>
      <c r="W402">
        <v>23</v>
      </c>
      <c r="X402">
        <v>0</v>
      </c>
      <c r="Y402">
        <v>6000577</v>
      </c>
      <c r="Z402" t="str">
        <f>""</f>
        <v/>
      </c>
      <c r="AA402">
        <v>27</v>
      </c>
      <c r="AB402" t="str">
        <f>""</f>
        <v/>
      </c>
      <c r="AC402" t="str">
        <f>""</f>
        <v/>
      </c>
      <c r="AD402" t="str">
        <f>""</f>
        <v/>
      </c>
      <c r="AE402">
        <v>2018</v>
      </c>
      <c r="AF402">
        <v>2020</v>
      </c>
      <c r="AG402" t="str">
        <f>"RENNES"</f>
        <v>RENNES</v>
      </c>
      <c r="AH402" t="str">
        <f>"RENNES"</f>
        <v>RENNES</v>
      </c>
      <c r="AI402" t="str">
        <f>""</f>
        <v/>
      </c>
      <c r="AJ402" t="str">
        <f>""</f>
        <v/>
      </c>
      <c r="AK402" t="str">
        <f>""</f>
        <v/>
      </c>
      <c r="AL402">
        <v>46</v>
      </c>
      <c r="AM402" t="str">
        <f>""</f>
        <v/>
      </c>
      <c r="AN402" t="str">
        <f>""</f>
        <v/>
      </c>
      <c r="AO402" t="str">
        <f>"Lycée Polyvalent  Gustave Eiffel"</f>
        <v>Lycée Polyvalent  Gustave Eiffel</v>
      </c>
      <c r="AP402" t="str">
        <f>"BORDEAUX"</f>
        <v>BORDEAUX</v>
      </c>
      <c r="AQ402" t="str">
        <f>"Bordeaux"</f>
        <v>Bordeaux</v>
      </c>
    </row>
    <row r="403" spans="1:43" x14ac:dyDescent="0.25">
      <c r="A403" t="str">
        <f t="shared" si="73"/>
        <v>3A Att sortant,T00000</v>
      </c>
      <c r="B403" t="str">
        <f>"KOUMA"</f>
        <v>KOUMA</v>
      </c>
      <c r="C403" t="str">
        <f>"Elodie"</f>
        <v>Elodie</v>
      </c>
      <c r="D403" t="str">
        <f>"023-2555"</f>
        <v>023-2555</v>
      </c>
      <c r="E403" t="str">
        <f>"087WLT00P4"</f>
        <v>087WLT00P4</v>
      </c>
      <c r="F403" t="str">
        <f t="shared" si="75"/>
        <v>0352480F</v>
      </c>
      <c r="G403" t="str">
        <f t="shared" si="76"/>
        <v>O</v>
      </c>
      <c r="H403">
        <v>10</v>
      </c>
      <c r="I403">
        <v>0</v>
      </c>
      <c r="J403">
        <v>2</v>
      </c>
      <c r="K403" t="str">
        <f>""</f>
        <v/>
      </c>
      <c r="L403" t="str">
        <f>""</f>
        <v/>
      </c>
      <c r="M403" t="str">
        <f>""</f>
        <v/>
      </c>
      <c r="N403" t="str">
        <f>""</f>
        <v/>
      </c>
      <c r="O403" t="str">
        <f>""</f>
        <v/>
      </c>
      <c r="P403">
        <v>0</v>
      </c>
      <c r="Q403" t="str">
        <f>""</f>
        <v/>
      </c>
      <c r="R403">
        <v>100</v>
      </c>
      <c r="S403" t="str">
        <f>""</f>
        <v/>
      </c>
      <c r="T403">
        <v>100</v>
      </c>
      <c r="U403" t="str">
        <f>""</f>
        <v/>
      </c>
      <c r="V403" t="str">
        <f>""</f>
        <v/>
      </c>
      <c r="W403">
        <v>0</v>
      </c>
      <c r="X403">
        <v>0</v>
      </c>
      <c r="Y403">
        <v>6000577</v>
      </c>
      <c r="Z403" t="str">
        <f>""</f>
        <v/>
      </c>
      <c r="AA403">
        <v>27</v>
      </c>
      <c r="AB403" t="str">
        <f>""</f>
        <v/>
      </c>
      <c r="AC403" t="str">
        <f>""</f>
        <v/>
      </c>
      <c r="AD403" t="str">
        <f>""</f>
        <v/>
      </c>
      <c r="AE403" t="str">
        <f>""</f>
        <v/>
      </c>
      <c r="AF403">
        <v>2023</v>
      </c>
      <c r="AG403" t="str">
        <f>""</f>
        <v/>
      </c>
      <c r="AH403" t="str">
        <f>""</f>
        <v/>
      </c>
      <c r="AI403" t="str">
        <f>""</f>
        <v/>
      </c>
      <c r="AJ403" t="str">
        <f>""</f>
        <v/>
      </c>
      <c r="AK403" t="str">
        <f>""</f>
        <v/>
      </c>
      <c r="AL403">
        <v>0</v>
      </c>
      <c r="AM403" t="str">
        <f>""</f>
        <v/>
      </c>
      <c r="AN403" t="str">
        <f>""</f>
        <v/>
      </c>
      <c r="AO403" t="str">
        <f>""</f>
        <v/>
      </c>
      <c r="AP403" t="str">
        <f>""</f>
        <v/>
      </c>
      <c r="AQ403" t="str">
        <f>""</f>
        <v/>
      </c>
    </row>
    <row r="404" spans="1:43" x14ac:dyDescent="0.25">
      <c r="A404" t="str">
        <f t="shared" si="73"/>
        <v>3A Att sortant,T00000</v>
      </c>
      <c r="B404" t="str">
        <f>"LE BIHAN"</f>
        <v>LE BIHAN</v>
      </c>
      <c r="C404" t="str">
        <f>"Evan"</f>
        <v>Evan</v>
      </c>
      <c r="D404" t="str">
        <f>"020-1871"</f>
        <v>020-1871</v>
      </c>
      <c r="E404" t="str">
        <f>"153224296AJ"</f>
        <v>153224296AJ</v>
      </c>
      <c r="F404" t="str">
        <f t="shared" si="75"/>
        <v>0352480F</v>
      </c>
      <c r="G404" t="str">
        <f t="shared" si="76"/>
        <v>O</v>
      </c>
      <c r="H404">
        <v>10</v>
      </c>
      <c r="I404">
        <v>2000</v>
      </c>
      <c r="J404">
        <v>1</v>
      </c>
      <c r="K404" t="str">
        <f>"S"</f>
        <v>S</v>
      </c>
      <c r="L404">
        <v>14</v>
      </c>
      <c r="M404">
        <v>2018</v>
      </c>
      <c r="N404" t="str">
        <f>"E"</f>
        <v>E</v>
      </c>
      <c r="O404" t="str">
        <f>"D"</f>
        <v>D</v>
      </c>
      <c r="P404">
        <v>0</v>
      </c>
      <c r="Q404">
        <v>100</v>
      </c>
      <c r="R404">
        <v>100</v>
      </c>
      <c r="S404">
        <v>35170</v>
      </c>
      <c r="T404">
        <v>100</v>
      </c>
      <c r="U404">
        <v>35170</v>
      </c>
      <c r="V404" t="str">
        <f>""</f>
        <v/>
      </c>
      <c r="W404">
        <v>47</v>
      </c>
      <c r="X404">
        <v>0</v>
      </c>
      <c r="Y404">
        <v>6000577</v>
      </c>
      <c r="Z404" t="str">
        <f>""</f>
        <v/>
      </c>
      <c r="AA404">
        <v>27</v>
      </c>
      <c r="AB404" t="str">
        <f>""</f>
        <v/>
      </c>
      <c r="AC404" t="str">
        <f>""</f>
        <v/>
      </c>
      <c r="AD404" t="str">
        <f>""</f>
        <v/>
      </c>
      <c r="AE404">
        <v>2018</v>
      </c>
      <c r="AF404">
        <v>2020</v>
      </c>
      <c r="AG404" t="str">
        <f>"BRUZ"</f>
        <v>BRUZ</v>
      </c>
      <c r="AH404" t="str">
        <f>"BRUZ"</f>
        <v>BRUZ</v>
      </c>
      <c r="AI404" t="str">
        <f>""</f>
        <v/>
      </c>
      <c r="AJ404" t="str">
        <f>""</f>
        <v/>
      </c>
      <c r="AK404" t="str">
        <f>""</f>
        <v/>
      </c>
      <c r="AL404">
        <v>45</v>
      </c>
      <c r="AM404" t="str">
        <f>""</f>
        <v/>
      </c>
      <c r="AN404" t="str">
        <f>""</f>
        <v/>
      </c>
      <c r="AO404" t="str">
        <f>"JEANNE D'ARC"</f>
        <v>JEANNE D'ARC</v>
      </c>
      <c r="AP404" t="str">
        <f>"PONTIVY"</f>
        <v>PONTIVY</v>
      </c>
      <c r="AQ404" t="str">
        <f>"Rennes"</f>
        <v>Rennes</v>
      </c>
    </row>
    <row r="405" spans="1:43" x14ac:dyDescent="0.25">
      <c r="A405" t="str">
        <f t="shared" si="73"/>
        <v>3A Att sortant,T00000</v>
      </c>
      <c r="B405" t="str">
        <f>"LE MAUX"</f>
        <v>LE MAUX</v>
      </c>
      <c r="C405" t="str">
        <f>"Pierre"</f>
        <v>Pierre</v>
      </c>
      <c r="D405" t="str">
        <f>"020-1850"</f>
        <v>020-1850</v>
      </c>
      <c r="E405" t="str">
        <f>"1410046189B"</f>
        <v>1410046189B</v>
      </c>
      <c r="F405" t="str">
        <f t="shared" si="75"/>
        <v>0352480F</v>
      </c>
      <c r="G405" t="str">
        <f t="shared" si="76"/>
        <v>O</v>
      </c>
      <c r="H405">
        <v>10</v>
      </c>
      <c r="I405">
        <v>1999</v>
      </c>
      <c r="J405">
        <v>1</v>
      </c>
      <c r="K405" t="str">
        <f>"S"</f>
        <v>S</v>
      </c>
      <c r="L405">
        <v>14</v>
      </c>
      <c r="M405">
        <v>2017</v>
      </c>
      <c r="N405" t="str">
        <f>"E"</f>
        <v>E</v>
      </c>
      <c r="O405" t="str">
        <f>"A"</f>
        <v>A</v>
      </c>
      <c r="P405">
        <v>0</v>
      </c>
      <c r="Q405">
        <v>100</v>
      </c>
      <c r="R405">
        <v>100</v>
      </c>
      <c r="S405">
        <v>35170</v>
      </c>
      <c r="T405">
        <v>100</v>
      </c>
      <c r="U405">
        <v>35170</v>
      </c>
      <c r="V405" t="str">
        <f>"TOEIC à l'ENSAI le 2/11/2022 - 710"</f>
        <v>TOEIC à l'ENSAI le 2/11/2022 - 710</v>
      </c>
      <c r="W405">
        <v>22</v>
      </c>
      <c r="X405">
        <v>0</v>
      </c>
      <c r="Y405">
        <v>6000577</v>
      </c>
      <c r="Z405" t="str">
        <f>""</f>
        <v/>
      </c>
      <c r="AA405">
        <v>27</v>
      </c>
      <c r="AB405" t="str">
        <f>""</f>
        <v/>
      </c>
      <c r="AC405" t="str">
        <f>""</f>
        <v/>
      </c>
      <c r="AD405" t="str">
        <f>""</f>
        <v/>
      </c>
      <c r="AE405">
        <v>2017</v>
      </c>
      <c r="AF405">
        <v>2020</v>
      </c>
      <c r="AG405" t="str">
        <f>"Bruz"</f>
        <v>Bruz</v>
      </c>
      <c r="AH405" t="str">
        <f>"Bruz"</f>
        <v>Bruz</v>
      </c>
      <c r="AI405" t="str">
        <f>""</f>
        <v/>
      </c>
      <c r="AJ405" t="str">
        <f>""</f>
        <v/>
      </c>
      <c r="AK405" t="str">
        <f>""</f>
        <v/>
      </c>
      <c r="AL405">
        <v>34</v>
      </c>
      <c r="AM405" t="str">
        <f>""</f>
        <v/>
      </c>
      <c r="AN405" t="str">
        <f>""</f>
        <v/>
      </c>
      <c r="AO405" t="str">
        <f>"Lycée Notre Dame du Mur - Le Porsmeur"</f>
        <v>Lycée Notre Dame du Mur - Le Porsmeur</v>
      </c>
      <c r="AP405" t="str">
        <f>"MORLAIX"</f>
        <v>MORLAIX</v>
      </c>
      <c r="AQ405" t="str">
        <f>"Rennes"</f>
        <v>Rennes</v>
      </c>
    </row>
    <row r="406" spans="1:43" x14ac:dyDescent="0.25">
      <c r="A406" t="str">
        <f t="shared" si="73"/>
        <v>3A Att sortant,T00000</v>
      </c>
      <c r="B406" t="str">
        <f>"LEJAS"</f>
        <v>LEJAS</v>
      </c>
      <c r="C406" t="str">
        <f>"Jules"</f>
        <v>Jules</v>
      </c>
      <c r="D406" t="str">
        <f>"021-2095"</f>
        <v>021-2095</v>
      </c>
      <c r="E406" t="str">
        <f>"070082617HH"</f>
        <v>070082617HH</v>
      </c>
      <c r="F406" t="str">
        <f t="shared" si="75"/>
        <v>0352480F</v>
      </c>
      <c r="G406" t="str">
        <f t="shared" si="76"/>
        <v>O</v>
      </c>
      <c r="H406">
        <v>10</v>
      </c>
      <c r="I406">
        <v>2001</v>
      </c>
      <c r="J406">
        <v>1</v>
      </c>
      <c r="K406" t="str">
        <f>"S"</f>
        <v>S</v>
      </c>
      <c r="L406">
        <v>4</v>
      </c>
      <c r="M406">
        <v>2019</v>
      </c>
      <c r="N406" t="str">
        <f>"E"</f>
        <v>E</v>
      </c>
      <c r="O406" t="str">
        <f>"A"</f>
        <v>A</v>
      </c>
      <c r="P406">
        <v>0</v>
      </c>
      <c r="Q406">
        <v>100</v>
      </c>
      <c r="R406">
        <v>100</v>
      </c>
      <c r="S406">
        <v>35170</v>
      </c>
      <c r="T406">
        <v>100</v>
      </c>
      <c r="U406">
        <v>35170</v>
      </c>
      <c r="V406" t="str">
        <f>"TOEIC 2A à l'ENSAI le 01/09/2023 - score 855"</f>
        <v>TOEIC 2A à l'ENSAI le 01/09/2023 - score 855</v>
      </c>
      <c r="W406">
        <v>38</v>
      </c>
      <c r="X406">
        <v>0</v>
      </c>
      <c r="Y406">
        <v>6000577</v>
      </c>
      <c r="Z406" t="str">
        <f>""</f>
        <v/>
      </c>
      <c r="AA406">
        <v>27</v>
      </c>
      <c r="AB406" t="str">
        <f>""</f>
        <v/>
      </c>
      <c r="AC406" t="str">
        <f>""</f>
        <v/>
      </c>
      <c r="AD406" t="str">
        <f>""</f>
        <v/>
      </c>
      <c r="AE406">
        <v>2019</v>
      </c>
      <c r="AF406">
        <v>2021</v>
      </c>
      <c r="AG406" t="str">
        <f>"Bruz"</f>
        <v>Bruz</v>
      </c>
      <c r="AH406" t="str">
        <f>"Bruz"</f>
        <v>Bruz</v>
      </c>
      <c r="AI406" t="str">
        <f>""</f>
        <v/>
      </c>
      <c r="AJ406" t="str">
        <f>""</f>
        <v/>
      </c>
      <c r="AK406" t="str">
        <f>""</f>
        <v/>
      </c>
      <c r="AL406">
        <v>31</v>
      </c>
      <c r="AM406" t="str">
        <f>""</f>
        <v/>
      </c>
      <c r="AN406" t="str">
        <f>""</f>
        <v/>
      </c>
      <c r="AO406" t="str">
        <f>"SUD Médoc"</f>
        <v>SUD Médoc</v>
      </c>
      <c r="AP406" t="str">
        <f>"LE TAILLAN MÉDOC"</f>
        <v>LE TAILLAN MÉDOC</v>
      </c>
      <c r="AQ406" t="str">
        <f>"Bordeaux"</f>
        <v>Bordeaux</v>
      </c>
    </row>
    <row r="407" spans="1:43" x14ac:dyDescent="0.25">
      <c r="A407" t="str">
        <f t="shared" ref="A407:A426" si="78">"3A Att sortant,T00000"</f>
        <v>3A Att sortant,T00000</v>
      </c>
      <c r="B407" t="str">
        <f>"LELOIRE"</f>
        <v>LELOIRE</v>
      </c>
      <c r="C407" t="str">
        <f>"Valentine"</f>
        <v>Valentine</v>
      </c>
      <c r="D407" t="str">
        <f>"023-2557"</f>
        <v>023-2557</v>
      </c>
      <c r="E407" t="str">
        <f>"70270238FE"</f>
        <v>70270238FE</v>
      </c>
      <c r="F407" t="str">
        <f t="shared" si="75"/>
        <v>0352480F</v>
      </c>
      <c r="G407" t="str">
        <f t="shared" si="76"/>
        <v>O</v>
      </c>
      <c r="H407">
        <v>10</v>
      </c>
      <c r="I407">
        <v>0</v>
      </c>
      <c r="J407">
        <v>2</v>
      </c>
      <c r="K407" t="str">
        <f>""</f>
        <v/>
      </c>
      <c r="L407" t="str">
        <f>""</f>
        <v/>
      </c>
      <c r="M407" t="str">
        <f>""</f>
        <v/>
      </c>
      <c r="N407" t="str">
        <f>""</f>
        <v/>
      </c>
      <c r="O407" t="str">
        <f>""</f>
        <v/>
      </c>
      <c r="P407">
        <v>0</v>
      </c>
      <c r="Q407" t="str">
        <f>""</f>
        <v/>
      </c>
      <c r="R407">
        <v>100</v>
      </c>
      <c r="S407" t="str">
        <f>""</f>
        <v/>
      </c>
      <c r="T407">
        <v>100</v>
      </c>
      <c r="U407" t="str">
        <f>""</f>
        <v/>
      </c>
      <c r="V407" t="str">
        <f>""</f>
        <v/>
      </c>
      <c r="W407">
        <v>0</v>
      </c>
      <c r="X407">
        <v>0</v>
      </c>
      <c r="Y407">
        <v>6000577</v>
      </c>
      <c r="Z407" t="str">
        <f>""</f>
        <v/>
      </c>
      <c r="AA407">
        <v>27</v>
      </c>
      <c r="AB407" t="str">
        <f>""</f>
        <v/>
      </c>
      <c r="AC407" t="str">
        <f>""</f>
        <v/>
      </c>
      <c r="AD407" t="str">
        <f>""</f>
        <v/>
      </c>
      <c r="AE407" t="str">
        <f>""</f>
        <v/>
      </c>
      <c r="AF407">
        <v>2023</v>
      </c>
      <c r="AG407" t="str">
        <f>""</f>
        <v/>
      </c>
      <c r="AH407" t="str">
        <f>""</f>
        <v/>
      </c>
      <c r="AI407" t="str">
        <f>""</f>
        <v/>
      </c>
      <c r="AJ407" t="str">
        <f>""</f>
        <v/>
      </c>
      <c r="AK407" t="str">
        <f>""</f>
        <v/>
      </c>
      <c r="AL407">
        <v>0</v>
      </c>
      <c r="AM407" t="str">
        <f>""</f>
        <v/>
      </c>
      <c r="AN407" t="str">
        <f>""</f>
        <v/>
      </c>
      <c r="AO407" t="str">
        <f>""</f>
        <v/>
      </c>
      <c r="AP407" t="str">
        <f>""</f>
        <v/>
      </c>
      <c r="AQ407" t="str">
        <f>""</f>
        <v/>
      </c>
    </row>
    <row r="408" spans="1:43" x14ac:dyDescent="0.25">
      <c r="A408" t="str">
        <f t="shared" si="78"/>
        <v>3A Att sortant,T00000</v>
      </c>
      <c r="B408" t="str">
        <f>"LEMAIRE"</f>
        <v>LEMAIRE</v>
      </c>
      <c r="C408" t="str">
        <f>"Dimitri"</f>
        <v>Dimitri</v>
      </c>
      <c r="D408" t="str">
        <f>"018-1378"</f>
        <v>018-1378</v>
      </c>
      <c r="E408" t="str">
        <f>"1607023685A"</f>
        <v>1607023685A</v>
      </c>
      <c r="F408" t="str">
        <f t="shared" si="75"/>
        <v>0352480F</v>
      </c>
      <c r="G408" t="str">
        <f t="shared" si="76"/>
        <v>O</v>
      </c>
      <c r="H408">
        <v>10</v>
      </c>
      <c r="I408">
        <v>1997</v>
      </c>
      <c r="J408">
        <v>1</v>
      </c>
      <c r="K408" t="str">
        <f>"S"</f>
        <v>S</v>
      </c>
      <c r="L408">
        <v>16</v>
      </c>
      <c r="M408">
        <v>2014</v>
      </c>
      <c r="N408" t="str">
        <f>"E"</f>
        <v>E</v>
      </c>
      <c r="O408" t="str">
        <f>"D"</f>
        <v>D</v>
      </c>
      <c r="P408">
        <v>0</v>
      </c>
      <c r="Q408">
        <v>100</v>
      </c>
      <c r="R408">
        <v>100</v>
      </c>
      <c r="S408">
        <v>75012</v>
      </c>
      <c r="T408">
        <v>100</v>
      </c>
      <c r="U408">
        <v>75012</v>
      </c>
      <c r="V408" t="str">
        <f>""</f>
        <v/>
      </c>
      <c r="W408">
        <v>34</v>
      </c>
      <c r="X408">
        <v>0</v>
      </c>
      <c r="Y408">
        <v>6000577</v>
      </c>
      <c r="Z408" t="str">
        <f>""</f>
        <v/>
      </c>
      <c r="AA408">
        <v>27</v>
      </c>
      <c r="AB408" t="str">
        <f>""</f>
        <v/>
      </c>
      <c r="AC408" t="str">
        <f>""</f>
        <v/>
      </c>
      <c r="AD408" t="str">
        <f>""</f>
        <v/>
      </c>
      <c r="AE408">
        <v>2014</v>
      </c>
      <c r="AF408">
        <v>2018</v>
      </c>
      <c r="AG408" t="str">
        <f>"Paris"</f>
        <v>Paris</v>
      </c>
      <c r="AH408" t="str">
        <f>"Paris"</f>
        <v>Paris</v>
      </c>
      <c r="AI408" t="str">
        <f>""</f>
        <v/>
      </c>
      <c r="AJ408" t="str">
        <f>""</f>
        <v/>
      </c>
      <c r="AK408" t="str">
        <f>""</f>
        <v/>
      </c>
      <c r="AL408">
        <v>45</v>
      </c>
      <c r="AM408" t="str">
        <f>""</f>
        <v/>
      </c>
      <c r="AN408" t="str">
        <f>""</f>
        <v/>
      </c>
      <c r="AO408" t="str">
        <f>"Lycée Champollion"</f>
        <v>Lycée Champollion</v>
      </c>
      <c r="AP408" t="str">
        <f>"FIGEAC"</f>
        <v>FIGEAC</v>
      </c>
      <c r="AQ408" t="str">
        <f>"Toulouse"</f>
        <v>Toulouse</v>
      </c>
    </row>
    <row r="409" spans="1:43" x14ac:dyDescent="0.25">
      <c r="A409" t="str">
        <f t="shared" si="78"/>
        <v>3A Att sortant,T00000</v>
      </c>
      <c r="B409" t="str">
        <f>"LOAEC"</f>
        <v>LOAEC</v>
      </c>
      <c r="C409" t="str">
        <f>"Nolwenn"</f>
        <v>Nolwenn</v>
      </c>
      <c r="D409" t="str">
        <f>"021-1934"</f>
        <v>021-1934</v>
      </c>
      <c r="E409" t="str">
        <f>"1113930544V"</f>
        <v>1113930544V</v>
      </c>
      <c r="F409" t="str">
        <f t="shared" si="75"/>
        <v>0352480F</v>
      </c>
      <c r="G409" t="str">
        <f t="shared" si="76"/>
        <v>O</v>
      </c>
      <c r="H409">
        <v>10</v>
      </c>
      <c r="I409">
        <v>1996</v>
      </c>
      <c r="J409">
        <v>1</v>
      </c>
      <c r="K409">
        <v>31</v>
      </c>
      <c r="L409">
        <v>0</v>
      </c>
      <c r="M409">
        <v>2014</v>
      </c>
      <c r="N409" t="str">
        <f>"E"</f>
        <v>E</v>
      </c>
      <c r="O409" t="str">
        <f>"Q"</f>
        <v>Q</v>
      </c>
      <c r="P409">
        <v>0</v>
      </c>
      <c r="Q409">
        <v>100</v>
      </c>
      <c r="R409">
        <v>100</v>
      </c>
      <c r="S409">
        <v>35000</v>
      </c>
      <c r="T409">
        <v>100</v>
      </c>
      <c r="U409">
        <v>35000</v>
      </c>
      <c r="V409" t="str">
        <f>"TOEIC à l'ENSAI le 19/05/2022: score 980"</f>
        <v>TOEIC à l'ENSAI le 19/05/2022: score 980</v>
      </c>
      <c r="W409">
        <v>22</v>
      </c>
      <c r="X409">
        <v>0</v>
      </c>
      <c r="Y409">
        <v>6000577</v>
      </c>
      <c r="Z409" t="str">
        <f>""</f>
        <v/>
      </c>
      <c r="AA409">
        <v>27</v>
      </c>
      <c r="AB409" t="str">
        <f>""</f>
        <v/>
      </c>
      <c r="AC409" t="str">
        <f>""</f>
        <v/>
      </c>
      <c r="AD409" t="str">
        <f>""</f>
        <v/>
      </c>
      <c r="AE409">
        <v>2014</v>
      </c>
      <c r="AF409">
        <v>2021</v>
      </c>
      <c r="AG409" t="str">
        <f>"Rennes"</f>
        <v>Rennes</v>
      </c>
      <c r="AH409" t="str">
        <f>"Rennes"</f>
        <v>Rennes</v>
      </c>
      <c r="AI409" t="str">
        <f>""</f>
        <v/>
      </c>
      <c r="AJ409" t="str">
        <f>""</f>
        <v/>
      </c>
      <c r="AK409" t="str">
        <f>""</f>
        <v/>
      </c>
      <c r="AL409">
        <v>0</v>
      </c>
      <c r="AM409" t="str">
        <f>""</f>
        <v/>
      </c>
      <c r="AN409" t="str">
        <f>""</f>
        <v/>
      </c>
      <c r="AO409" t="str">
        <f>"Lycée Français de Shanghai"</f>
        <v>Lycée Français de Shanghai</v>
      </c>
      <c r="AP409" t="str">
        <f>"SHANGHAI"</f>
        <v>SHANGHAI</v>
      </c>
      <c r="AQ409" t="str">
        <f>"Etranger"</f>
        <v>Etranger</v>
      </c>
    </row>
    <row r="410" spans="1:43" x14ac:dyDescent="0.25">
      <c r="A410" t="str">
        <f t="shared" si="78"/>
        <v>3A Att sortant,T00000</v>
      </c>
      <c r="B410" t="str">
        <f>"MANUTI"</f>
        <v>MANUTI</v>
      </c>
      <c r="C410" t="str">
        <f>"Gabriella"</f>
        <v>Gabriella</v>
      </c>
      <c r="D410" t="str">
        <f>"023-2401"</f>
        <v>023-2401</v>
      </c>
      <c r="E410" t="str">
        <f>"223381509JC"</f>
        <v>223381509JC</v>
      </c>
      <c r="F410" t="str">
        <f t="shared" si="75"/>
        <v>0352480F</v>
      </c>
      <c r="G410" t="str">
        <f t="shared" si="76"/>
        <v>O</v>
      </c>
      <c r="H410">
        <v>10</v>
      </c>
      <c r="I410">
        <v>2001</v>
      </c>
      <c r="J410">
        <v>2</v>
      </c>
      <c r="K410" t="str">
        <f t="shared" ref="K410:K428" si="79">"S"</f>
        <v>S</v>
      </c>
      <c r="L410">
        <v>0</v>
      </c>
      <c r="M410">
        <v>2019</v>
      </c>
      <c r="N410" t="str">
        <f>"R"</f>
        <v>R</v>
      </c>
      <c r="O410">
        <v>2</v>
      </c>
      <c r="P410">
        <v>0</v>
      </c>
      <c r="Q410">
        <v>127</v>
      </c>
      <c r="R410">
        <v>100</v>
      </c>
      <c r="S410">
        <v>35200</v>
      </c>
      <c r="T410">
        <v>100</v>
      </c>
      <c r="U410">
        <v>35200</v>
      </c>
      <c r="V410" t="str">
        <f>""</f>
        <v/>
      </c>
      <c r="W410">
        <v>37</v>
      </c>
      <c r="X410">
        <v>0</v>
      </c>
      <c r="Y410">
        <v>6000577</v>
      </c>
      <c r="Z410" t="str">
        <f>""</f>
        <v/>
      </c>
      <c r="AA410">
        <v>27</v>
      </c>
      <c r="AB410" t="str">
        <f>""</f>
        <v/>
      </c>
      <c r="AC410" t="str">
        <f>""</f>
        <v/>
      </c>
      <c r="AD410" t="str">
        <f>""</f>
        <v/>
      </c>
      <c r="AE410">
        <v>2023</v>
      </c>
      <c r="AF410">
        <v>2023</v>
      </c>
      <c r="AG410" t="str">
        <f>"Rennes"</f>
        <v>Rennes</v>
      </c>
      <c r="AH410" t="str">
        <f>"Rennes"</f>
        <v>Rennes</v>
      </c>
      <c r="AI410" t="str">
        <f>""</f>
        <v/>
      </c>
      <c r="AJ410" t="str">
        <f>""</f>
        <v/>
      </c>
      <c r="AK410" t="str">
        <f>""</f>
        <v/>
      </c>
      <c r="AL410">
        <v>37</v>
      </c>
      <c r="AM410" t="str">
        <f>""</f>
        <v/>
      </c>
      <c r="AN410" t="str">
        <f>""</f>
        <v/>
      </c>
      <c r="AO410" t="str">
        <f>"Liceo scientifico statale Aristotele"</f>
        <v>Liceo scientifico statale Aristotele</v>
      </c>
      <c r="AP410" t="str">
        <f>"ROMA"</f>
        <v>ROMA</v>
      </c>
      <c r="AQ410" t="str">
        <f>"Etranger"</f>
        <v>Etranger</v>
      </c>
    </row>
    <row r="411" spans="1:43" x14ac:dyDescent="0.25">
      <c r="A411" t="str">
        <f t="shared" si="78"/>
        <v>3A Att sortant,T00000</v>
      </c>
      <c r="B411" t="str">
        <f>"MOTTIN"</f>
        <v>MOTTIN</v>
      </c>
      <c r="C411" t="str">
        <f>"Denis"</f>
        <v>Denis</v>
      </c>
      <c r="D411" t="str">
        <f>"021-1974"</f>
        <v>021-1974</v>
      </c>
      <c r="E411" t="str">
        <f>"070068800CD"</f>
        <v>070068800CD</v>
      </c>
      <c r="F411" t="str">
        <f t="shared" si="75"/>
        <v>0352480F</v>
      </c>
      <c r="G411" t="str">
        <f t="shared" si="76"/>
        <v>O</v>
      </c>
      <c r="H411">
        <v>10</v>
      </c>
      <c r="I411">
        <v>2001</v>
      </c>
      <c r="J411">
        <v>1</v>
      </c>
      <c r="K411" t="str">
        <f t="shared" si="79"/>
        <v>S</v>
      </c>
      <c r="L411">
        <v>11</v>
      </c>
      <c r="M411">
        <v>2019</v>
      </c>
      <c r="N411" t="str">
        <f t="shared" ref="N411:N420" si="80">"E"</f>
        <v>E</v>
      </c>
      <c r="O411" t="str">
        <f>"A"</f>
        <v>A</v>
      </c>
      <c r="P411">
        <v>0</v>
      </c>
      <c r="Q411">
        <v>100</v>
      </c>
      <c r="R411">
        <v>100</v>
      </c>
      <c r="S411">
        <v>35170</v>
      </c>
      <c r="T411">
        <v>100</v>
      </c>
      <c r="U411">
        <v>35170</v>
      </c>
      <c r="V411" t="str">
        <f>"Linguaskill à l'ENSAI le 31/05/2022: 180+ = niveau C1  TOEIC à l'ENSAI le 19/05/2022: score 915"</f>
        <v>Linguaskill à l'ENSAI le 31/05/2022: 180+ = niveau C1  TOEIC à l'ENSAI le 19/05/2022: score 915</v>
      </c>
      <c r="W411">
        <v>99</v>
      </c>
      <c r="X411">
        <v>0</v>
      </c>
      <c r="Y411">
        <v>6000577</v>
      </c>
      <c r="Z411" t="str">
        <f>""</f>
        <v/>
      </c>
      <c r="AA411">
        <v>27</v>
      </c>
      <c r="AB411" t="str">
        <f>""</f>
        <v/>
      </c>
      <c r="AC411" t="str">
        <f>""</f>
        <v/>
      </c>
      <c r="AD411" t="str">
        <f>""</f>
        <v/>
      </c>
      <c r="AE411">
        <v>2019</v>
      </c>
      <c r="AF411">
        <v>2021</v>
      </c>
      <c r="AG411" t="str">
        <f>"Bruz"</f>
        <v>Bruz</v>
      </c>
      <c r="AH411" t="str">
        <f>"Bruz"</f>
        <v>Bruz</v>
      </c>
      <c r="AI411" t="str">
        <f>""</f>
        <v/>
      </c>
      <c r="AJ411" t="str">
        <f>""</f>
        <v/>
      </c>
      <c r="AK411" t="str">
        <f>""</f>
        <v/>
      </c>
      <c r="AL411">
        <v>43</v>
      </c>
      <c r="AM411" t="str">
        <f>""</f>
        <v/>
      </c>
      <c r="AN411" t="str">
        <f>""</f>
        <v/>
      </c>
      <c r="AO411" t="str">
        <f>"Emmanuel d'Alzon"</f>
        <v>Emmanuel d'Alzon</v>
      </c>
      <c r="AP411" t="str">
        <f>"NÎMES"</f>
        <v>NÎMES</v>
      </c>
      <c r="AQ411" t="str">
        <f>"Montpellier"</f>
        <v>Montpellier</v>
      </c>
    </row>
    <row r="412" spans="1:43" x14ac:dyDescent="0.25">
      <c r="A412" t="str">
        <f t="shared" si="78"/>
        <v>3A Att sortant,T00000</v>
      </c>
      <c r="B412" t="str">
        <f>"NICOD"</f>
        <v>NICOD</v>
      </c>
      <c r="C412" t="str">
        <f>"Quentin"</f>
        <v>Quentin</v>
      </c>
      <c r="D412" t="str">
        <f>"017-1112"</f>
        <v>017-1112</v>
      </c>
      <c r="E412" t="str">
        <f>"2308008369Z"</f>
        <v>2308008369Z</v>
      </c>
      <c r="F412" t="str">
        <f t="shared" si="75"/>
        <v>0352480F</v>
      </c>
      <c r="G412" t="str">
        <f t="shared" si="76"/>
        <v>O</v>
      </c>
      <c r="H412">
        <v>10</v>
      </c>
      <c r="I412">
        <v>1998</v>
      </c>
      <c r="J412">
        <v>1</v>
      </c>
      <c r="K412" t="str">
        <f t="shared" si="79"/>
        <v>S</v>
      </c>
      <c r="L412">
        <v>23</v>
      </c>
      <c r="M412">
        <v>2015</v>
      </c>
      <c r="N412" t="str">
        <f t="shared" si="80"/>
        <v>E</v>
      </c>
      <c r="O412" t="str">
        <f>"D"</f>
        <v>D</v>
      </c>
      <c r="P412">
        <v>0</v>
      </c>
      <c r="Q412">
        <v>100</v>
      </c>
      <c r="R412">
        <v>100</v>
      </c>
      <c r="S412">
        <v>92100</v>
      </c>
      <c r="T412">
        <v>100</v>
      </c>
      <c r="U412">
        <v>92100</v>
      </c>
      <c r="V412" t="str">
        <f>"En CLM du1/2/2019 au 31/10/2019"</f>
        <v>En CLM du1/2/2019 au 31/10/2019</v>
      </c>
      <c r="W412">
        <v>33</v>
      </c>
      <c r="X412">
        <v>0</v>
      </c>
      <c r="Y412">
        <v>6000577</v>
      </c>
      <c r="Z412" t="str">
        <f>""</f>
        <v/>
      </c>
      <c r="AA412">
        <v>27</v>
      </c>
      <c r="AB412" t="str">
        <f>""</f>
        <v/>
      </c>
      <c r="AC412" t="str">
        <f>""</f>
        <v/>
      </c>
      <c r="AD412" t="str">
        <f>""</f>
        <v/>
      </c>
      <c r="AE412">
        <v>2015</v>
      </c>
      <c r="AF412">
        <v>2017</v>
      </c>
      <c r="AG412" t="str">
        <f>"Boulogne-Billancourt"</f>
        <v>Boulogne-Billancourt</v>
      </c>
      <c r="AH412" t="str">
        <f>"Boulogne-Billancourt"</f>
        <v>Boulogne-Billancourt</v>
      </c>
      <c r="AI412" t="str">
        <f>""</f>
        <v/>
      </c>
      <c r="AJ412" t="str">
        <f>""</f>
        <v/>
      </c>
      <c r="AK412" t="str">
        <f>""</f>
        <v/>
      </c>
      <c r="AL412">
        <v>34</v>
      </c>
      <c r="AM412" t="str">
        <f>""</f>
        <v/>
      </c>
      <c r="AN412" t="str">
        <f>""</f>
        <v/>
      </c>
      <c r="AO412" t="str">
        <f>"Dumont d'Urville"</f>
        <v>Dumont d'Urville</v>
      </c>
      <c r="AP412" t="str">
        <f>"TOULON"</f>
        <v>TOULON</v>
      </c>
      <c r="AQ412" t="str">
        <f>"Nice"</f>
        <v>Nice</v>
      </c>
    </row>
    <row r="413" spans="1:43" x14ac:dyDescent="0.25">
      <c r="A413" t="str">
        <f t="shared" si="78"/>
        <v>3A Att sortant,T00000</v>
      </c>
      <c r="B413" t="str">
        <f>"NUNES"</f>
        <v>NUNES</v>
      </c>
      <c r="C413" t="str">
        <f>"Steve"</f>
        <v>Steve</v>
      </c>
      <c r="D413" t="str">
        <f>"021-2099"</f>
        <v>021-2099</v>
      </c>
      <c r="E413" t="str">
        <f>"070348779JD"</f>
        <v>070348779JD</v>
      </c>
      <c r="F413" t="str">
        <f t="shared" si="75"/>
        <v>0352480F</v>
      </c>
      <c r="G413" t="str">
        <f t="shared" si="76"/>
        <v>O</v>
      </c>
      <c r="H413">
        <v>10</v>
      </c>
      <c r="I413">
        <v>2001</v>
      </c>
      <c r="J413">
        <v>1</v>
      </c>
      <c r="K413" t="str">
        <f t="shared" si="79"/>
        <v>S</v>
      </c>
      <c r="L413">
        <v>15</v>
      </c>
      <c r="M413">
        <v>2019</v>
      </c>
      <c r="N413" t="str">
        <f t="shared" si="80"/>
        <v>E</v>
      </c>
      <c r="O413" t="str">
        <f>"A"</f>
        <v>A</v>
      </c>
      <c r="P413">
        <v>0</v>
      </c>
      <c r="Q413">
        <v>100</v>
      </c>
      <c r="R413">
        <v>100</v>
      </c>
      <c r="S413">
        <v>35000</v>
      </c>
      <c r="T413">
        <v>100</v>
      </c>
      <c r="U413">
        <v>35000</v>
      </c>
      <c r="V413" t="str">
        <f>"TOEIC à l'ENSAI le 19/05/2022: score 895"</f>
        <v>TOEIC à l'ENSAI le 19/05/2022: score 895</v>
      </c>
      <c r="W413">
        <v>22</v>
      </c>
      <c r="X413">
        <v>0</v>
      </c>
      <c r="Y413">
        <v>6000577</v>
      </c>
      <c r="Z413" t="str">
        <f>""</f>
        <v/>
      </c>
      <c r="AA413">
        <v>27</v>
      </c>
      <c r="AB413" t="str">
        <f>""</f>
        <v/>
      </c>
      <c r="AC413" t="str">
        <f>""</f>
        <v/>
      </c>
      <c r="AD413" t="str">
        <f>""</f>
        <v/>
      </c>
      <c r="AE413">
        <v>2019</v>
      </c>
      <c r="AF413">
        <v>2021</v>
      </c>
      <c r="AG413" t="str">
        <f>"Rennes"</f>
        <v>Rennes</v>
      </c>
      <c r="AH413" t="str">
        <f>"Rennes"</f>
        <v>Rennes</v>
      </c>
      <c r="AI413" t="str">
        <f>""</f>
        <v/>
      </c>
      <c r="AJ413" t="str">
        <f>""</f>
        <v/>
      </c>
      <c r="AK413" t="str">
        <f>""</f>
        <v/>
      </c>
      <c r="AL413">
        <v>61</v>
      </c>
      <c r="AM413" t="str">
        <f>""</f>
        <v/>
      </c>
      <c r="AN413" t="str">
        <f>""</f>
        <v/>
      </c>
      <c r="AO413" t="str">
        <f>"Lycée Blaise Pascal"</f>
        <v>Lycée Blaise Pascal</v>
      </c>
      <c r="AP413" t="str">
        <f>"COLMAR"</f>
        <v>COLMAR</v>
      </c>
      <c r="AQ413" t="str">
        <f>"Strasbourg"</f>
        <v>Strasbourg</v>
      </c>
    </row>
    <row r="414" spans="1:43" x14ac:dyDescent="0.25">
      <c r="A414" t="str">
        <f t="shared" si="78"/>
        <v>3A Att sortant,T00000</v>
      </c>
      <c r="B414" t="str">
        <f>"OSSONCE"</f>
        <v>OSSONCE</v>
      </c>
      <c r="C414" t="str">
        <f>"Xavier"</f>
        <v>Xavier</v>
      </c>
      <c r="D414" t="str">
        <f>"017-1069"</f>
        <v>017-1069</v>
      </c>
      <c r="E414" t="str">
        <f>"1092035923U"</f>
        <v>1092035923U</v>
      </c>
      <c r="F414" t="str">
        <f t="shared" si="75"/>
        <v>0352480F</v>
      </c>
      <c r="G414" t="str">
        <f t="shared" si="76"/>
        <v>O</v>
      </c>
      <c r="H414">
        <v>10</v>
      </c>
      <c r="I414">
        <v>1981</v>
      </c>
      <c r="J414">
        <v>1</v>
      </c>
      <c r="K414" t="str">
        <f t="shared" si="79"/>
        <v>S</v>
      </c>
      <c r="L414">
        <v>9</v>
      </c>
      <c r="M414">
        <v>2000</v>
      </c>
      <c r="N414" t="str">
        <f t="shared" si="80"/>
        <v>E</v>
      </c>
      <c r="O414" t="str">
        <f>"D"</f>
        <v>D</v>
      </c>
      <c r="P414">
        <v>0</v>
      </c>
      <c r="Q414">
        <v>100</v>
      </c>
      <c r="R414">
        <v>100</v>
      </c>
      <c r="S414">
        <v>57000</v>
      </c>
      <c r="T414">
        <v>100</v>
      </c>
      <c r="U414">
        <v>57000</v>
      </c>
      <c r="V414" t="str">
        <f>"TOEIC passé à l'ENSAI le 28/05/2018 - score 775"</f>
        <v>TOEIC passé à l'ENSAI le 28/05/2018 - score 775</v>
      </c>
      <c r="W414">
        <v>0</v>
      </c>
      <c r="X414">
        <v>0</v>
      </c>
      <c r="Y414">
        <v>6000577</v>
      </c>
      <c r="Z414" t="str">
        <f>""</f>
        <v/>
      </c>
      <c r="AA414">
        <v>27</v>
      </c>
      <c r="AB414" t="str">
        <f>""</f>
        <v/>
      </c>
      <c r="AC414" t="str">
        <f>""</f>
        <v/>
      </c>
      <c r="AD414" t="str">
        <f>""</f>
        <v/>
      </c>
      <c r="AE414">
        <v>2000</v>
      </c>
      <c r="AF414">
        <v>2017</v>
      </c>
      <c r="AG414" t="str">
        <f>"METZ"</f>
        <v>METZ</v>
      </c>
      <c r="AH414" t="str">
        <f>"METZ"</f>
        <v>METZ</v>
      </c>
      <c r="AI414" t="str">
        <f>""</f>
        <v/>
      </c>
      <c r="AJ414" t="str">
        <f>""</f>
        <v/>
      </c>
      <c r="AK414" t="str">
        <f>""</f>
        <v/>
      </c>
      <c r="AL414">
        <v>0</v>
      </c>
      <c r="AM414" t="str">
        <f>""</f>
        <v/>
      </c>
      <c r="AN414" t="str">
        <f>""</f>
        <v/>
      </c>
      <c r="AO414" t="str">
        <f>"Condorcet"</f>
        <v>Condorcet</v>
      </c>
      <c r="AP414" t="str">
        <f>"62300 LENS"</f>
        <v>62300 LENS</v>
      </c>
      <c r="AQ414" t="str">
        <f>"Lille"</f>
        <v>Lille</v>
      </c>
    </row>
    <row r="415" spans="1:43" x14ac:dyDescent="0.25">
      <c r="A415" t="str">
        <f t="shared" si="78"/>
        <v>3A Att sortant,T00000</v>
      </c>
      <c r="B415" t="str">
        <f>"PARRIAUD"</f>
        <v>PARRIAUD</v>
      </c>
      <c r="C415" t="str">
        <f>"Jean-François"</f>
        <v>Jean-François</v>
      </c>
      <c r="D415" t="str">
        <f>"022-2184"</f>
        <v>022-2184</v>
      </c>
      <c r="E415" t="str">
        <f>"1092116887Y"</f>
        <v>1092116887Y</v>
      </c>
      <c r="F415" t="str">
        <f t="shared" si="75"/>
        <v>0352480F</v>
      </c>
      <c r="G415" t="str">
        <f t="shared" si="76"/>
        <v>O</v>
      </c>
      <c r="H415">
        <v>10</v>
      </c>
      <c r="I415">
        <v>1977</v>
      </c>
      <c r="J415">
        <v>1</v>
      </c>
      <c r="K415" t="str">
        <f t="shared" si="79"/>
        <v>S</v>
      </c>
      <c r="L415">
        <v>10</v>
      </c>
      <c r="M415">
        <v>1995</v>
      </c>
      <c r="N415" t="str">
        <f t="shared" si="80"/>
        <v>E</v>
      </c>
      <c r="O415" t="str">
        <f>"U"</f>
        <v>U</v>
      </c>
      <c r="P415">
        <v>0</v>
      </c>
      <c r="Q415">
        <v>100</v>
      </c>
      <c r="R415">
        <v>100</v>
      </c>
      <c r="S415">
        <v>35170</v>
      </c>
      <c r="T415">
        <v>100</v>
      </c>
      <c r="U415">
        <v>35170</v>
      </c>
      <c r="V415" t="str">
        <f>"Linguaskill General à l'ENSAI le 10/11/2022 : niveau C1 en anglais certifié (score 180+)"</f>
        <v>Linguaskill General à l'ENSAI le 10/11/2022 : niveau C1 en anglais certifié (score 180+)</v>
      </c>
      <c r="W415">
        <v>54</v>
      </c>
      <c r="X415">
        <v>0</v>
      </c>
      <c r="Y415">
        <v>6000577</v>
      </c>
      <c r="Z415" t="str">
        <f>""</f>
        <v/>
      </c>
      <c r="AA415">
        <v>27</v>
      </c>
      <c r="AB415" t="str">
        <f>""</f>
        <v/>
      </c>
      <c r="AC415" t="str">
        <f>""</f>
        <v/>
      </c>
      <c r="AD415" t="str">
        <f>""</f>
        <v/>
      </c>
      <c r="AE415">
        <v>1997</v>
      </c>
      <c r="AF415">
        <v>2022</v>
      </c>
      <c r="AG415" t="str">
        <f>"Bruz"</f>
        <v>Bruz</v>
      </c>
      <c r="AH415" t="str">
        <f>"Bruz"</f>
        <v>Bruz</v>
      </c>
      <c r="AI415" t="str">
        <f>""</f>
        <v/>
      </c>
      <c r="AJ415" t="str">
        <f>""</f>
        <v/>
      </c>
      <c r="AK415" t="str">
        <f>""</f>
        <v/>
      </c>
      <c r="AL415">
        <v>21</v>
      </c>
      <c r="AM415" t="str">
        <f>""</f>
        <v/>
      </c>
      <c r="AN415" t="str">
        <f>""</f>
        <v/>
      </c>
      <c r="AO415" t="str">
        <f>"Lycée Antoine de Saint-Exupéry"</f>
        <v>Lycée Antoine de Saint-Exupéry</v>
      </c>
      <c r="AP415" t="str">
        <f>"LYON"</f>
        <v>LYON</v>
      </c>
      <c r="AQ415" t="str">
        <f>"Lyon"</f>
        <v>Lyon</v>
      </c>
    </row>
    <row r="416" spans="1:43" x14ac:dyDescent="0.25">
      <c r="A416" t="str">
        <f t="shared" si="78"/>
        <v>3A Att sortant,T00000</v>
      </c>
      <c r="B416" t="str">
        <f>"PEQUIGNOT"</f>
        <v>PEQUIGNOT</v>
      </c>
      <c r="C416" t="str">
        <f>"Thomas"</f>
        <v>Thomas</v>
      </c>
      <c r="D416" t="str">
        <f>"021-2100"</f>
        <v>021-2100</v>
      </c>
      <c r="E416" t="str">
        <f>"1508007080F"</f>
        <v>1508007080F</v>
      </c>
      <c r="F416" t="str">
        <f t="shared" si="75"/>
        <v>0352480F</v>
      </c>
      <c r="G416" t="str">
        <f t="shared" si="76"/>
        <v>O</v>
      </c>
      <c r="H416">
        <v>10</v>
      </c>
      <c r="I416">
        <v>1997</v>
      </c>
      <c r="J416">
        <v>1</v>
      </c>
      <c r="K416" t="str">
        <f t="shared" si="79"/>
        <v>S</v>
      </c>
      <c r="L416">
        <v>15</v>
      </c>
      <c r="M416">
        <v>2015</v>
      </c>
      <c r="N416" t="str">
        <f t="shared" si="80"/>
        <v>E</v>
      </c>
      <c r="O416" t="str">
        <f>"N"</f>
        <v>N</v>
      </c>
      <c r="P416">
        <v>0</v>
      </c>
      <c r="Q416">
        <v>100</v>
      </c>
      <c r="R416">
        <v>100</v>
      </c>
      <c r="S416">
        <v>35170</v>
      </c>
      <c r="T416">
        <v>100</v>
      </c>
      <c r="U416">
        <v>35170</v>
      </c>
      <c r="V416" t="str">
        <f>""</f>
        <v/>
      </c>
      <c r="W416">
        <v>34</v>
      </c>
      <c r="X416">
        <v>0</v>
      </c>
      <c r="Y416">
        <v>6000577</v>
      </c>
      <c r="Z416" t="str">
        <f>""</f>
        <v/>
      </c>
      <c r="AA416">
        <v>27</v>
      </c>
      <c r="AB416" t="str">
        <f>""</f>
        <v/>
      </c>
      <c r="AC416" t="str">
        <f>""</f>
        <v/>
      </c>
      <c r="AD416" t="str">
        <f>""</f>
        <v/>
      </c>
      <c r="AE416">
        <v>2015</v>
      </c>
      <c r="AF416">
        <v>2021</v>
      </c>
      <c r="AG416" t="str">
        <f>"bruz"</f>
        <v>bruz</v>
      </c>
      <c r="AH416" t="str">
        <f>"bruz"</f>
        <v>bruz</v>
      </c>
      <c r="AI416" t="str">
        <f>""</f>
        <v/>
      </c>
      <c r="AJ416" t="str">
        <f>""</f>
        <v/>
      </c>
      <c r="AK416" t="str">
        <f>""</f>
        <v/>
      </c>
      <c r="AL416">
        <v>34</v>
      </c>
      <c r="AM416" t="str">
        <f>""</f>
        <v/>
      </c>
      <c r="AN416" t="str">
        <f>""</f>
        <v/>
      </c>
      <c r="AO416" t="str">
        <f>"fustel de coulanges"</f>
        <v>fustel de coulanges</v>
      </c>
      <c r="AP416" t="str">
        <f>"STRASBOURG"</f>
        <v>STRASBOURG</v>
      </c>
      <c r="AQ416" t="str">
        <f>"Strasbourg"</f>
        <v>Strasbourg</v>
      </c>
    </row>
    <row r="417" spans="1:43" x14ac:dyDescent="0.25">
      <c r="A417" t="str">
        <f t="shared" si="78"/>
        <v>3A Att sortant,T00000</v>
      </c>
      <c r="B417" t="str">
        <f>"PICHON"</f>
        <v>PICHON</v>
      </c>
      <c r="C417" t="str">
        <f>"Tissine"</f>
        <v>Tissine</v>
      </c>
      <c r="D417" t="str">
        <f>"021-2080"</f>
        <v>021-2080</v>
      </c>
      <c r="E417" t="str">
        <f>"070622043GJ"</f>
        <v>070622043GJ</v>
      </c>
      <c r="F417" t="str">
        <f t="shared" si="75"/>
        <v>0352480F</v>
      </c>
      <c r="G417" t="str">
        <f t="shared" si="76"/>
        <v>O</v>
      </c>
      <c r="H417">
        <v>10</v>
      </c>
      <c r="I417">
        <v>2001</v>
      </c>
      <c r="J417">
        <v>2</v>
      </c>
      <c r="K417" t="str">
        <f t="shared" si="79"/>
        <v>S</v>
      </c>
      <c r="L417">
        <v>8</v>
      </c>
      <c r="M417">
        <v>2019</v>
      </c>
      <c r="N417" t="str">
        <f t="shared" si="80"/>
        <v>E</v>
      </c>
      <c r="O417" t="str">
        <f>"D"</f>
        <v>D</v>
      </c>
      <c r="P417">
        <v>0</v>
      </c>
      <c r="Q417">
        <v>100</v>
      </c>
      <c r="R417">
        <v>100</v>
      </c>
      <c r="S417">
        <v>35170</v>
      </c>
      <c r="T417">
        <v>100</v>
      </c>
      <c r="U417">
        <v>35170</v>
      </c>
      <c r="V417" t="str">
        <f>"TOEIC à l'ENSAI le 19/05/2022: score 980"</f>
        <v>TOEIC à l'ENSAI le 19/05/2022: score 980</v>
      </c>
      <c r="W417">
        <v>34</v>
      </c>
      <c r="X417">
        <v>0</v>
      </c>
      <c r="Y417">
        <v>6000577</v>
      </c>
      <c r="Z417" t="str">
        <f>""</f>
        <v/>
      </c>
      <c r="AA417">
        <v>27</v>
      </c>
      <c r="AB417" t="str">
        <f>""</f>
        <v/>
      </c>
      <c r="AC417" t="str">
        <f>""</f>
        <v/>
      </c>
      <c r="AD417" t="str">
        <f>""</f>
        <v/>
      </c>
      <c r="AE417">
        <v>2019</v>
      </c>
      <c r="AF417">
        <v>2021</v>
      </c>
      <c r="AG417" t="str">
        <f>"Bruz"</f>
        <v>Bruz</v>
      </c>
      <c r="AH417" t="str">
        <f>"Bruz"</f>
        <v>Bruz</v>
      </c>
      <c r="AI417" t="str">
        <f>""</f>
        <v/>
      </c>
      <c r="AJ417" t="str">
        <f>""</f>
        <v/>
      </c>
      <c r="AK417" t="str">
        <f>""</f>
        <v/>
      </c>
      <c r="AL417">
        <v>82</v>
      </c>
      <c r="AM417" t="str">
        <f>""</f>
        <v/>
      </c>
      <c r="AN417" t="str">
        <f>""</f>
        <v/>
      </c>
      <c r="AO417" t="str">
        <f>"Lycée Camille Corot"</f>
        <v>Lycée Camille Corot</v>
      </c>
      <c r="AP417" t="str">
        <f>"MORESTEL"</f>
        <v>MORESTEL</v>
      </c>
      <c r="AQ417" t="str">
        <f>"Grenoble"</f>
        <v>Grenoble</v>
      </c>
    </row>
    <row r="418" spans="1:43" x14ac:dyDescent="0.25">
      <c r="A418" t="str">
        <f t="shared" si="78"/>
        <v>3A Att sortant,T00000</v>
      </c>
      <c r="B418" t="str">
        <f>"POINTET"</f>
        <v>POINTET</v>
      </c>
      <c r="C418" t="str">
        <f>"Jeanne"</f>
        <v>Jeanne</v>
      </c>
      <c r="D418" t="str">
        <f>"021-2084"</f>
        <v>021-2084</v>
      </c>
      <c r="E418" t="str">
        <f>"061043431CH"</f>
        <v>061043431CH</v>
      </c>
      <c r="F418" t="str">
        <f t="shared" si="75"/>
        <v>0352480F</v>
      </c>
      <c r="G418" t="str">
        <f t="shared" si="76"/>
        <v>O</v>
      </c>
      <c r="H418">
        <v>10</v>
      </c>
      <c r="I418">
        <v>2001</v>
      </c>
      <c r="J418">
        <v>2</v>
      </c>
      <c r="K418" t="str">
        <f t="shared" si="79"/>
        <v>S</v>
      </c>
      <c r="L418">
        <v>3</v>
      </c>
      <c r="M418">
        <v>2019</v>
      </c>
      <c r="N418" t="str">
        <f t="shared" si="80"/>
        <v>E</v>
      </c>
      <c r="O418" t="str">
        <f>"A"</f>
        <v>A</v>
      </c>
      <c r="P418">
        <v>0</v>
      </c>
      <c r="Q418">
        <v>100</v>
      </c>
      <c r="R418">
        <v>100</v>
      </c>
      <c r="S418">
        <v>35170</v>
      </c>
      <c r="T418">
        <v>100</v>
      </c>
      <c r="U418">
        <v>35170</v>
      </c>
      <c r="V418" t="str">
        <f>"TOEIC à l'ENSAI le 19/05/2022: score 800"</f>
        <v>TOEIC à l'ENSAI le 19/05/2022: score 800</v>
      </c>
      <c r="W418">
        <v>33</v>
      </c>
      <c r="X418">
        <v>0</v>
      </c>
      <c r="Y418">
        <v>6000577</v>
      </c>
      <c r="Z418" t="str">
        <f>""</f>
        <v/>
      </c>
      <c r="AA418">
        <v>27</v>
      </c>
      <c r="AB418" t="str">
        <f>""</f>
        <v/>
      </c>
      <c r="AC418" t="str">
        <f>""</f>
        <v/>
      </c>
      <c r="AD418" t="str">
        <f>""</f>
        <v/>
      </c>
      <c r="AE418">
        <v>2019</v>
      </c>
      <c r="AF418">
        <v>2021</v>
      </c>
      <c r="AG418" t="str">
        <f>"BRUZ"</f>
        <v>BRUZ</v>
      </c>
      <c r="AH418" t="str">
        <f>"BRUZ"</f>
        <v>BRUZ</v>
      </c>
      <c r="AI418" t="str">
        <f>""</f>
        <v/>
      </c>
      <c r="AJ418" t="str">
        <f>""</f>
        <v/>
      </c>
      <c r="AK418" t="str">
        <f>""</f>
        <v/>
      </c>
      <c r="AL418">
        <v>31</v>
      </c>
      <c r="AM418" t="str">
        <f>""</f>
        <v/>
      </c>
      <c r="AN418" t="str">
        <f>""</f>
        <v/>
      </c>
      <c r="AO418" t="str">
        <f>"Lycée Les Haberges"</f>
        <v>Lycée Les Haberges</v>
      </c>
      <c r="AP418" t="str">
        <f>"VESOUL"</f>
        <v>VESOUL</v>
      </c>
      <c r="AQ418" t="str">
        <f>"Besançon"</f>
        <v>Besançon</v>
      </c>
    </row>
    <row r="419" spans="1:43" x14ac:dyDescent="0.25">
      <c r="A419" t="str">
        <f t="shared" si="78"/>
        <v>3A Att sortant,T00000</v>
      </c>
      <c r="B419" t="str">
        <f>"RAULT"</f>
        <v>RAULT</v>
      </c>
      <c r="C419" t="str">
        <f>"Antoine"</f>
        <v>Antoine</v>
      </c>
      <c r="D419" t="str">
        <f>"017-1070"</f>
        <v>017-1070</v>
      </c>
      <c r="E419" t="str">
        <f>"0994006890X"</f>
        <v>0994006890X</v>
      </c>
      <c r="F419" t="str">
        <f t="shared" si="75"/>
        <v>0352480F</v>
      </c>
      <c r="G419" t="str">
        <f t="shared" si="76"/>
        <v>O</v>
      </c>
      <c r="H419">
        <v>10</v>
      </c>
      <c r="I419">
        <v>1983</v>
      </c>
      <c r="J419">
        <v>1</v>
      </c>
      <c r="K419" t="str">
        <f t="shared" si="79"/>
        <v>S</v>
      </c>
      <c r="L419">
        <v>9</v>
      </c>
      <c r="M419">
        <v>2001</v>
      </c>
      <c r="N419" t="str">
        <f t="shared" si="80"/>
        <v>E</v>
      </c>
      <c r="O419" t="str">
        <f>"N"</f>
        <v>N</v>
      </c>
      <c r="P419">
        <v>0</v>
      </c>
      <c r="Q419">
        <v>100</v>
      </c>
      <c r="R419">
        <v>100</v>
      </c>
      <c r="S419">
        <v>59139</v>
      </c>
      <c r="T419">
        <v>100</v>
      </c>
      <c r="U419">
        <v>59139</v>
      </c>
      <c r="V419" t="str">
        <f>"Obtention TOEIC passé à l'ENSAI le 28/05/2018 - score 990"</f>
        <v>Obtention TOEIC passé à l'ENSAI le 28/05/2018 - score 990</v>
      </c>
      <c r="W419">
        <v>37</v>
      </c>
      <c r="X419">
        <v>0</v>
      </c>
      <c r="Y419">
        <v>6000577</v>
      </c>
      <c r="Z419" t="str">
        <f>""</f>
        <v/>
      </c>
      <c r="AA419">
        <v>27</v>
      </c>
      <c r="AB419" t="str">
        <f>""</f>
        <v/>
      </c>
      <c r="AC419" t="str">
        <f>""</f>
        <v/>
      </c>
      <c r="AD419" t="str">
        <f>""</f>
        <v/>
      </c>
      <c r="AE419">
        <v>2001</v>
      </c>
      <c r="AF419">
        <v>2017</v>
      </c>
      <c r="AG419" t="str">
        <f>"Wattignies"</f>
        <v>Wattignies</v>
      </c>
      <c r="AH419" t="str">
        <f>"Wattignies"</f>
        <v>Wattignies</v>
      </c>
      <c r="AI419" t="str">
        <f>""</f>
        <v/>
      </c>
      <c r="AJ419" t="str">
        <f>""</f>
        <v/>
      </c>
      <c r="AK419" t="str">
        <f>""</f>
        <v/>
      </c>
      <c r="AL419">
        <v>42</v>
      </c>
      <c r="AM419" t="str">
        <f>""</f>
        <v/>
      </c>
      <c r="AN419" t="str">
        <f>""</f>
        <v/>
      </c>
      <c r="AO419" t="str">
        <f>"Lycée Giraux Sannier"</f>
        <v>Lycée Giraux Sannier</v>
      </c>
      <c r="AP419" t="str">
        <f>"SAINT-MARTIN BOULOGNE"</f>
        <v>SAINT-MARTIN BOULOGNE</v>
      </c>
      <c r="AQ419" t="str">
        <f>"Lille"</f>
        <v>Lille</v>
      </c>
    </row>
    <row r="420" spans="1:43" x14ac:dyDescent="0.25">
      <c r="A420" t="str">
        <f t="shared" si="78"/>
        <v>3A Att sortant,T00000</v>
      </c>
      <c r="B420" t="str">
        <f>"ROBERT"</f>
        <v>ROBERT</v>
      </c>
      <c r="C420" t="str">
        <f>"Mathias"</f>
        <v>Mathias</v>
      </c>
      <c r="D420" t="str">
        <f>"021-2094"</f>
        <v>021-2094</v>
      </c>
      <c r="E420" t="str">
        <f>"071891123DK"</f>
        <v>071891123DK</v>
      </c>
      <c r="F420" t="str">
        <f t="shared" si="75"/>
        <v>0352480F</v>
      </c>
      <c r="G420" t="str">
        <f t="shared" si="76"/>
        <v>O</v>
      </c>
      <c r="H420">
        <v>10</v>
      </c>
      <c r="I420">
        <v>2001</v>
      </c>
      <c r="J420">
        <v>1</v>
      </c>
      <c r="K420" t="str">
        <f t="shared" si="79"/>
        <v>S</v>
      </c>
      <c r="L420">
        <v>20</v>
      </c>
      <c r="M420">
        <v>2019</v>
      </c>
      <c r="N420" t="str">
        <f t="shared" si="80"/>
        <v>E</v>
      </c>
      <c r="O420" t="str">
        <f>"D"</f>
        <v>D</v>
      </c>
      <c r="P420">
        <v>0</v>
      </c>
      <c r="Q420">
        <v>100</v>
      </c>
      <c r="R420">
        <v>100</v>
      </c>
      <c r="S420">
        <v>94210</v>
      </c>
      <c r="T420">
        <v>100</v>
      </c>
      <c r="U420">
        <v>94210</v>
      </c>
      <c r="V420" t="str">
        <f>"Linguaskill à l'ENSAI le 31/05/2022: score 180+ = niveau C1  TOEIC à l'ENSAI le 19/05/2022: score 970"</f>
        <v>Linguaskill à l'ENSAI le 31/05/2022: score 180+ = niveau C1  TOEIC à l'ENSAI le 19/05/2022: score 970</v>
      </c>
      <c r="W420">
        <v>48</v>
      </c>
      <c r="X420">
        <v>0</v>
      </c>
      <c r="Y420">
        <v>6000577</v>
      </c>
      <c r="Z420" t="str">
        <f>""</f>
        <v/>
      </c>
      <c r="AA420">
        <v>27</v>
      </c>
      <c r="AB420" t="str">
        <f>""</f>
        <v/>
      </c>
      <c r="AC420" t="str">
        <f>""</f>
        <v/>
      </c>
      <c r="AD420" t="str">
        <f>""</f>
        <v/>
      </c>
      <c r="AE420">
        <v>2019</v>
      </c>
      <c r="AF420">
        <v>2021</v>
      </c>
      <c r="AG420" t="str">
        <f>"Saint-Maur-des-Fossés"</f>
        <v>Saint-Maur-des-Fossés</v>
      </c>
      <c r="AH420" t="str">
        <f>"Saint-Maur-des-Fossés"</f>
        <v>Saint-Maur-des-Fossés</v>
      </c>
      <c r="AI420" t="str">
        <f>""</f>
        <v/>
      </c>
      <c r="AJ420" t="str">
        <f>""</f>
        <v/>
      </c>
      <c r="AK420" t="str">
        <f>""</f>
        <v/>
      </c>
      <c r="AL420">
        <v>52</v>
      </c>
      <c r="AM420" t="str">
        <f>""</f>
        <v/>
      </c>
      <c r="AN420" t="str">
        <f>""</f>
        <v/>
      </c>
      <c r="AO420" t="str">
        <f>"Lycée Calvin"</f>
        <v>Lycée Calvin</v>
      </c>
      <c r="AP420" t="str">
        <f>"NOYON"</f>
        <v>NOYON</v>
      </c>
      <c r="AQ420" t="str">
        <f>"Amiens"</f>
        <v>Amiens</v>
      </c>
    </row>
    <row r="421" spans="1:43" x14ac:dyDescent="0.25">
      <c r="A421" t="str">
        <f t="shared" si="78"/>
        <v>3A Att sortant,T00000</v>
      </c>
      <c r="B421" t="str">
        <f>"THOLIMET"</f>
        <v>THOLIMET</v>
      </c>
      <c r="C421" t="str">
        <f>"Maëlle"</f>
        <v>Maëlle</v>
      </c>
      <c r="D421" t="str">
        <f>"023-2558"</f>
        <v>023-2558</v>
      </c>
      <c r="E421" t="str">
        <f>"90289682FC"</f>
        <v>90289682FC</v>
      </c>
      <c r="F421" t="str">
        <f t="shared" si="75"/>
        <v>0352480F</v>
      </c>
      <c r="G421" t="str">
        <f t="shared" si="76"/>
        <v>O</v>
      </c>
      <c r="H421">
        <v>10</v>
      </c>
      <c r="I421">
        <v>2001</v>
      </c>
      <c r="J421">
        <v>2</v>
      </c>
      <c r="K421" t="str">
        <f t="shared" si="79"/>
        <v>S</v>
      </c>
      <c r="L421" t="str">
        <f>""</f>
        <v/>
      </c>
      <c r="M421">
        <v>2019</v>
      </c>
      <c r="N421" t="str">
        <f>"H"</f>
        <v>H</v>
      </c>
      <c r="O421" t="str">
        <f>"N"</f>
        <v>N</v>
      </c>
      <c r="P421">
        <v>0</v>
      </c>
      <c r="Q421">
        <v>100</v>
      </c>
      <c r="R421">
        <v>100</v>
      </c>
      <c r="S421">
        <v>35000</v>
      </c>
      <c r="T421">
        <v>100</v>
      </c>
      <c r="U421">
        <v>35000</v>
      </c>
      <c r="V421" t="str">
        <f>""</f>
        <v/>
      </c>
      <c r="W421">
        <v>38</v>
      </c>
      <c r="X421">
        <v>0</v>
      </c>
      <c r="Y421">
        <v>6000577</v>
      </c>
      <c r="Z421" t="str">
        <f>""</f>
        <v/>
      </c>
      <c r="AA421">
        <v>27</v>
      </c>
      <c r="AB421" t="str">
        <f>""</f>
        <v/>
      </c>
      <c r="AC421" t="str">
        <f>""</f>
        <v/>
      </c>
      <c r="AD421" t="str">
        <f>""</f>
        <v/>
      </c>
      <c r="AE421">
        <v>2019</v>
      </c>
      <c r="AF421">
        <v>2023</v>
      </c>
      <c r="AG421" t="str">
        <f>"Rennes"</f>
        <v>Rennes</v>
      </c>
      <c r="AH421" t="str">
        <f>"Rennes"</f>
        <v>Rennes</v>
      </c>
      <c r="AI421" t="str">
        <f>""</f>
        <v/>
      </c>
      <c r="AJ421" t="str">
        <f>""</f>
        <v/>
      </c>
      <c r="AK421" t="str">
        <f>""</f>
        <v/>
      </c>
      <c r="AL421">
        <v>38</v>
      </c>
      <c r="AM421" t="str">
        <f>""</f>
        <v/>
      </c>
      <c r="AN421" t="str">
        <f>""</f>
        <v/>
      </c>
      <c r="AO421" t="str">
        <f>"Galilée"</f>
        <v>Galilée</v>
      </c>
      <c r="AP421" t="str">
        <f>"FRANQUEVILLE SAINT PIERRE"</f>
        <v>FRANQUEVILLE SAINT PIERRE</v>
      </c>
      <c r="AQ421" t="str">
        <f>"Rouen"</f>
        <v>Rouen</v>
      </c>
    </row>
    <row r="422" spans="1:43" x14ac:dyDescent="0.25">
      <c r="A422" t="str">
        <f t="shared" si="78"/>
        <v>3A Att sortant,T00000</v>
      </c>
      <c r="B422" t="str">
        <f>"VERRIEZ"</f>
        <v>VERRIEZ</v>
      </c>
      <c r="C422" t="str">
        <f>"Rémi"</f>
        <v>Rémi</v>
      </c>
      <c r="D422" t="str">
        <f>"021-2089"</f>
        <v>021-2089</v>
      </c>
      <c r="E422" t="str">
        <f>"080914877AB"</f>
        <v>080914877AB</v>
      </c>
      <c r="F422" t="str">
        <f t="shared" si="75"/>
        <v>0352480F</v>
      </c>
      <c r="G422" t="str">
        <f t="shared" si="76"/>
        <v>O</v>
      </c>
      <c r="H422">
        <v>10</v>
      </c>
      <c r="I422">
        <v>2001</v>
      </c>
      <c r="J422">
        <v>1</v>
      </c>
      <c r="K422" t="str">
        <f t="shared" si="79"/>
        <v>S</v>
      </c>
      <c r="L422">
        <v>9</v>
      </c>
      <c r="M422">
        <v>2019</v>
      </c>
      <c r="N422" t="str">
        <f t="shared" ref="N422:N453" si="81">"E"</f>
        <v>E</v>
      </c>
      <c r="O422" t="str">
        <f>"D"</f>
        <v>D</v>
      </c>
      <c r="P422">
        <v>0</v>
      </c>
      <c r="Q422">
        <v>100</v>
      </c>
      <c r="R422">
        <v>100</v>
      </c>
      <c r="S422">
        <v>35131</v>
      </c>
      <c r="T422">
        <v>100</v>
      </c>
      <c r="U422">
        <v>35131</v>
      </c>
      <c r="V422" t="str">
        <f>""</f>
        <v/>
      </c>
      <c r="W422">
        <v>61</v>
      </c>
      <c r="X422">
        <v>0</v>
      </c>
      <c r="Y422">
        <v>6000577</v>
      </c>
      <c r="Z422" t="str">
        <f>""</f>
        <v/>
      </c>
      <c r="AA422">
        <v>27</v>
      </c>
      <c r="AB422" t="str">
        <f>""</f>
        <v/>
      </c>
      <c r="AC422" t="str">
        <f>""</f>
        <v/>
      </c>
      <c r="AD422" t="str">
        <f>""</f>
        <v/>
      </c>
      <c r="AE422">
        <v>2019</v>
      </c>
      <c r="AF422">
        <v>2021</v>
      </c>
      <c r="AG422" t="str">
        <f>"Pont-Péan"</f>
        <v>Pont-Péan</v>
      </c>
      <c r="AH422" t="str">
        <f>"Pont-Péan"</f>
        <v>Pont-Péan</v>
      </c>
      <c r="AI422" t="str">
        <f>""</f>
        <v/>
      </c>
      <c r="AJ422" t="str">
        <f>""</f>
        <v/>
      </c>
      <c r="AK422" t="str">
        <f>""</f>
        <v/>
      </c>
      <c r="AL422">
        <v>43</v>
      </c>
      <c r="AM422" t="str">
        <f>""</f>
        <v/>
      </c>
      <c r="AN422" t="str">
        <f>""</f>
        <v/>
      </c>
      <c r="AO422" t="str">
        <f>"Lycée Louis Pasteur"</f>
        <v>Lycée Louis Pasteur</v>
      </c>
      <c r="AP422" t="str">
        <f>"SOMAIN"</f>
        <v>SOMAIN</v>
      </c>
      <c r="AQ422" t="str">
        <f>"Lille"</f>
        <v>Lille</v>
      </c>
    </row>
    <row r="423" spans="1:43" x14ac:dyDescent="0.25">
      <c r="A423" t="str">
        <f t="shared" si="78"/>
        <v>3A Att sortant,T00000</v>
      </c>
      <c r="B423" t="str">
        <f>"VINCE"</f>
        <v>VINCE</v>
      </c>
      <c r="C423" t="str">
        <f>"Mathilde"</f>
        <v>Mathilde</v>
      </c>
      <c r="D423" t="str">
        <f>"021-1920"</f>
        <v>021-1920</v>
      </c>
      <c r="E423" t="str">
        <f>"070318654EB"</f>
        <v>070318654EB</v>
      </c>
      <c r="F423" t="str">
        <f t="shared" si="75"/>
        <v>0352480F</v>
      </c>
      <c r="G423" t="str">
        <f t="shared" si="76"/>
        <v>O</v>
      </c>
      <c r="H423">
        <v>10</v>
      </c>
      <c r="I423">
        <v>2001</v>
      </c>
      <c r="J423">
        <v>2</v>
      </c>
      <c r="K423" t="str">
        <f t="shared" si="79"/>
        <v>S</v>
      </c>
      <c r="L423">
        <v>17</v>
      </c>
      <c r="M423">
        <v>2019</v>
      </c>
      <c r="N423" t="str">
        <f t="shared" si="81"/>
        <v>E</v>
      </c>
      <c r="O423" t="str">
        <f>"D"</f>
        <v>D</v>
      </c>
      <c r="P423">
        <v>0</v>
      </c>
      <c r="Q423">
        <v>100</v>
      </c>
      <c r="R423">
        <v>100</v>
      </c>
      <c r="S423">
        <v>35170</v>
      </c>
      <c r="T423">
        <v>100</v>
      </c>
      <c r="U423">
        <v>35170</v>
      </c>
      <c r="V423" t="str">
        <f>"TOEIC à l'ENSAI le 19/05/2022: score 875"</f>
        <v>TOEIC à l'ENSAI le 19/05/2022: score 875</v>
      </c>
      <c r="W423">
        <v>34</v>
      </c>
      <c r="X423">
        <v>0</v>
      </c>
      <c r="Y423">
        <v>6000577</v>
      </c>
      <c r="Z423" t="str">
        <f>""</f>
        <v/>
      </c>
      <c r="AA423">
        <v>27</v>
      </c>
      <c r="AB423" t="str">
        <f>""</f>
        <v/>
      </c>
      <c r="AC423" t="str">
        <f>""</f>
        <v/>
      </c>
      <c r="AD423" t="str">
        <f>""</f>
        <v/>
      </c>
      <c r="AE423">
        <v>2019</v>
      </c>
      <c r="AF423">
        <v>2021</v>
      </c>
      <c r="AG423" t="str">
        <f>"Bruz"</f>
        <v>Bruz</v>
      </c>
      <c r="AH423" t="str">
        <f>"Bruz"</f>
        <v>Bruz</v>
      </c>
      <c r="AI423" t="str">
        <f>""</f>
        <v/>
      </c>
      <c r="AJ423" t="str">
        <f>""</f>
        <v/>
      </c>
      <c r="AK423" t="str">
        <f>""</f>
        <v/>
      </c>
      <c r="AL423">
        <v>33</v>
      </c>
      <c r="AM423" t="str">
        <f>""</f>
        <v/>
      </c>
      <c r="AN423" t="str">
        <f>""</f>
        <v/>
      </c>
      <c r="AO423" t="str">
        <f>"Aristide Briand"</f>
        <v>Aristide Briand</v>
      </c>
      <c r="AP423" t="str">
        <f>"SAINT-NAZAIRE"</f>
        <v>SAINT-NAZAIRE</v>
      </c>
      <c r="AQ423" t="str">
        <f>"Nantes"</f>
        <v>Nantes</v>
      </c>
    </row>
    <row r="424" spans="1:43" x14ac:dyDescent="0.25">
      <c r="A424" t="str">
        <f t="shared" si="78"/>
        <v>3A Att sortant,T00000</v>
      </c>
      <c r="B424" t="str">
        <f>"WERY"</f>
        <v>WERY</v>
      </c>
      <c r="C424" t="str">
        <f>"Louis"</f>
        <v>Louis</v>
      </c>
      <c r="D424" t="str">
        <f>"021-2076"</f>
        <v>021-2076</v>
      </c>
      <c r="E424" t="str">
        <f>"110833337CH"</f>
        <v>110833337CH</v>
      </c>
      <c r="F424" t="str">
        <f t="shared" si="75"/>
        <v>0352480F</v>
      </c>
      <c r="G424" t="str">
        <f t="shared" si="76"/>
        <v>O</v>
      </c>
      <c r="H424">
        <v>10</v>
      </c>
      <c r="I424">
        <v>2002</v>
      </c>
      <c r="J424">
        <v>1</v>
      </c>
      <c r="K424" t="str">
        <f t="shared" si="79"/>
        <v>S</v>
      </c>
      <c r="L424">
        <v>23</v>
      </c>
      <c r="M424">
        <v>2019</v>
      </c>
      <c r="N424" t="str">
        <f t="shared" si="81"/>
        <v>E</v>
      </c>
      <c r="O424" t="str">
        <f>"A"</f>
        <v>A</v>
      </c>
      <c r="P424">
        <v>0</v>
      </c>
      <c r="Q424">
        <v>100</v>
      </c>
      <c r="R424">
        <v>100</v>
      </c>
      <c r="S424">
        <v>35170</v>
      </c>
      <c r="T424">
        <v>100</v>
      </c>
      <c r="U424">
        <v>35170</v>
      </c>
      <c r="V424" t="str">
        <f>"TOEIC à l'ENSAI le 19/05/2022: score 840"</f>
        <v>TOEIC à l'ENSAI le 19/05/2022: score 840</v>
      </c>
      <c r="W424">
        <v>37</v>
      </c>
      <c r="X424">
        <v>0</v>
      </c>
      <c r="Y424">
        <v>6000577</v>
      </c>
      <c r="Z424" t="str">
        <f>""</f>
        <v/>
      </c>
      <c r="AA424">
        <v>27</v>
      </c>
      <c r="AB424" t="str">
        <f>""</f>
        <v/>
      </c>
      <c r="AC424" t="str">
        <f>""</f>
        <v/>
      </c>
      <c r="AD424" t="str">
        <f>""</f>
        <v/>
      </c>
      <c r="AE424">
        <v>2019</v>
      </c>
      <c r="AF424">
        <v>2021</v>
      </c>
      <c r="AG424" t="str">
        <f>"Bruz"</f>
        <v>Bruz</v>
      </c>
      <c r="AH424" t="str">
        <f>"Bruz"</f>
        <v>Bruz</v>
      </c>
      <c r="AI424" t="str">
        <f>""</f>
        <v/>
      </c>
      <c r="AJ424" t="str">
        <f>""</f>
        <v/>
      </c>
      <c r="AK424" t="str">
        <f>""</f>
        <v/>
      </c>
      <c r="AL424">
        <v>0</v>
      </c>
      <c r="AM424" t="str">
        <f>""</f>
        <v/>
      </c>
      <c r="AN424" t="str">
        <f>""</f>
        <v/>
      </c>
      <c r="AO424" t="str">
        <f>"Lycée Sasserno"</f>
        <v>Lycée Sasserno</v>
      </c>
      <c r="AP424" t="str">
        <f>"NICE"</f>
        <v>NICE</v>
      </c>
      <c r="AQ424" t="str">
        <f>"Nice"</f>
        <v>Nice</v>
      </c>
    </row>
    <row r="425" spans="1:43" x14ac:dyDescent="0.25">
      <c r="A425" t="str">
        <f t="shared" si="78"/>
        <v>3A Att sortant,T00000</v>
      </c>
      <c r="B425" t="str">
        <f>"ZEDAM"</f>
        <v>ZEDAM</v>
      </c>
      <c r="C425" t="str">
        <f>"Paul"</f>
        <v>Paul</v>
      </c>
      <c r="D425" t="str">
        <f>"016-0901"</f>
        <v>016-0901</v>
      </c>
      <c r="E425" t="str">
        <f>"1906016027B"</f>
        <v>1906016027B</v>
      </c>
      <c r="F425" t="str">
        <f t="shared" si="75"/>
        <v>0352480F</v>
      </c>
      <c r="G425" t="str">
        <f t="shared" si="76"/>
        <v>O</v>
      </c>
      <c r="H425">
        <v>10</v>
      </c>
      <c r="I425">
        <v>1996</v>
      </c>
      <c r="J425">
        <v>1</v>
      </c>
      <c r="K425" t="str">
        <f t="shared" si="79"/>
        <v>S</v>
      </c>
      <c r="L425">
        <v>19</v>
      </c>
      <c r="M425">
        <v>2013</v>
      </c>
      <c r="N425" t="str">
        <f t="shared" si="81"/>
        <v>E</v>
      </c>
      <c r="O425" t="str">
        <f>"D"</f>
        <v>D</v>
      </c>
      <c r="P425">
        <v>0</v>
      </c>
      <c r="Q425">
        <v>100</v>
      </c>
      <c r="R425">
        <v>100</v>
      </c>
      <c r="S425">
        <v>10430</v>
      </c>
      <c r="T425">
        <v>100</v>
      </c>
      <c r="U425">
        <v>10430</v>
      </c>
      <c r="V425" t="str">
        <f>""</f>
        <v/>
      </c>
      <c r="W425">
        <v>42</v>
      </c>
      <c r="X425">
        <v>0</v>
      </c>
      <c r="Y425">
        <v>6000577</v>
      </c>
      <c r="Z425" t="str">
        <f>""</f>
        <v/>
      </c>
      <c r="AA425">
        <v>27</v>
      </c>
      <c r="AB425" t="str">
        <f>""</f>
        <v/>
      </c>
      <c r="AC425" t="str">
        <f>""</f>
        <v/>
      </c>
      <c r="AD425" t="str">
        <f>""</f>
        <v/>
      </c>
      <c r="AE425">
        <v>2013</v>
      </c>
      <c r="AF425">
        <v>2016</v>
      </c>
      <c r="AG425" t="str">
        <f>"Rosières-près-Troyes"</f>
        <v>Rosières-près-Troyes</v>
      </c>
      <c r="AH425" t="str">
        <f>"Rosières-près-Troyes"</f>
        <v>Rosières-près-Troyes</v>
      </c>
      <c r="AI425" t="str">
        <f>""</f>
        <v/>
      </c>
      <c r="AJ425" t="str">
        <f>""</f>
        <v/>
      </c>
      <c r="AK425" t="str">
        <f>""</f>
        <v/>
      </c>
      <c r="AL425">
        <v>54</v>
      </c>
      <c r="AM425" t="str">
        <f>""</f>
        <v/>
      </c>
      <c r="AN425" t="str">
        <f>""</f>
        <v/>
      </c>
      <c r="AO425" t="str">
        <f>"Lycée Camille Claudel"</f>
        <v>Lycée Camille Claudel</v>
      </c>
      <c r="AP425" t="str">
        <f>"TROYES"</f>
        <v>TROYES</v>
      </c>
      <c r="AQ425" t="str">
        <f>"Reims"</f>
        <v>Reims</v>
      </c>
    </row>
    <row r="426" spans="1:43" x14ac:dyDescent="0.25">
      <c r="A426" t="str">
        <f t="shared" si="78"/>
        <v>3A Att sortant,T00000</v>
      </c>
      <c r="B426" t="str">
        <f>"ZHU"</f>
        <v>ZHU</v>
      </c>
      <c r="C426" t="str">
        <f>"Céline"</f>
        <v>Céline</v>
      </c>
      <c r="D426" t="str">
        <f>"021-2079"</f>
        <v>021-2079</v>
      </c>
      <c r="E426" t="str">
        <f>"060372552FE"</f>
        <v>060372552FE</v>
      </c>
      <c r="F426" t="str">
        <f t="shared" si="75"/>
        <v>0352480F</v>
      </c>
      <c r="G426" t="str">
        <f t="shared" si="76"/>
        <v>O</v>
      </c>
      <c r="H426">
        <v>10</v>
      </c>
      <c r="I426">
        <v>2001</v>
      </c>
      <c r="J426">
        <v>2</v>
      </c>
      <c r="K426" t="str">
        <f t="shared" si="79"/>
        <v>S</v>
      </c>
      <c r="L426">
        <v>1</v>
      </c>
      <c r="M426">
        <v>2019</v>
      </c>
      <c r="N426" t="str">
        <f t="shared" si="81"/>
        <v>E</v>
      </c>
      <c r="O426" t="str">
        <f>"D"</f>
        <v>D</v>
      </c>
      <c r="P426">
        <v>0</v>
      </c>
      <c r="Q426">
        <v>100</v>
      </c>
      <c r="R426">
        <v>100</v>
      </c>
      <c r="S426">
        <v>35170</v>
      </c>
      <c r="T426">
        <v>100</v>
      </c>
      <c r="U426">
        <v>35170</v>
      </c>
      <c r="V426" t="str">
        <f>"TOEIC à l'ENSAI le 19/05/2022: score 975"</f>
        <v>TOEIC à l'ENSAI le 19/05/2022: score 975</v>
      </c>
      <c r="W426">
        <v>55</v>
      </c>
      <c r="X426">
        <v>0</v>
      </c>
      <c r="Y426">
        <v>6000577</v>
      </c>
      <c r="Z426" t="str">
        <f>""</f>
        <v/>
      </c>
      <c r="AA426">
        <v>27</v>
      </c>
      <c r="AB426" t="str">
        <f>""</f>
        <v/>
      </c>
      <c r="AC426" t="str">
        <f>""</f>
        <v/>
      </c>
      <c r="AD426" t="str">
        <f>""</f>
        <v/>
      </c>
      <c r="AE426">
        <v>2019</v>
      </c>
      <c r="AF426">
        <v>2021</v>
      </c>
      <c r="AG426" t="str">
        <f>"BRUZ"</f>
        <v>BRUZ</v>
      </c>
      <c r="AH426" t="str">
        <f>"BRUZ"</f>
        <v>BRUZ</v>
      </c>
      <c r="AI426" t="str">
        <f>""</f>
        <v/>
      </c>
      <c r="AJ426" t="str">
        <f>""</f>
        <v/>
      </c>
      <c r="AK426" t="str">
        <f>""</f>
        <v/>
      </c>
      <c r="AL426">
        <v>55</v>
      </c>
      <c r="AM426" t="str">
        <f>""</f>
        <v/>
      </c>
      <c r="AN426" t="str">
        <f>""</f>
        <v/>
      </c>
      <c r="AO426" t="str">
        <f>"LYCEE CLAUDE MONET"</f>
        <v>LYCEE CLAUDE MONET</v>
      </c>
      <c r="AP426" t="str">
        <f>"PARIS"</f>
        <v>PARIS</v>
      </c>
      <c r="AQ426" t="str">
        <f>"Paris"</f>
        <v>Paris</v>
      </c>
    </row>
    <row r="427" spans="1:43" x14ac:dyDescent="0.25">
      <c r="A427" t="str">
        <f>"3A Ing sortant"</f>
        <v>3A Ing sortant</v>
      </c>
      <c r="B427" t="str">
        <f>"OBRECHT"</f>
        <v>OBRECHT</v>
      </c>
      <c r="C427" t="str">
        <f>"Timothée"</f>
        <v>Timothée</v>
      </c>
      <c r="D427" t="str">
        <f>"020-1769"</f>
        <v>020-1769</v>
      </c>
      <c r="E427" t="str">
        <f>"1010010309T"</f>
        <v>1010010309T</v>
      </c>
      <c r="F427" t="str">
        <f t="shared" si="75"/>
        <v>0352480F</v>
      </c>
      <c r="G427" t="str">
        <f t="shared" si="76"/>
        <v>O</v>
      </c>
      <c r="H427">
        <v>10</v>
      </c>
      <c r="I427">
        <v>1999</v>
      </c>
      <c r="J427">
        <v>1</v>
      </c>
      <c r="K427" t="str">
        <f t="shared" si="79"/>
        <v>S</v>
      </c>
      <c r="L427">
        <v>10</v>
      </c>
      <c r="M427">
        <v>2017</v>
      </c>
      <c r="N427" t="str">
        <f t="shared" si="81"/>
        <v>E</v>
      </c>
      <c r="O427" t="str">
        <f>"A"</f>
        <v>A</v>
      </c>
      <c r="P427">
        <v>0</v>
      </c>
      <c r="Q427">
        <v>100</v>
      </c>
      <c r="R427">
        <v>100</v>
      </c>
      <c r="S427">
        <v>35170</v>
      </c>
      <c r="T427">
        <v>100</v>
      </c>
      <c r="U427">
        <v>35170</v>
      </c>
      <c r="V427" t="str">
        <f>"TOEIC à l'ENSAI le 2/11/2022 - 955"</f>
        <v>TOEIC à l'ENSAI le 2/11/2022 - 955</v>
      </c>
      <c r="W427">
        <v>0</v>
      </c>
      <c r="X427">
        <v>0</v>
      </c>
      <c r="Y427">
        <v>6000577</v>
      </c>
      <c r="Z427" t="str">
        <f>""</f>
        <v/>
      </c>
      <c r="AA427">
        <v>27</v>
      </c>
      <c r="AB427" t="str">
        <f>""</f>
        <v/>
      </c>
      <c r="AC427" t="str">
        <f>""</f>
        <v/>
      </c>
      <c r="AD427" t="str">
        <f>""</f>
        <v/>
      </c>
      <c r="AE427">
        <v>2017</v>
      </c>
      <c r="AF427">
        <v>2020</v>
      </c>
      <c r="AG427" t="str">
        <f>"BRUZ"</f>
        <v>BRUZ</v>
      </c>
      <c r="AH427" t="str">
        <f>"BRUZ"</f>
        <v>BRUZ</v>
      </c>
      <c r="AI427" t="str">
        <f>""</f>
        <v/>
      </c>
      <c r="AJ427" t="str">
        <f>""</f>
        <v/>
      </c>
      <c r="AK427" t="str">
        <f>""</f>
        <v/>
      </c>
      <c r="AL427">
        <v>0</v>
      </c>
      <c r="AM427" t="str">
        <f>""</f>
        <v/>
      </c>
      <c r="AN427" t="str">
        <f>""</f>
        <v/>
      </c>
      <c r="AO427" t="str">
        <f>"Edouard Herriot"</f>
        <v>Edouard Herriot</v>
      </c>
      <c r="AP427" t="str">
        <f>"LYON"</f>
        <v>LYON</v>
      </c>
      <c r="AQ427" t="str">
        <f>"Lyon"</f>
        <v>Lyon</v>
      </c>
    </row>
    <row r="428" spans="1:43" x14ac:dyDescent="0.25">
      <c r="A428" t="str">
        <f t="shared" ref="A428:A459" si="82">"3A Ing sortant,T00000"</f>
        <v>3A Ing sortant,T00000</v>
      </c>
      <c r="B428" t="str">
        <f>"ABOUD"</f>
        <v>ABOUD</v>
      </c>
      <c r="C428" t="str">
        <f>"Léa"</f>
        <v>Léa</v>
      </c>
      <c r="D428" t="str">
        <f>"021-1992"</f>
        <v>021-1992</v>
      </c>
      <c r="E428" t="str">
        <f>"153183385JC"</f>
        <v>153183385JC</v>
      </c>
      <c r="F428" t="str">
        <f t="shared" si="75"/>
        <v>0352480F</v>
      </c>
      <c r="G428" t="str">
        <f t="shared" si="76"/>
        <v>O</v>
      </c>
      <c r="H428">
        <v>10</v>
      </c>
      <c r="I428">
        <v>2001</v>
      </c>
      <c r="J428">
        <v>2</v>
      </c>
      <c r="K428" t="str">
        <f t="shared" si="79"/>
        <v>S</v>
      </c>
      <c r="L428">
        <v>17</v>
      </c>
      <c r="M428">
        <v>2019</v>
      </c>
      <c r="N428" t="str">
        <f t="shared" si="81"/>
        <v>E</v>
      </c>
      <c r="O428" t="str">
        <f>"A"</f>
        <v>A</v>
      </c>
      <c r="P428">
        <v>0</v>
      </c>
      <c r="Q428">
        <v>100</v>
      </c>
      <c r="R428">
        <v>100</v>
      </c>
      <c r="S428">
        <v>35170</v>
      </c>
      <c r="T428">
        <v>100</v>
      </c>
      <c r="U428">
        <v>35170</v>
      </c>
      <c r="V428" t="str">
        <f>"TOEIC à l'ENSAI le 31/05/2022: 980"</f>
        <v>TOEIC à l'ENSAI le 31/05/2022: 980</v>
      </c>
      <c r="W428">
        <v>72</v>
      </c>
      <c r="X428">
        <v>0</v>
      </c>
      <c r="Y428">
        <v>6000577</v>
      </c>
      <c r="Z428" t="str">
        <f>""</f>
        <v/>
      </c>
      <c r="AA428">
        <v>27</v>
      </c>
      <c r="AB428" t="str">
        <f>""</f>
        <v/>
      </c>
      <c r="AC428" t="str">
        <f>""</f>
        <v/>
      </c>
      <c r="AD428" t="str">
        <f>""</f>
        <v/>
      </c>
      <c r="AE428">
        <v>2019</v>
      </c>
      <c r="AF428">
        <v>2021</v>
      </c>
      <c r="AG428" t="str">
        <f>"Bruz"</f>
        <v>Bruz</v>
      </c>
      <c r="AH428" t="str">
        <f>"Bruz"</f>
        <v>Bruz</v>
      </c>
      <c r="AI428" t="str">
        <f>""</f>
        <v/>
      </c>
      <c r="AJ428" t="str">
        <f>""</f>
        <v/>
      </c>
      <c r="AK428" t="str">
        <f>""</f>
        <v/>
      </c>
      <c r="AL428">
        <v>37</v>
      </c>
      <c r="AM428" t="str">
        <f>""</f>
        <v/>
      </c>
      <c r="AN428" t="str">
        <f>""</f>
        <v/>
      </c>
      <c r="AO428" t="str">
        <f>"Saint Gabriel Saint Michel"</f>
        <v>Saint Gabriel Saint Michel</v>
      </c>
      <c r="AP428" t="str">
        <f>"SAINT LAURENT SUR SEVRE"</f>
        <v>SAINT LAURENT SUR SEVRE</v>
      </c>
      <c r="AQ428" t="str">
        <f>"Nantes"</f>
        <v>Nantes</v>
      </c>
    </row>
    <row r="429" spans="1:43" x14ac:dyDescent="0.25">
      <c r="A429" t="str">
        <f t="shared" si="82"/>
        <v>3A Ing sortant,T00000</v>
      </c>
      <c r="B429" t="str">
        <f>"AGONNOUDE"</f>
        <v>AGONNOUDE</v>
      </c>
      <c r="C429" t="str">
        <f>"Soayi Sonagnon Tom"</f>
        <v>Soayi Sonagnon Tom</v>
      </c>
      <c r="D429" t="str">
        <f>"022-2161"</f>
        <v>022-2161</v>
      </c>
      <c r="E429" t="str">
        <f>"213443912CK"</f>
        <v>213443912CK</v>
      </c>
      <c r="F429" t="str">
        <f t="shared" si="75"/>
        <v>0352480F</v>
      </c>
      <c r="G429" t="str">
        <f t="shared" si="76"/>
        <v>O</v>
      </c>
      <c r="H429">
        <v>10</v>
      </c>
      <c r="I429">
        <v>2002</v>
      </c>
      <c r="J429">
        <v>1</v>
      </c>
      <c r="K429">
        <v>31</v>
      </c>
      <c r="L429">
        <v>0</v>
      </c>
      <c r="M429">
        <v>2018</v>
      </c>
      <c r="N429" t="str">
        <f t="shared" si="81"/>
        <v>E</v>
      </c>
      <c r="O429" t="str">
        <f>"E"</f>
        <v>E</v>
      </c>
      <c r="P429">
        <v>0</v>
      </c>
      <c r="Q429">
        <v>327</v>
      </c>
      <c r="R429">
        <v>100</v>
      </c>
      <c r="S429">
        <v>35170</v>
      </c>
      <c r="T429">
        <v>100</v>
      </c>
      <c r="U429">
        <v>35170</v>
      </c>
      <c r="V429" t="str">
        <f>"Bénéficiaire d'une bourse Eiffel du 04/09/2022 au 31/08/2024  Linguaskill General à l'ENSAI le 10/11/2022 : niveau B2 en anglais certifié (score 176) = 910 au TOEIC"</f>
        <v>Bénéficiaire d'une bourse Eiffel du 04/09/2022 au 31/08/2024  Linguaskill General à l'ENSAI le 10/11/2022 : niveau B2 en anglais certifié (score 176) = 910 au TOEIC</v>
      </c>
      <c r="W429">
        <v>34</v>
      </c>
      <c r="X429">
        <v>0</v>
      </c>
      <c r="Y429">
        <v>6000577</v>
      </c>
      <c r="Z429" t="str">
        <f>""</f>
        <v/>
      </c>
      <c r="AA429">
        <v>27</v>
      </c>
      <c r="AB429" t="str">
        <f>""</f>
        <v/>
      </c>
      <c r="AC429" t="str">
        <f>""</f>
        <v/>
      </c>
      <c r="AD429" t="str">
        <f>""</f>
        <v/>
      </c>
      <c r="AE429">
        <v>2022</v>
      </c>
      <c r="AF429">
        <v>2022</v>
      </c>
      <c r="AG429" t="str">
        <f>"Bruz"</f>
        <v>Bruz</v>
      </c>
      <c r="AH429" t="str">
        <f>"Bruz"</f>
        <v>Bruz</v>
      </c>
      <c r="AI429" t="str">
        <f>""</f>
        <v/>
      </c>
      <c r="AJ429" t="str">
        <f>""</f>
        <v/>
      </c>
      <c r="AK429" t="str">
        <f>""</f>
        <v/>
      </c>
      <c r="AL429">
        <v>43</v>
      </c>
      <c r="AM429" t="str">
        <f>""</f>
        <v/>
      </c>
      <c r="AN429" t="str">
        <f>""</f>
        <v/>
      </c>
      <c r="AO429" t="str">
        <f>"Collège Catholique 'HIBISCUS'"</f>
        <v>Collège Catholique 'HIBISCUS'</v>
      </c>
      <c r="AP429" t="str">
        <f>"PARAKOU"</f>
        <v>PARAKOU</v>
      </c>
      <c r="AQ429" t="str">
        <f>"Etranger"</f>
        <v>Etranger</v>
      </c>
    </row>
    <row r="430" spans="1:43" x14ac:dyDescent="0.25">
      <c r="A430" t="str">
        <f t="shared" si="82"/>
        <v>3A Ing sortant,T00000</v>
      </c>
      <c r="B430" t="str">
        <f>"ALLAIN"</f>
        <v>ALLAIN</v>
      </c>
      <c r="C430" t="str">
        <f>"Louis"</f>
        <v>Louis</v>
      </c>
      <c r="D430" t="str">
        <f>"021-2072"</f>
        <v>021-2072</v>
      </c>
      <c r="E430" t="str">
        <f>"070748826GE"</f>
        <v>070748826GE</v>
      </c>
      <c r="F430" t="str">
        <f t="shared" si="75"/>
        <v>0352480F</v>
      </c>
      <c r="G430" t="str">
        <f t="shared" si="76"/>
        <v>O</v>
      </c>
      <c r="H430">
        <v>10</v>
      </c>
      <c r="I430">
        <v>2000</v>
      </c>
      <c r="J430">
        <v>1</v>
      </c>
      <c r="K430" t="str">
        <f>"S"</f>
        <v>S</v>
      </c>
      <c r="L430">
        <v>25</v>
      </c>
      <c r="M430">
        <v>2018</v>
      </c>
      <c r="N430" t="str">
        <f t="shared" si="81"/>
        <v>E</v>
      </c>
      <c r="O430" t="str">
        <f>"D"</f>
        <v>D</v>
      </c>
      <c r="P430">
        <v>0</v>
      </c>
      <c r="Q430">
        <v>100</v>
      </c>
      <c r="R430">
        <v>100</v>
      </c>
      <c r="S430">
        <v>35170</v>
      </c>
      <c r="T430">
        <v>100</v>
      </c>
      <c r="U430">
        <v>35170</v>
      </c>
      <c r="V430" t="str">
        <f>"TOEIC à l'ENSAI le 19/05/2022: 990"</f>
        <v>TOEIC à l'ENSAI le 19/05/2022: 990</v>
      </c>
      <c r="W430">
        <v>38</v>
      </c>
      <c r="X430">
        <v>0</v>
      </c>
      <c r="Y430">
        <v>6000577</v>
      </c>
      <c r="Z430" t="str">
        <f>""</f>
        <v/>
      </c>
      <c r="AA430">
        <v>27</v>
      </c>
      <c r="AB430" t="str">
        <f>""</f>
        <v/>
      </c>
      <c r="AC430" t="str">
        <f>""</f>
        <v/>
      </c>
      <c r="AD430" t="str">
        <f>""</f>
        <v/>
      </c>
      <c r="AE430">
        <v>2018</v>
      </c>
      <c r="AF430">
        <v>2021</v>
      </c>
      <c r="AG430" t="str">
        <f>"BRUZ"</f>
        <v>BRUZ</v>
      </c>
      <c r="AH430" t="str">
        <f>"BRUZ"</f>
        <v>BRUZ</v>
      </c>
      <c r="AI430" t="str">
        <f>""</f>
        <v/>
      </c>
      <c r="AJ430" t="str">
        <f>""</f>
        <v/>
      </c>
      <c r="AK430" t="str">
        <f>""</f>
        <v/>
      </c>
      <c r="AL430">
        <v>45</v>
      </c>
      <c r="AM430" t="str">
        <f>""</f>
        <v/>
      </c>
      <c r="AN430" t="str">
        <f>""</f>
        <v/>
      </c>
      <c r="AO430" t="str">
        <f>"La Bruyère"</f>
        <v>La Bruyère</v>
      </c>
      <c r="AP430" t="str">
        <f>"VERSAILLES"</f>
        <v>VERSAILLES</v>
      </c>
      <c r="AQ430" t="str">
        <f>"Versailles"</f>
        <v>Versailles</v>
      </c>
    </row>
    <row r="431" spans="1:43" x14ac:dyDescent="0.25">
      <c r="A431" t="str">
        <f t="shared" si="82"/>
        <v>3A Ing sortant,T00000</v>
      </c>
      <c r="B431" t="str">
        <f>"ALVES"</f>
        <v>ALVES</v>
      </c>
      <c r="C431" t="str">
        <f>"Paul-adrien"</f>
        <v>Paul-adrien</v>
      </c>
      <c r="D431" t="str">
        <f>"021-2049"</f>
        <v>021-2049</v>
      </c>
      <c r="E431" t="str">
        <f>"071313923JK"</f>
        <v>071313923JK</v>
      </c>
      <c r="F431" t="str">
        <f t="shared" si="75"/>
        <v>0352480F</v>
      </c>
      <c r="G431" t="str">
        <f t="shared" si="76"/>
        <v>O</v>
      </c>
      <c r="H431">
        <v>10</v>
      </c>
      <c r="I431">
        <v>2001</v>
      </c>
      <c r="J431">
        <v>1</v>
      </c>
      <c r="K431" t="str">
        <f>"S"</f>
        <v>S</v>
      </c>
      <c r="L431" t="str">
        <f>""</f>
        <v/>
      </c>
      <c r="M431">
        <v>2018</v>
      </c>
      <c r="N431" t="str">
        <f t="shared" si="81"/>
        <v>E</v>
      </c>
      <c r="O431" t="str">
        <f>"C"</f>
        <v>C</v>
      </c>
      <c r="P431">
        <v>0</v>
      </c>
      <c r="Q431">
        <v>100</v>
      </c>
      <c r="R431">
        <v>100</v>
      </c>
      <c r="S431">
        <v>35170</v>
      </c>
      <c r="T431">
        <v>100</v>
      </c>
      <c r="U431">
        <v>35170</v>
      </c>
      <c r="V431" t="str">
        <f>"TOEIC passé à IUT au 11/03/2021 - score 975  TOEIC 2A à l'ENSAI le 09/01/2023 - score 985"</f>
        <v>TOEIC passé à IUT au 11/03/2021 - score 975  TOEIC 2A à l'ENSAI le 09/01/2023 - score 985</v>
      </c>
      <c r="W431">
        <v>99</v>
      </c>
      <c r="X431">
        <v>0</v>
      </c>
      <c r="Y431">
        <v>6000577</v>
      </c>
      <c r="Z431" t="str">
        <f>""</f>
        <v/>
      </c>
      <c r="AA431">
        <v>27</v>
      </c>
      <c r="AB431" t="str">
        <f>""</f>
        <v/>
      </c>
      <c r="AC431" t="str">
        <f>""</f>
        <v/>
      </c>
      <c r="AD431" t="str">
        <f>""</f>
        <v/>
      </c>
      <c r="AE431">
        <v>2018</v>
      </c>
      <c r="AF431">
        <v>2021</v>
      </c>
      <c r="AG431" t="str">
        <f>"BRUZ"</f>
        <v>BRUZ</v>
      </c>
      <c r="AH431" t="str">
        <f>"BRUZ"</f>
        <v>BRUZ</v>
      </c>
      <c r="AI431" t="str">
        <f>""</f>
        <v/>
      </c>
      <c r="AJ431" t="str">
        <f>""</f>
        <v/>
      </c>
      <c r="AK431" t="str">
        <f>""</f>
        <v/>
      </c>
      <c r="AL431">
        <v>47</v>
      </c>
      <c r="AM431" t="str">
        <f>""</f>
        <v/>
      </c>
      <c r="AN431" t="str">
        <f>""</f>
        <v/>
      </c>
      <c r="AO431" t="str">
        <f>"Lycée Les Fontenelles"</f>
        <v>Lycée Les Fontenelles</v>
      </c>
      <c r="AP431" t="str">
        <f>"LOUVIERS"</f>
        <v>LOUVIERS</v>
      </c>
      <c r="AQ431" t="str">
        <f>""</f>
        <v/>
      </c>
    </row>
    <row r="432" spans="1:43" x14ac:dyDescent="0.25">
      <c r="A432" t="str">
        <f t="shared" si="82"/>
        <v>3A Ing sortant,T00000</v>
      </c>
      <c r="B432" t="str">
        <f>"AMOUSSOU"</f>
        <v>AMOUSSOU</v>
      </c>
      <c r="C432" t="str">
        <f>"Kokou"</f>
        <v>Kokou</v>
      </c>
      <c r="D432" t="str">
        <f>"022-2169"</f>
        <v>022-2169</v>
      </c>
      <c r="E432" t="str">
        <f>"213394796GD"</f>
        <v>213394796GD</v>
      </c>
      <c r="F432" t="str">
        <f t="shared" si="75"/>
        <v>0352480F</v>
      </c>
      <c r="G432" t="str">
        <f t="shared" si="76"/>
        <v>O</v>
      </c>
      <c r="H432">
        <v>10</v>
      </c>
      <c r="I432">
        <v>1996</v>
      </c>
      <c r="J432">
        <v>1</v>
      </c>
      <c r="K432" t="str">
        <f>"S"</f>
        <v>S</v>
      </c>
      <c r="L432">
        <v>0</v>
      </c>
      <c r="M432">
        <v>2014</v>
      </c>
      <c r="N432" t="str">
        <f t="shared" si="81"/>
        <v>E</v>
      </c>
      <c r="O432">
        <v>2</v>
      </c>
      <c r="P432">
        <v>0</v>
      </c>
      <c r="Q432">
        <v>345</v>
      </c>
      <c r="R432">
        <v>100</v>
      </c>
      <c r="S432">
        <v>35170</v>
      </c>
      <c r="T432">
        <v>100</v>
      </c>
      <c r="U432">
        <v>35170</v>
      </c>
      <c r="V432" t="str">
        <f>"TOEIC 3A à l'ENSAI le 23-01-2024 : score 575 (B1)"</f>
        <v>TOEIC 3A à l'ENSAI le 23-01-2024 : score 575 (B1)</v>
      </c>
      <c r="W432">
        <v>99</v>
      </c>
      <c r="X432">
        <v>0</v>
      </c>
      <c r="Y432">
        <v>6000577</v>
      </c>
      <c r="Z432" t="str">
        <f>""</f>
        <v/>
      </c>
      <c r="AA432">
        <v>27</v>
      </c>
      <c r="AB432" t="str">
        <f>""</f>
        <v/>
      </c>
      <c r="AC432" t="str">
        <f>""</f>
        <v/>
      </c>
      <c r="AD432" t="str">
        <f>""</f>
        <v/>
      </c>
      <c r="AE432">
        <v>2022</v>
      </c>
      <c r="AF432">
        <v>2022</v>
      </c>
      <c r="AG432" t="str">
        <f t="shared" ref="AG432:AH434" si="83">"Bruz"</f>
        <v>Bruz</v>
      </c>
      <c r="AH432" t="str">
        <f t="shared" si="83"/>
        <v>Bruz</v>
      </c>
      <c r="AI432" t="str">
        <f>""</f>
        <v/>
      </c>
      <c r="AJ432" t="str">
        <f>""</f>
        <v/>
      </c>
      <c r="AK432" t="str">
        <f>""</f>
        <v/>
      </c>
      <c r="AL432">
        <v>99</v>
      </c>
      <c r="AM432" t="str">
        <f>""</f>
        <v/>
      </c>
      <c r="AN432" t="str">
        <f>""</f>
        <v/>
      </c>
      <c r="AO432" t="str">
        <f>"Lycée d'Enseignement Général d'Adidogomé Lomé"</f>
        <v>Lycée d'Enseignement Général d'Adidogomé Lomé</v>
      </c>
      <c r="AP432" t="str">
        <f>"LOMÉ"</f>
        <v>LOMÉ</v>
      </c>
      <c r="AQ432" t="str">
        <f>"Etranger"</f>
        <v>Etranger</v>
      </c>
    </row>
    <row r="433" spans="1:43" x14ac:dyDescent="0.25">
      <c r="A433" t="str">
        <f t="shared" si="82"/>
        <v>3A Ing sortant,T00000</v>
      </c>
      <c r="B433" t="str">
        <f>"AOUACHRI"</f>
        <v>AOUACHRI</v>
      </c>
      <c r="C433" t="str">
        <f>"Omar"</f>
        <v>Omar</v>
      </c>
      <c r="D433" t="str">
        <f>"022-2181"</f>
        <v>022-2181</v>
      </c>
      <c r="E433" t="str">
        <f>"213445305KB"</f>
        <v>213445305KB</v>
      </c>
      <c r="F433" t="str">
        <f t="shared" si="75"/>
        <v>0352480F</v>
      </c>
      <c r="G433" t="str">
        <f t="shared" si="76"/>
        <v>O</v>
      </c>
      <c r="H433">
        <v>10</v>
      </c>
      <c r="I433">
        <v>1999</v>
      </c>
      <c r="J433">
        <v>1</v>
      </c>
      <c r="K433">
        <v>31</v>
      </c>
      <c r="L433">
        <v>0</v>
      </c>
      <c r="M433">
        <v>2018</v>
      </c>
      <c r="N433" t="str">
        <f t="shared" si="81"/>
        <v>E</v>
      </c>
      <c r="O433">
        <v>1</v>
      </c>
      <c r="P433">
        <v>0</v>
      </c>
      <c r="Q433">
        <v>351</v>
      </c>
      <c r="R433">
        <v>100</v>
      </c>
      <c r="S433">
        <v>35170</v>
      </c>
      <c r="T433">
        <v>100</v>
      </c>
      <c r="U433">
        <v>35170</v>
      </c>
      <c r="V433" t="str">
        <f>"Bénéficiaire de la bourse d'état du 01/09/2022 au 30/05/2023 (durée 9 mois)  TOEIC 2A : 775  TOEIC 3A à l'ENSAI le 23-01-2024 : score 840 (B2)"</f>
        <v>Bénéficiaire de la bourse d'état du 01/09/2022 au 30/05/2023 (durée 9 mois)  TOEIC 2A : 775  TOEIC 3A à l'ENSAI le 23-01-2024 : score 840 (B2)</v>
      </c>
      <c r="W433">
        <v>33</v>
      </c>
      <c r="X433">
        <v>0</v>
      </c>
      <c r="Y433">
        <v>6000577</v>
      </c>
      <c r="Z433" t="str">
        <f>""</f>
        <v/>
      </c>
      <c r="AA433">
        <v>27</v>
      </c>
      <c r="AB433" t="str">
        <f>""</f>
        <v/>
      </c>
      <c r="AC433" t="str">
        <f>""</f>
        <v/>
      </c>
      <c r="AD433" t="str">
        <f>""</f>
        <v/>
      </c>
      <c r="AE433">
        <v>2022</v>
      </c>
      <c r="AF433">
        <v>2022</v>
      </c>
      <c r="AG433" t="str">
        <f t="shared" si="83"/>
        <v>Bruz</v>
      </c>
      <c r="AH433" t="str">
        <f t="shared" si="83"/>
        <v>Bruz</v>
      </c>
      <c r="AI433" t="str">
        <f>""</f>
        <v/>
      </c>
      <c r="AJ433" t="str">
        <f>""</f>
        <v/>
      </c>
      <c r="AK433" t="str">
        <f>""</f>
        <v/>
      </c>
      <c r="AL433">
        <v>81</v>
      </c>
      <c r="AM433" t="str">
        <f>""</f>
        <v/>
      </c>
      <c r="AN433" t="str">
        <f>""</f>
        <v/>
      </c>
      <c r="AO433" t="str">
        <f>""</f>
        <v/>
      </c>
      <c r="AP433" t="str">
        <f>""</f>
        <v/>
      </c>
      <c r="AQ433" t="str">
        <f>"Etranger"</f>
        <v>Etranger</v>
      </c>
    </row>
    <row r="434" spans="1:43" x14ac:dyDescent="0.25">
      <c r="A434" t="str">
        <f t="shared" si="82"/>
        <v>3A Ing sortant,T00000</v>
      </c>
      <c r="B434" t="str">
        <f>"ASSILI"</f>
        <v>ASSILI</v>
      </c>
      <c r="C434" t="str">
        <f>"Mohamed"</f>
        <v>Mohamed</v>
      </c>
      <c r="D434" t="str">
        <f>"021-2020"</f>
        <v>021-2020</v>
      </c>
      <c r="E434" t="str">
        <f>"213147114AH"</f>
        <v>213147114AH</v>
      </c>
      <c r="F434" t="str">
        <f t="shared" si="75"/>
        <v>0352480F</v>
      </c>
      <c r="G434" t="str">
        <f t="shared" si="76"/>
        <v>O</v>
      </c>
      <c r="H434">
        <v>10</v>
      </c>
      <c r="I434">
        <v>2002</v>
      </c>
      <c r="J434">
        <v>1</v>
      </c>
      <c r="K434">
        <v>31</v>
      </c>
      <c r="L434">
        <v>0</v>
      </c>
      <c r="M434">
        <v>2019</v>
      </c>
      <c r="N434" t="str">
        <f t="shared" si="81"/>
        <v>E</v>
      </c>
      <c r="O434">
        <v>2</v>
      </c>
      <c r="P434">
        <v>0</v>
      </c>
      <c r="Q434">
        <v>350</v>
      </c>
      <c r="R434">
        <v>100</v>
      </c>
      <c r="S434">
        <v>35170</v>
      </c>
      <c r="T434">
        <v>100</v>
      </c>
      <c r="U434">
        <v>35170</v>
      </c>
      <c r="V434" t="str">
        <f>"Linguaskill General à l'ENSAI le 10/11/2022 : niveau B2 en anglais certifié (score 170) = 865 au TOEIC"</f>
        <v>Linguaskill General à l'ENSAI le 10/11/2022 : niveau B2 en anglais certifié (score 170) = 865 au TOEIC</v>
      </c>
      <c r="W434">
        <v>38</v>
      </c>
      <c r="X434">
        <v>0</v>
      </c>
      <c r="Y434">
        <v>6000577</v>
      </c>
      <c r="Z434" t="str">
        <f>""</f>
        <v/>
      </c>
      <c r="AA434">
        <v>27</v>
      </c>
      <c r="AB434" t="str">
        <f>""</f>
        <v/>
      </c>
      <c r="AC434" t="str">
        <f>""</f>
        <v/>
      </c>
      <c r="AD434" t="str">
        <f>""</f>
        <v/>
      </c>
      <c r="AE434">
        <v>2021</v>
      </c>
      <c r="AF434">
        <v>2021</v>
      </c>
      <c r="AG434" t="str">
        <f t="shared" si="83"/>
        <v>Bruz</v>
      </c>
      <c r="AH434" t="str">
        <f t="shared" si="83"/>
        <v>Bruz</v>
      </c>
      <c r="AI434" t="str">
        <f>""</f>
        <v/>
      </c>
      <c r="AJ434" t="str">
        <f>""</f>
        <v/>
      </c>
      <c r="AK434" t="str">
        <f>""</f>
        <v/>
      </c>
      <c r="AL434">
        <v>99</v>
      </c>
      <c r="AM434" t="str">
        <f>""</f>
        <v/>
      </c>
      <c r="AN434" t="str">
        <f>""</f>
        <v/>
      </c>
      <c r="AO434" t="str">
        <f>"Lycée Anisse"</f>
        <v>Lycée Anisse</v>
      </c>
      <c r="AP434" t="str">
        <f>"CASABLANCA"</f>
        <v>CASABLANCA</v>
      </c>
      <c r="AQ434" t="str">
        <f>"Etranger"</f>
        <v>Etranger</v>
      </c>
    </row>
    <row r="435" spans="1:43" x14ac:dyDescent="0.25">
      <c r="A435" t="str">
        <f t="shared" si="82"/>
        <v>3A Ing sortant,T00000</v>
      </c>
      <c r="B435" t="str">
        <f>"AYEVA"</f>
        <v>AYEVA</v>
      </c>
      <c r="C435" t="str">
        <f>"Nidayatou"</f>
        <v>Nidayatou</v>
      </c>
      <c r="D435" t="str">
        <f>"022-2162"</f>
        <v>022-2162</v>
      </c>
      <c r="E435" t="str">
        <f>"213428066GE"</f>
        <v>213428066GE</v>
      </c>
      <c r="F435" t="str">
        <f t="shared" si="75"/>
        <v>0352480F</v>
      </c>
      <c r="G435" t="str">
        <f t="shared" si="76"/>
        <v>O</v>
      </c>
      <c r="H435">
        <v>10</v>
      </c>
      <c r="I435">
        <v>2001</v>
      </c>
      <c r="J435">
        <v>2</v>
      </c>
      <c r="K435" t="str">
        <f>"C"</f>
        <v>C</v>
      </c>
      <c r="L435">
        <v>0</v>
      </c>
      <c r="M435">
        <v>2018</v>
      </c>
      <c r="N435" t="str">
        <f t="shared" si="81"/>
        <v>E</v>
      </c>
      <c r="O435">
        <v>2</v>
      </c>
      <c r="P435">
        <v>0</v>
      </c>
      <c r="Q435">
        <v>345</v>
      </c>
      <c r="R435">
        <v>100</v>
      </c>
      <c r="S435">
        <v>35200</v>
      </c>
      <c r="T435">
        <v>100</v>
      </c>
      <c r="U435">
        <v>35200</v>
      </c>
      <c r="V435" t="str">
        <f>"3A Linguaskill General hors ENSAI : 09/2024 : score 172 (B2) = 880* TOEIC    3A Linguaskill à l'ENSAI le 01-03-2024 : score 157 (B1) = 760* TOEIC  3A TOEIC à l'ENSAI le 23-01-2024 : score 735 (B1)  2A TOEIC : 715"</f>
        <v>3A Linguaskill General hors ENSAI : 09/2024 : score 172 (B2) = 880* TOEIC    3A Linguaskill à l'ENSAI le 01-03-2024 : score 157 (B1) = 760* TOEIC  3A TOEIC à l'ENSAI le 23-01-2024 : score 735 (B1)  2A TOEIC : 715</v>
      </c>
      <c r="W435">
        <v>54</v>
      </c>
      <c r="X435">
        <v>0</v>
      </c>
      <c r="Y435">
        <v>6000577</v>
      </c>
      <c r="Z435" t="str">
        <f>""</f>
        <v/>
      </c>
      <c r="AA435">
        <v>27</v>
      </c>
      <c r="AB435" t="str">
        <f>""</f>
        <v/>
      </c>
      <c r="AC435" t="str">
        <f>""</f>
        <v/>
      </c>
      <c r="AD435" t="str">
        <f>""</f>
        <v/>
      </c>
      <c r="AE435">
        <v>2022</v>
      </c>
      <c r="AF435">
        <v>2022</v>
      </c>
      <c r="AG435" t="str">
        <f t="shared" ref="AG435:AH437" si="84">"Rennes"</f>
        <v>Rennes</v>
      </c>
      <c r="AH435" t="str">
        <f t="shared" si="84"/>
        <v>Rennes</v>
      </c>
      <c r="AI435" t="str">
        <f>""</f>
        <v/>
      </c>
      <c r="AJ435" t="str">
        <f>""</f>
        <v/>
      </c>
      <c r="AK435" t="str">
        <f>""</f>
        <v/>
      </c>
      <c r="AL435">
        <v>38</v>
      </c>
      <c r="AM435" t="str">
        <f>""</f>
        <v/>
      </c>
      <c r="AN435" t="str">
        <f>""</f>
        <v/>
      </c>
      <c r="AO435" t="str">
        <f>"Lycée Scientifique de Lomé"</f>
        <v>Lycée Scientifique de Lomé</v>
      </c>
      <c r="AP435" t="str">
        <f>"LOMÉ"</f>
        <v>LOMÉ</v>
      </c>
      <c r="AQ435" t="str">
        <f>"Etranger"</f>
        <v>Etranger</v>
      </c>
    </row>
    <row r="436" spans="1:43" x14ac:dyDescent="0.25">
      <c r="A436" t="str">
        <f t="shared" si="82"/>
        <v>3A Ing sortant,T00000</v>
      </c>
      <c r="B436" t="str">
        <f>"BAIETTO"</f>
        <v>BAIETTO</v>
      </c>
      <c r="C436" t="str">
        <f>"Mélissa"</f>
        <v>Mélissa</v>
      </c>
      <c r="D436" t="str">
        <f>"021-1945"</f>
        <v>021-1945</v>
      </c>
      <c r="E436" t="str">
        <f>"070586414AB"</f>
        <v>070586414AB</v>
      </c>
      <c r="F436" t="str">
        <f t="shared" si="75"/>
        <v>0352480F</v>
      </c>
      <c r="G436" t="str">
        <f t="shared" si="76"/>
        <v>O</v>
      </c>
      <c r="H436">
        <v>10</v>
      </c>
      <c r="I436">
        <v>2000</v>
      </c>
      <c r="J436">
        <v>2</v>
      </c>
      <c r="K436" t="str">
        <f>"S"</f>
        <v>S</v>
      </c>
      <c r="L436">
        <v>23</v>
      </c>
      <c r="M436">
        <v>2018</v>
      </c>
      <c r="N436" t="str">
        <f t="shared" si="81"/>
        <v>E</v>
      </c>
      <c r="O436" t="str">
        <f>"N"</f>
        <v>N</v>
      </c>
      <c r="P436">
        <v>0</v>
      </c>
      <c r="Q436">
        <v>100</v>
      </c>
      <c r="R436">
        <v>100</v>
      </c>
      <c r="S436">
        <v>35000</v>
      </c>
      <c r="T436">
        <v>100</v>
      </c>
      <c r="U436">
        <v>35000</v>
      </c>
      <c r="V436" t="str">
        <f>"Linguaskill à l'ENSAI le 31/05/2022: score 164 = niveau B2 = 820 au TOEIC"</f>
        <v>Linguaskill à l'ENSAI le 31/05/2022: score 164 = niveau B2 = 820 au TOEIC</v>
      </c>
      <c r="W436">
        <v>61</v>
      </c>
      <c r="X436">
        <v>0</v>
      </c>
      <c r="Y436">
        <v>6000577</v>
      </c>
      <c r="Z436" t="str">
        <f>""</f>
        <v/>
      </c>
      <c r="AA436">
        <v>27</v>
      </c>
      <c r="AB436" t="str">
        <f>""</f>
        <v/>
      </c>
      <c r="AC436" t="str">
        <f>""</f>
        <v/>
      </c>
      <c r="AD436" t="str">
        <f>""</f>
        <v/>
      </c>
      <c r="AE436">
        <v>2018</v>
      </c>
      <c r="AF436">
        <v>2021</v>
      </c>
      <c r="AG436" t="str">
        <f t="shared" si="84"/>
        <v>Rennes</v>
      </c>
      <c r="AH436" t="str">
        <f t="shared" si="84"/>
        <v>Rennes</v>
      </c>
      <c r="AI436" t="str">
        <f>""</f>
        <v/>
      </c>
      <c r="AJ436" t="str">
        <f>""</f>
        <v/>
      </c>
      <c r="AK436" t="str">
        <f>""</f>
        <v/>
      </c>
      <c r="AL436">
        <v>56</v>
      </c>
      <c r="AM436" t="str">
        <f>""</f>
        <v/>
      </c>
      <c r="AN436" t="str">
        <f>""</f>
        <v/>
      </c>
      <c r="AO436" t="str">
        <f>"Thierry Maulnier"</f>
        <v>Thierry Maulnier</v>
      </c>
      <c r="AP436" t="str">
        <f>"NICE"</f>
        <v>NICE</v>
      </c>
      <c r="AQ436" t="str">
        <f>"Nice"</f>
        <v>Nice</v>
      </c>
    </row>
    <row r="437" spans="1:43" x14ac:dyDescent="0.25">
      <c r="A437" t="str">
        <f t="shared" si="82"/>
        <v>3A Ing sortant,T00000</v>
      </c>
      <c r="B437" t="str">
        <f>"BALCI"</f>
        <v>BALCI</v>
      </c>
      <c r="C437" t="str">
        <f>"Hüseyin Yusuf Han"</f>
        <v>Hüseyin Yusuf Han</v>
      </c>
      <c r="D437" t="str">
        <f>"023-2413"</f>
        <v>023-2413</v>
      </c>
      <c r="E437" t="str">
        <f>"223369224EJ"</f>
        <v>223369224EJ</v>
      </c>
      <c r="F437" t="str">
        <f t="shared" si="75"/>
        <v>0352480F</v>
      </c>
      <c r="G437" t="str">
        <f t="shared" si="76"/>
        <v>O</v>
      </c>
      <c r="H437">
        <v>10</v>
      </c>
      <c r="I437">
        <v>2002</v>
      </c>
      <c r="J437">
        <v>1</v>
      </c>
      <c r="K437" t="str">
        <f>""</f>
        <v/>
      </c>
      <c r="L437">
        <v>0</v>
      </c>
      <c r="M437">
        <v>2019</v>
      </c>
      <c r="N437" t="str">
        <f t="shared" si="81"/>
        <v>E</v>
      </c>
      <c r="O437" t="str">
        <f>"N"</f>
        <v>N</v>
      </c>
      <c r="P437">
        <v>0</v>
      </c>
      <c r="Q437">
        <v>135</v>
      </c>
      <c r="R437">
        <v>100</v>
      </c>
      <c r="S437">
        <v>35700</v>
      </c>
      <c r="T437">
        <v>100</v>
      </c>
      <c r="U437">
        <v>35700</v>
      </c>
      <c r="V437" t="str">
        <f>""</f>
        <v/>
      </c>
      <c r="W437">
        <v>23</v>
      </c>
      <c r="X437">
        <v>0</v>
      </c>
      <c r="Y437">
        <v>6000577</v>
      </c>
      <c r="Z437" t="str">
        <f>""</f>
        <v/>
      </c>
      <c r="AA437">
        <v>27</v>
      </c>
      <c r="AB437" t="str">
        <f>""</f>
        <v/>
      </c>
      <c r="AC437" t="str">
        <f>""</f>
        <v/>
      </c>
      <c r="AD437" t="str">
        <f>""</f>
        <v/>
      </c>
      <c r="AE437" t="str">
        <f>""</f>
        <v/>
      </c>
      <c r="AF437">
        <v>2023</v>
      </c>
      <c r="AG437" t="str">
        <f t="shared" si="84"/>
        <v>Rennes</v>
      </c>
      <c r="AH437" t="str">
        <f t="shared" si="84"/>
        <v>Rennes</v>
      </c>
      <c r="AI437" t="str">
        <f>""</f>
        <v/>
      </c>
      <c r="AJ437" t="str">
        <f>""</f>
        <v/>
      </c>
      <c r="AK437" t="str">
        <f>""</f>
        <v/>
      </c>
      <c r="AL437">
        <v>23</v>
      </c>
      <c r="AM437" t="str">
        <f>""</f>
        <v/>
      </c>
      <c r="AN437" t="str">
        <f>""</f>
        <v/>
      </c>
      <c r="AO437" t="str">
        <f>"Marnix Gymnasium"</f>
        <v>Marnix Gymnasium</v>
      </c>
      <c r="AP437" t="str">
        <f>"ROTTERDAM"</f>
        <v>ROTTERDAM</v>
      </c>
      <c r="AQ437" t="str">
        <f>"Etranger"</f>
        <v>Etranger</v>
      </c>
    </row>
    <row r="438" spans="1:43" x14ac:dyDescent="0.25">
      <c r="A438" t="str">
        <f t="shared" si="82"/>
        <v>3A Ing sortant,T00000</v>
      </c>
      <c r="B438" t="str">
        <f>"BARRAY"</f>
        <v>BARRAY</v>
      </c>
      <c r="C438" t="str">
        <f>"Sven"</f>
        <v>Sven</v>
      </c>
      <c r="D438" t="str">
        <f>"021-1951"</f>
        <v>021-1951</v>
      </c>
      <c r="E438" t="str">
        <f>"1808037005P"</f>
        <v>1808037005P</v>
      </c>
      <c r="F438" t="str">
        <f t="shared" si="75"/>
        <v>0352480F</v>
      </c>
      <c r="G438" t="str">
        <f t="shared" si="76"/>
        <v>O</v>
      </c>
      <c r="H438">
        <v>10</v>
      </c>
      <c r="I438">
        <v>1992</v>
      </c>
      <c r="J438">
        <v>1</v>
      </c>
      <c r="K438" t="str">
        <f>"S"</f>
        <v>S</v>
      </c>
      <c r="L438">
        <v>18</v>
      </c>
      <c r="M438">
        <v>2010</v>
      </c>
      <c r="N438" t="str">
        <f t="shared" si="81"/>
        <v>E</v>
      </c>
      <c r="O438" t="str">
        <f>"C"</f>
        <v>C</v>
      </c>
      <c r="P438">
        <v>0</v>
      </c>
      <c r="Q438">
        <v>100</v>
      </c>
      <c r="R438">
        <v>100</v>
      </c>
      <c r="S438">
        <v>35000</v>
      </c>
      <c r="T438">
        <v>100</v>
      </c>
      <c r="U438">
        <v>35000</v>
      </c>
      <c r="V438" t="str">
        <f>"TOEIC à l'ENSAI le 19/05/2022"</f>
        <v>TOEIC à l'ENSAI le 19/05/2022</v>
      </c>
      <c r="W438">
        <v>37</v>
      </c>
      <c r="X438">
        <v>0</v>
      </c>
      <c r="Y438">
        <v>6000577</v>
      </c>
      <c r="Z438" t="str">
        <f>""</f>
        <v/>
      </c>
      <c r="AA438">
        <v>27</v>
      </c>
      <c r="AB438" t="str">
        <f>""</f>
        <v/>
      </c>
      <c r="AC438" t="str">
        <f>""</f>
        <v/>
      </c>
      <c r="AD438" t="str">
        <f>""</f>
        <v/>
      </c>
      <c r="AE438">
        <v>2010</v>
      </c>
      <c r="AF438">
        <v>2021</v>
      </c>
      <c r="AG438" t="str">
        <f>"RENNES"</f>
        <v>RENNES</v>
      </c>
      <c r="AH438" t="str">
        <f>"RENNES"</f>
        <v>RENNES</v>
      </c>
      <c r="AI438" t="str">
        <f>""</f>
        <v/>
      </c>
      <c r="AJ438" t="str">
        <f>""</f>
        <v/>
      </c>
      <c r="AK438" t="str">
        <f>""</f>
        <v/>
      </c>
      <c r="AL438">
        <v>0</v>
      </c>
      <c r="AM438" t="str">
        <f>""</f>
        <v/>
      </c>
      <c r="AN438" t="str">
        <f>""</f>
        <v/>
      </c>
      <c r="AO438" t="str">
        <f>"Lycée Saint Grégoire"</f>
        <v>Lycée Saint Grégoire</v>
      </c>
      <c r="AP438" t="str">
        <f>"TOURS"</f>
        <v>TOURS</v>
      </c>
      <c r="AQ438" t="str">
        <f>"Orléans-Tours"</f>
        <v>Orléans-Tours</v>
      </c>
    </row>
    <row r="439" spans="1:43" x14ac:dyDescent="0.25">
      <c r="A439" t="str">
        <f t="shared" si="82"/>
        <v>3A Ing sortant,T00000</v>
      </c>
      <c r="B439" t="str">
        <f>"BELKEBIR-MEKKI"</f>
        <v>BELKEBIR-MEKKI</v>
      </c>
      <c r="C439" t="str">
        <f>"Amina"</f>
        <v>Amina</v>
      </c>
      <c r="D439" t="str">
        <f>"021-1943"</f>
        <v>021-1943</v>
      </c>
      <c r="E439" t="str">
        <f>"070653307DJ"</f>
        <v>070653307DJ</v>
      </c>
      <c r="F439" t="str">
        <f t="shared" si="75"/>
        <v>0352480F</v>
      </c>
      <c r="G439" t="str">
        <f t="shared" si="76"/>
        <v>O</v>
      </c>
      <c r="H439">
        <v>10</v>
      </c>
      <c r="I439">
        <v>2000</v>
      </c>
      <c r="J439">
        <v>2</v>
      </c>
      <c r="K439" t="str">
        <f>"S"</f>
        <v>S</v>
      </c>
      <c r="L439">
        <v>13</v>
      </c>
      <c r="M439">
        <v>2018</v>
      </c>
      <c r="N439" t="str">
        <f t="shared" si="81"/>
        <v>E</v>
      </c>
      <c r="O439" t="str">
        <f>"D"</f>
        <v>D</v>
      </c>
      <c r="P439">
        <v>0</v>
      </c>
      <c r="Q439">
        <v>100</v>
      </c>
      <c r="R439">
        <v>100</v>
      </c>
      <c r="S439">
        <v>35136</v>
      </c>
      <c r="T439">
        <v>100</v>
      </c>
      <c r="U439">
        <v>35136</v>
      </c>
      <c r="V439" t="str">
        <f>"Linguaskill à l'ENSAI le 31/05/2022 - score 180+ = niveau C1 = 945 au TOEIC"</f>
        <v>Linguaskill à l'ENSAI le 31/05/2022 - score 180+ = niveau C1 = 945 au TOEIC</v>
      </c>
      <c r="W439">
        <v>56</v>
      </c>
      <c r="X439">
        <v>0</v>
      </c>
      <c r="Y439">
        <v>6000577</v>
      </c>
      <c r="Z439" t="str">
        <f>""</f>
        <v/>
      </c>
      <c r="AA439">
        <v>27</v>
      </c>
      <c r="AB439" t="str">
        <f>""</f>
        <v/>
      </c>
      <c r="AC439" t="str">
        <f>""</f>
        <v/>
      </c>
      <c r="AD439" t="str">
        <f>""</f>
        <v/>
      </c>
      <c r="AE439">
        <v>2018</v>
      </c>
      <c r="AF439">
        <v>2021</v>
      </c>
      <c r="AG439" t="str">
        <f>"Saint Jacques de la Lande"</f>
        <v>Saint Jacques de la Lande</v>
      </c>
      <c r="AH439" t="str">
        <f>"Saint Jacques de la Lande"</f>
        <v>Saint Jacques de la Lande</v>
      </c>
      <c r="AI439" t="str">
        <f>""</f>
        <v/>
      </c>
      <c r="AJ439" t="str">
        <f>""</f>
        <v/>
      </c>
      <c r="AK439" t="str">
        <f>""</f>
        <v/>
      </c>
      <c r="AL439">
        <v>99</v>
      </c>
      <c r="AM439" t="str">
        <f>""</f>
        <v/>
      </c>
      <c r="AN439" t="str">
        <f>""</f>
        <v/>
      </c>
      <c r="AO439" t="str">
        <f>"Camilla Guérin"</f>
        <v>Camilla Guérin</v>
      </c>
      <c r="AP439" t="str">
        <f>"POITIERS"</f>
        <v>POITIERS</v>
      </c>
      <c r="AQ439" t="str">
        <f>"Poitiers"</f>
        <v>Poitiers</v>
      </c>
    </row>
    <row r="440" spans="1:43" x14ac:dyDescent="0.25">
      <c r="A440" t="str">
        <f t="shared" si="82"/>
        <v>3A Ing sortant,T00000</v>
      </c>
      <c r="B440" t="str">
        <f>"BERRAHO"</f>
        <v>BERRAHO</v>
      </c>
      <c r="C440" t="str">
        <f>"Layla"</f>
        <v>Layla</v>
      </c>
      <c r="D440" t="str">
        <f>"021-2035"</f>
        <v>021-2035</v>
      </c>
      <c r="E440" t="str">
        <f>"213099703JC"</f>
        <v>213099703JC</v>
      </c>
      <c r="F440" t="str">
        <f t="shared" si="75"/>
        <v>0352480F</v>
      </c>
      <c r="G440" t="str">
        <f t="shared" si="76"/>
        <v>O</v>
      </c>
      <c r="H440">
        <v>10</v>
      </c>
      <c r="I440">
        <v>2002</v>
      </c>
      <c r="J440">
        <v>2</v>
      </c>
      <c r="K440">
        <v>31</v>
      </c>
      <c r="L440">
        <v>0</v>
      </c>
      <c r="M440">
        <v>2019</v>
      </c>
      <c r="N440" t="str">
        <f t="shared" si="81"/>
        <v>E</v>
      </c>
      <c r="O440">
        <v>1</v>
      </c>
      <c r="P440">
        <v>0</v>
      </c>
      <c r="Q440">
        <v>350</v>
      </c>
      <c r="R440">
        <v>100</v>
      </c>
      <c r="S440">
        <v>35170</v>
      </c>
      <c r="T440">
        <v>100</v>
      </c>
      <c r="U440">
        <v>35170</v>
      </c>
      <c r="V440" t="str">
        <f>"TOEIC à l'ENSAI le 19/05/2022: score 950"</f>
        <v>TOEIC à l'ENSAI le 19/05/2022: score 950</v>
      </c>
      <c r="W440">
        <v>0</v>
      </c>
      <c r="X440">
        <v>0</v>
      </c>
      <c r="Y440">
        <v>6000577</v>
      </c>
      <c r="Z440" t="str">
        <f>""</f>
        <v/>
      </c>
      <c r="AA440">
        <v>27</v>
      </c>
      <c r="AB440" t="str">
        <f>""</f>
        <v/>
      </c>
      <c r="AC440" t="str">
        <f>""</f>
        <v/>
      </c>
      <c r="AD440" t="str">
        <f>""</f>
        <v/>
      </c>
      <c r="AE440">
        <v>2021</v>
      </c>
      <c r="AF440">
        <v>2021</v>
      </c>
      <c r="AG440" t="str">
        <f>"BRUZ"</f>
        <v>BRUZ</v>
      </c>
      <c r="AH440" t="str">
        <f>"BRUZ"</f>
        <v>BRUZ</v>
      </c>
      <c r="AI440" t="str">
        <f>""</f>
        <v/>
      </c>
      <c r="AJ440" t="str">
        <f>""</f>
        <v/>
      </c>
      <c r="AK440" t="str">
        <f>""</f>
        <v/>
      </c>
      <c r="AL440">
        <v>0</v>
      </c>
      <c r="AM440" t="str">
        <f>""</f>
        <v/>
      </c>
      <c r="AN440" t="str">
        <f>""</f>
        <v/>
      </c>
      <c r="AO440" t="str">
        <f>"Al jabr"</f>
        <v>Al jabr</v>
      </c>
      <c r="AP440" t="str">
        <f>"FES"</f>
        <v>FES</v>
      </c>
      <c r="AQ440" t="str">
        <f>"Etranger"</f>
        <v>Etranger</v>
      </c>
    </row>
    <row r="441" spans="1:43" x14ac:dyDescent="0.25">
      <c r="A441" t="str">
        <f t="shared" si="82"/>
        <v>3A Ing sortant,T00000</v>
      </c>
      <c r="B441" t="str">
        <f>"BLANCHARD"</f>
        <v>BLANCHARD</v>
      </c>
      <c r="C441" t="str">
        <f>"Ilona"</f>
        <v>Ilona</v>
      </c>
      <c r="D441" t="str">
        <f>"021-1978"</f>
        <v>021-1978</v>
      </c>
      <c r="E441" t="str">
        <f>"061172876HH"</f>
        <v>061172876HH</v>
      </c>
      <c r="F441" t="str">
        <f t="shared" si="75"/>
        <v>0352480F</v>
      </c>
      <c r="G441" t="str">
        <f t="shared" si="76"/>
        <v>O</v>
      </c>
      <c r="H441">
        <v>10</v>
      </c>
      <c r="I441">
        <v>2001</v>
      </c>
      <c r="J441">
        <v>2</v>
      </c>
      <c r="K441" t="str">
        <f>"S"</f>
        <v>S</v>
      </c>
      <c r="L441">
        <v>25</v>
      </c>
      <c r="M441">
        <v>2019</v>
      </c>
      <c r="N441" t="str">
        <f t="shared" si="81"/>
        <v>E</v>
      </c>
      <c r="O441" t="str">
        <f>"N"</f>
        <v>N</v>
      </c>
      <c r="P441">
        <v>0</v>
      </c>
      <c r="Q441">
        <v>100</v>
      </c>
      <c r="R441">
        <v>100</v>
      </c>
      <c r="S441">
        <v>35000</v>
      </c>
      <c r="T441">
        <v>100</v>
      </c>
      <c r="U441">
        <v>35000</v>
      </c>
      <c r="V441" t="str">
        <f>"TOEIC à l'ENSAI - 17/05/2022: 985"</f>
        <v>TOEIC à l'ENSAI - 17/05/2022: 985</v>
      </c>
      <c r="W441">
        <v>38</v>
      </c>
      <c r="X441">
        <v>0</v>
      </c>
      <c r="Y441">
        <v>6000577</v>
      </c>
      <c r="Z441" t="str">
        <f>""</f>
        <v/>
      </c>
      <c r="AA441">
        <v>27</v>
      </c>
      <c r="AB441" t="str">
        <f>""</f>
        <v/>
      </c>
      <c r="AC441" t="str">
        <f>""</f>
        <v/>
      </c>
      <c r="AD441" t="str">
        <f>""</f>
        <v/>
      </c>
      <c r="AE441">
        <v>2019</v>
      </c>
      <c r="AF441">
        <v>2021</v>
      </c>
      <c r="AG441" t="str">
        <f>"rennes"</f>
        <v>rennes</v>
      </c>
      <c r="AH441" t="str">
        <f>"rennes"</f>
        <v>rennes</v>
      </c>
      <c r="AI441" t="str">
        <f>""</f>
        <v/>
      </c>
      <c r="AJ441" t="str">
        <f>""</f>
        <v/>
      </c>
      <c r="AK441" t="str">
        <f>""</f>
        <v/>
      </c>
      <c r="AL441">
        <v>38</v>
      </c>
      <c r="AM441" t="str">
        <f>""</f>
        <v/>
      </c>
      <c r="AN441" t="str">
        <f>""</f>
        <v/>
      </c>
      <c r="AO441" t="str">
        <f>"Jeanne D'Albret"</f>
        <v>Jeanne D'Albret</v>
      </c>
      <c r="AP441" t="str">
        <f>"SAINT GERMAIN EN LAYE"</f>
        <v>SAINT GERMAIN EN LAYE</v>
      </c>
      <c r="AQ441" t="str">
        <f>"Versailles"</f>
        <v>Versailles</v>
      </c>
    </row>
    <row r="442" spans="1:43" x14ac:dyDescent="0.25">
      <c r="A442" t="str">
        <f t="shared" si="82"/>
        <v>3A Ing sortant,T00000</v>
      </c>
      <c r="B442" t="str">
        <f>"BOISSY"</f>
        <v>BOISSY</v>
      </c>
      <c r="C442" t="str">
        <f>"Maxime"</f>
        <v>Maxime</v>
      </c>
      <c r="D442" t="str">
        <f>"021-2087"</f>
        <v>021-2087</v>
      </c>
      <c r="E442" t="str">
        <f>"071393692FE"</f>
        <v>071393692FE</v>
      </c>
      <c r="F442" t="str">
        <f t="shared" si="75"/>
        <v>0352480F</v>
      </c>
      <c r="G442" t="str">
        <f t="shared" si="76"/>
        <v>O</v>
      </c>
      <c r="H442">
        <v>10</v>
      </c>
      <c r="I442">
        <v>2000</v>
      </c>
      <c r="J442">
        <v>1</v>
      </c>
      <c r="K442" t="str">
        <f>"ES"</f>
        <v>ES</v>
      </c>
      <c r="L442">
        <v>6</v>
      </c>
      <c r="M442">
        <v>2018</v>
      </c>
      <c r="N442" t="str">
        <f t="shared" si="81"/>
        <v>E</v>
      </c>
      <c r="O442" t="str">
        <f>"N"</f>
        <v>N</v>
      </c>
      <c r="P442">
        <v>0</v>
      </c>
      <c r="Q442">
        <v>100</v>
      </c>
      <c r="R442">
        <v>100</v>
      </c>
      <c r="S442">
        <v>35170</v>
      </c>
      <c r="T442">
        <v>100</v>
      </c>
      <c r="U442">
        <v>35170</v>
      </c>
      <c r="V442" t="str">
        <f>"TOEIC à l'ENSAI le 19/05/2022: score 895"</f>
        <v>TOEIC à l'ENSAI le 19/05/2022: score 895</v>
      </c>
      <c r="W442">
        <v>54</v>
      </c>
      <c r="X442">
        <v>0</v>
      </c>
      <c r="Y442">
        <v>6000577</v>
      </c>
      <c r="Z442" t="str">
        <f>""</f>
        <v/>
      </c>
      <c r="AA442">
        <v>27</v>
      </c>
      <c r="AB442" t="str">
        <f>""</f>
        <v/>
      </c>
      <c r="AC442" t="str">
        <f>""</f>
        <v/>
      </c>
      <c r="AD442" t="str">
        <f>""</f>
        <v/>
      </c>
      <c r="AE442">
        <v>2018</v>
      </c>
      <c r="AF442">
        <v>2021</v>
      </c>
      <c r="AG442" t="str">
        <f>"Bruz"</f>
        <v>Bruz</v>
      </c>
      <c r="AH442" t="str">
        <f>"Bruz"</f>
        <v>Bruz</v>
      </c>
      <c r="AI442" t="str">
        <f>""</f>
        <v/>
      </c>
      <c r="AJ442" t="str">
        <f>""</f>
        <v/>
      </c>
      <c r="AK442" t="str">
        <f>""</f>
        <v/>
      </c>
      <c r="AL442">
        <v>47</v>
      </c>
      <c r="AM442" t="str">
        <f>""</f>
        <v/>
      </c>
      <c r="AN442" t="str">
        <f>""</f>
        <v/>
      </c>
      <c r="AO442" t="str">
        <f>"Blaise Pascal"</f>
        <v>Blaise Pascal</v>
      </c>
      <c r="AP442" t="str">
        <f>"CLERMONT-FERRAND"</f>
        <v>CLERMONT-FERRAND</v>
      </c>
      <c r="AQ442" t="str">
        <f>"Clermont-Ferrand"</f>
        <v>Clermont-Ferrand</v>
      </c>
    </row>
    <row r="443" spans="1:43" x14ac:dyDescent="0.25">
      <c r="A443" t="str">
        <f t="shared" si="82"/>
        <v>3A Ing sortant,T00000</v>
      </c>
      <c r="B443" t="str">
        <f>"BOURRIGAN"</f>
        <v>BOURRIGAN</v>
      </c>
      <c r="C443" t="str">
        <f>"Eliott"</f>
        <v>Eliott</v>
      </c>
      <c r="D443" t="str">
        <f>"021-2048"</f>
        <v>021-2048</v>
      </c>
      <c r="E443" t="str">
        <f>"071618608JB"</f>
        <v>071618608JB</v>
      </c>
      <c r="F443" t="str">
        <f t="shared" si="75"/>
        <v>0352480F</v>
      </c>
      <c r="G443" t="str">
        <f t="shared" si="76"/>
        <v>O</v>
      </c>
      <c r="H443">
        <v>10</v>
      </c>
      <c r="I443">
        <v>2002</v>
      </c>
      <c r="J443">
        <v>1</v>
      </c>
      <c r="K443" t="str">
        <f>"S"</f>
        <v>S</v>
      </c>
      <c r="L443">
        <v>10</v>
      </c>
      <c r="M443">
        <v>2019</v>
      </c>
      <c r="N443" t="str">
        <f t="shared" si="81"/>
        <v>E</v>
      </c>
      <c r="O443" t="str">
        <f>"D"</f>
        <v>D</v>
      </c>
      <c r="P443">
        <v>0</v>
      </c>
      <c r="Q443">
        <v>100</v>
      </c>
      <c r="R443">
        <v>100</v>
      </c>
      <c r="S443">
        <v>35136</v>
      </c>
      <c r="T443">
        <v>100</v>
      </c>
      <c r="U443">
        <v>35136</v>
      </c>
      <c r="V443" t="str">
        <f>""</f>
        <v/>
      </c>
      <c r="W443">
        <v>33</v>
      </c>
      <c r="X443">
        <v>0</v>
      </c>
      <c r="Y443">
        <v>6000577</v>
      </c>
      <c r="Z443" t="str">
        <f>""</f>
        <v/>
      </c>
      <c r="AA443">
        <v>27</v>
      </c>
      <c r="AB443" t="str">
        <f>""</f>
        <v/>
      </c>
      <c r="AC443" t="str">
        <f>""</f>
        <v/>
      </c>
      <c r="AD443" t="str">
        <f>""</f>
        <v/>
      </c>
      <c r="AE443">
        <v>2019</v>
      </c>
      <c r="AF443">
        <v>2021</v>
      </c>
      <c r="AG443" t="str">
        <f>"St Jacques de la Lande"</f>
        <v>St Jacques de la Lande</v>
      </c>
      <c r="AH443" t="str">
        <f>"St Jacques de la Lande"</f>
        <v>St Jacques de la Lande</v>
      </c>
      <c r="AI443" t="str">
        <f>""</f>
        <v/>
      </c>
      <c r="AJ443" t="str">
        <f>""</f>
        <v/>
      </c>
      <c r="AK443" t="str">
        <f>""</f>
        <v/>
      </c>
      <c r="AL443">
        <v>31</v>
      </c>
      <c r="AM443" t="str">
        <f>""</f>
        <v/>
      </c>
      <c r="AN443" t="str">
        <f>""</f>
        <v/>
      </c>
      <c r="AO443" t="str">
        <f>"Lycée Edouard Branly"</f>
        <v>Lycée Edouard Branly</v>
      </c>
      <c r="AP443" t="str">
        <f>"LYON 5"</f>
        <v>LYON 5</v>
      </c>
      <c r="AQ443" t="str">
        <f>"Lyon"</f>
        <v>Lyon</v>
      </c>
    </row>
    <row r="444" spans="1:43" x14ac:dyDescent="0.25">
      <c r="A444" t="str">
        <f t="shared" si="82"/>
        <v>3A Ing sortant,T00000</v>
      </c>
      <c r="B444" t="str">
        <f>"BOUZOUITA"</f>
        <v>BOUZOUITA</v>
      </c>
      <c r="C444" t="str">
        <f>"Marwan"</f>
        <v>Marwan</v>
      </c>
      <c r="D444" t="str">
        <f>"021-2056"</f>
        <v>021-2056</v>
      </c>
      <c r="E444" t="str">
        <f>"071397029BF"</f>
        <v>071397029BF</v>
      </c>
      <c r="F444" t="str">
        <f t="shared" si="75"/>
        <v>0352480F</v>
      </c>
      <c r="G444" t="str">
        <f t="shared" si="76"/>
        <v>O</v>
      </c>
      <c r="H444">
        <v>10</v>
      </c>
      <c r="I444">
        <v>2001</v>
      </c>
      <c r="J444">
        <v>1</v>
      </c>
      <c r="K444" t="str">
        <f>"S"</f>
        <v>S</v>
      </c>
      <c r="L444">
        <v>2</v>
      </c>
      <c r="M444">
        <v>2019</v>
      </c>
      <c r="N444" t="str">
        <f t="shared" si="81"/>
        <v>E</v>
      </c>
      <c r="O444" t="str">
        <f>"D"</f>
        <v>D</v>
      </c>
      <c r="P444">
        <v>0</v>
      </c>
      <c r="Q444">
        <v>100</v>
      </c>
      <c r="R444">
        <v>100</v>
      </c>
      <c r="S444">
        <v>35170</v>
      </c>
      <c r="T444">
        <v>100</v>
      </c>
      <c r="U444">
        <v>35170</v>
      </c>
      <c r="V444" t="str">
        <f>"TOEIC 3A à l'ENSAI le 23-01-2024 : score 865 (B2)"</f>
        <v>TOEIC 3A à l'ENSAI le 23-01-2024 : score 865 (B2)</v>
      </c>
      <c r="W444">
        <v>21</v>
      </c>
      <c r="X444">
        <v>0</v>
      </c>
      <c r="Y444">
        <v>6000577</v>
      </c>
      <c r="Z444" t="str">
        <f>""</f>
        <v/>
      </c>
      <c r="AA444">
        <v>27</v>
      </c>
      <c r="AB444" t="str">
        <f>""</f>
        <v/>
      </c>
      <c r="AC444" t="str">
        <f>""</f>
        <v/>
      </c>
      <c r="AD444" t="str">
        <f>""</f>
        <v/>
      </c>
      <c r="AE444">
        <v>2019</v>
      </c>
      <c r="AF444">
        <v>2021</v>
      </c>
      <c r="AG444" t="str">
        <f>"bruz"</f>
        <v>bruz</v>
      </c>
      <c r="AH444" t="str">
        <f>"bruz"</f>
        <v>bruz</v>
      </c>
      <c r="AI444" t="str">
        <f>""</f>
        <v/>
      </c>
      <c r="AJ444" t="str">
        <f>""</f>
        <v/>
      </c>
      <c r="AK444" t="str">
        <f>""</f>
        <v/>
      </c>
      <c r="AL444">
        <v>42</v>
      </c>
      <c r="AM444" t="str">
        <f>""</f>
        <v/>
      </c>
      <c r="AN444" t="str">
        <f>""</f>
        <v/>
      </c>
      <c r="AO444" t="str">
        <f>"lycée lucie aubrac"</f>
        <v>lycée lucie aubrac</v>
      </c>
      <c r="AP444" t="str">
        <f>"BOLLENE"</f>
        <v>BOLLENE</v>
      </c>
      <c r="AQ444" t="str">
        <f>"Aix-Marseille"</f>
        <v>Aix-Marseille</v>
      </c>
    </row>
    <row r="445" spans="1:43" x14ac:dyDescent="0.25">
      <c r="A445" t="str">
        <f t="shared" si="82"/>
        <v>3A Ing sortant,T00000</v>
      </c>
      <c r="B445" t="str">
        <f>"BUI"</f>
        <v>BUI</v>
      </c>
      <c r="C445" t="str">
        <f>"Thi quynh trang"</f>
        <v>Thi quynh trang</v>
      </c>
      <c r="D445" t="str">
        <f>"021-2008"</f>
        <v>021-2008</v>
      </c>
      <c r="E445" t="str">
        <f>"07IS9T00VV3"</f>
        <v>07IS9T00VV3</v>
      </c>
      <c r="F445" t="str">
        <f t="shared" si="75"/>
        <v>0352480F</v>
      </c>
      <c r="G445" t="str">
        <f t="shared" si="76"/>
        <v>O</v>
      </c>
      <c r="H445">
        <v>10</v>
      </c>
      <c r="I445">
        <v>1999</v>
      </c>
      <c r="J445">
        <v>2</v>
      </c>
      <c r="K445">
        <v>31</v>
      </c>
      <c r="L445">
        <v>0</v>
      </c>
      <c r="M445">
        <v>2017</v>
      </c>
      <c r="N445" t="str">
        <f t="shared" si="81"/>
        <v>E</v>
      </c>
      <c r="O445" t="str">
        <f>"N"</f>
        <v>N</v>
      </c>
      <c r="P445">
        <v>0</v>
      </c>
      <c r="Q445">
        <v>243</v>
      </c>
      <c r="R445">
        <v>100</v>
      </c>
      <c r="S445">
        <v>35000</v>
      </c>
      <c r="T445">
        <v>100</v>
      </c>
      <c r="U445">
        <v>35000</v>
      </c>
      <c r="V445" t="str">
        <f>"TOEIC 2A à l'ENSAI le 9/01/2023 - score 960  Niveau B2 en français validé par le diplôme Licence MIASHS"</f>
        <v>TOEIC 2A à l'ENSAI le 9/01/2023 - score 960  Niveau B2 en français validé par le diplôme Licence MIASHS</v>
      </c>
      <c r="W445">
        <v>76</v>
      </c>
      <c r="X445">
        <v>0</v>
      </c>
      <c r="Y445">
        <v>6000577</v>
      </c>
      <c r="Z445" t="str">
        <f>""</f>
        <v/>
      </c>
      <c r="AA445">
        <v>27</v>
      </c>
      <c r="AB445" t="str">
        <f>""</f>
        <v/>
      </c>
      <c r="AC445" t="str">
        <f>""</f>
        <v/>
      </c>
      <c r="AD445" t="str">
        <f>""</f>
        <v/>
      </c>
      <c r="AE445">
        <v>2018</v>
      </c>
      <c r="AF445">
        <v>2021</v>
      </c>
      <c r="AG445" t="str">
        <f>"RENNES"</f>
        <v>RENNES</v>
      </c>
      <c r="AH445" t="str">
        <f>"RENNES"</f>
        <v>RENNES</v>
      </c>
      <c r="AI445" t="str">
        <f>""</f>
        <v/>
      </c>
      <c r="AJ445" t="str">
        <f>""</f>
        <v/>
      </c>
      <c r="AK445" t="str">
        <f>""</f>
        <v/>
      </c>
      <c r="AL445">
        <v>76</v>
      </c>
      <c r="AM445" t="str">
        <f>""</f>
        <v/>
      </c>
      <c r="AN445" t="str">
        <f>""</f>
        <v/>
      </c>
      <c r="AO445" t="str">
        <f>"Nguyen Thi Minh Khai"</f>
        <v>Nguyen Thi Minh Khai</v>
      </c>
      <c r="AP445" t="str">
        <f>"HA TINH"</f>
        <v>HA TINH</v>
      </c>
      <c r="AQ445" t="str">
        <f>"Etranger"</f>
        <v>Etranger</v>
      </c>
    </row>
    <row r="446" spans="1:43" x14ac:dyDescent="0.25">
      <c r="A446" t="str">
        <f t="shared" si="82"/>
        <v>3A Ing sortant,T00000</v>
      </c>
      <c r="B446" t="str">
        <f>"CANNAFARINA"</f>
        <v>CANNAFARINA</v>
      </c>
      <c r="C446" t="str">
        <f>"Hugo"</f>
        <v>Hugo</v>
      </c>
      <c r="D446" t="str">
        <f>"021-1985"</f>
        <v>021-1985</v>
      </c>
      <c r="E446" t="str">
        <f>"081562091GJ"</f>
        <v>081562091GJ</v>
      </c>
      <c r="F446" t="str">
        <f t="shared" si="75"/>
        <v>0352480F</v>
      </c>
      <c r="G446" t="str">
        <f t="shared" si="76"/>
        <v>O</v>
      </c>
      <c r="H446">
        <v>10</v>
      </c>
      <c r="I446">
        <v>2002</v>
      </c>
      <c r="J446">
        <v>1</v>
      </c>
      <c r="K446" t="str">
        <f t="shared" ref="K446:K465" si="85">"S"</f>
        <v>S</v>
      </c>
      <c r="L446">
        <v>24</v>
      </c>
      <c r="M446">
        <v>2019</v>
      </c>
      <c r="N446" t="str">
        <f t="shared" si="81"/>
        <v>E</v>
      </c>
      <c r="O446" t="str">
        <f>"D"</f>
        <v>D</v>
      </c>
      <c r="P446">
        <v>0</v>
      </c>
      <c r="Q446">
        <v>100</v>
      </c>
      <c r="R446">
        <v>100</v>
      </c>
      <c r="S446">
        <v>35170</v>
      </c>
      <c r="T446">
        <v>100</v>
      </c>
      <c r="U446">
        <v>35170</v>
      </c>
      <c r="V446" t="str">
        <f>"TOEIC à l'ENSAI le 19/05/2022: score 970"</f>
        <v>TOEIC à l'ENSAI le 19/05/2022: score 970</v>
      </c>
      <c r="W446">
        <v>37</v>
      </c>
      <c r="X446">
        <v>0</v>
      </c>
      <c r="Y446">
        <v>6000577</v>
      </c>
      <c r="Z446" t="str">
        <f>""</f>
        <v/>
      </c>
      <c r="AA446">
        <v>27</v>
      </c>
      <c r="AB446" t="str">
        <f>""</f>
        <v/>
      </c>
      <c r="AC446" t="str">
        <f>""</f>
        <v/>
      </c>
      <c r="AD446" t="str">
        <f>""</f>
        <v/>
      </c>
      <c r="AE446">
        <v>2019</v>
      </c>
      <c r="AF446">
        <v>2021</v>
      </c>
      <c r="AG446" t="str">
        <f>"Bruz"</f>
        <v>Bruz</v>
      </c>
      <c r="AH446" t="str">
        <f>"Bruz"</f>
        <v>Bruz</v>
      </c>
      <c r="AI446" t="str">
        <f>""</f>
        <v/>
      </c>
      <c r="AJ446" t="str">
        <f>""</f>
        <v/>
      </c>
      <c r="AK446" t="str">
        <f>""</f>
        <v/>
      </c>
      <c r="AL446">
        <v>37</v>
      </c>
      <c r="AM446" t="str">
        <f>""</f>
        <v/>
      </c>
      <c r="AN446" t="str">
        <f>""</f>
        <v/>
      </c>
      <c r="AO446" t="str">
        <f>"Lycée Jean-Zay"</f>
        <v>Lycée Jean-Zay</v>
      </c>
      <c r="AP446" t="str">
        <f>"AULNAY SOUS BOIS"</f>
        <v>AULNAY SOUS BOIS</v>
      </c>
      <c r="AQ446" t="str">
        <f>"Créteil"</f>
        <v>Créteil</v>
      </c>
    </row>
    <row r="447" spans="1:43" x14ac:dyDescent="0.25">
      <c r="A447" t="str">
        <f t="shared" si="82"/>
        <v>3A Ing sortant,T00000</v>
      </c>
      <c r="B447" t="str">
        <f>"CHAMEKH"</f>
        <v>CHAMEKH</v>
      </c>
      <c r="C447" t="str">
        <f>"Riyad"</f>
        <v>Riyad</v>
      </c>
      <c r="D447" t="str">
        <f>"021-1991"</f>
        <v>021-1991</v>
      </c>
      <c r="E447" t="str">
        <f>"081046208AJ"</f>
        <v>081046208AJ</v>
      </c>
      <c r="F447" t="str">
        <f t="shared" si="75"/>
        <v>0352480F</v>
      </c>
      <c r="G447" t="str">
        <f t="shared" si="76"/>
        <v>O</v>
      </c>
      <c r="H447">
        <v>10</v>
      </c>
      <c r="I447">
        <v>2000</v>
      </c>
      <c r="J447">
        <v>1</v>
      </c>
      <c r="K447" t="str">
        <f t="shared" si="85"/>
        <v>S</v>
      </c>
      <c r="L447">
        <v>2</v>
      </c>
      <c r="M447">
        <v>2018</v>
      </c>
      <c r="N447" t="str">
        <f t="shared" si="81"/>
        <v>E</v>
      </c>
      <c r="O447" t="str">
        <f>"D"</f>
        <v>D</v>
      </c>
      <c r="P447">
        <v>0</v>
      </c>
      <c r="Q447">
        <v>100</v>
      </c>
      <c r="R447">
        <v>100</v>
      </c>
      <c r="S447">
        <v>35000</v>
      </c>
      <c r="T447">
        <v>100</v>
      </c>
      <c r="U447">
        <v>35000</v>
      </c>
      <c r="V447" t="str">
        <f>""</f>
        <v/>
      </c>
      <c r="W447">
        <v>56</v>
      </c>
      <c r="X447">
        <v>0</v>
      </c>
      <c r="Y447">
        <v>6000577</v>
      </c>
      <c r="Z447" t="str">
        <f>""</f>
        <v/>
      </c>
      <c r="AA447">
        <v>27</v>
      </c>
      <c r="AB447" t="str">
        <f>""</f>
        <v/>
      </c>
      <c r="AC447" t="str">
        <f>""</f>
        <v/>
      </c>
      <c r="AD447" t="str">
        <f>""</f>
        <v/>
      </c>
      <c r="AE447">
        <v>2018</v>
      </c>
      <c r="AF447">
        <v>2021</v>
      </c>
      <c r="AG447" t="str">
        <f>"RENNES"</f>
        <v>RENNES</v>
      </c>
      <c r="AH447" t="str">
        <f>"RENNES"</f>
        <v>RENNES</v>
      </c>
      <c r="AI447" t="str">
        <f>""</f>
        <v/>
      </c>
      <c r="AJ447" t="str">
        <f>""</f>
        <v/>
      </c>
      <c r="AK447" t="str">
        <f>""</f>
        <v/>
      </c>
      <c r="AL447">
        <v>61</v>
      </c>
      <c r="AM447" t="str">
        <f>""</f>
        <v/>
      </c>
      <c r="AN447" t="str">
        <f>""</f>
        <v/>
      </c>
      <c r="AO447" t="str">
        <f>"Félix Esclangon"</f>
        <v>Félix Esclangon</v>
      </c>
      <c r="AP447" t="str">
        <f>"MANOSQUE"</f>
        <v>MANOSQUE</v>
      </c>
      <c r="AQ447" t="str">
        <f>"Aix-Marseille"</f>
        <v>Aix-Marseille</v>
      </c>
    </row>
    <row r="448" spans="1:43" x14ac:dyDescent="0.25">
      <c r="A448" t="str">
        <f t="shared" si="82"/>
        <v>3A Ing sortant,T00000</v>
      </c>
      <c r="B448" t="str">
        <f>"CHARLIER"</f>
        <v>CHARLIER</v>
      </c>
      <c r="C448" t="str">
        <f>"Rémy"</f>
        <v>Rémy</v>
      </c>
      <c r="D448" t="str">
        <f>"021-2005"</f>
        <v>021-2005</v>
      </c>
      <c r="E448" t="str">
        <f>"070280024GF"</f>
        <v>070280024GF</v>
      </c>
      <c r="F448" t="str">
        <f t="shared" si="75"/>
        <v>0352480F</v>
      </c>
      <c r="G448" t="str">
        <f t="shared" si="76"/>
        <v>O</v>
      </c>
      <c r="H448">
        <v>10</v>
      </c>
      <c r="I448">
        <v>2001</v>
      </c>
      <c r="J448">
        <v>1</v>
      </c>
      <c r="K448" t="str">
        <f t="shared" si="85"/>
        <v>S</v>
      </c>
      <c r="L448">
        <v>19</v>
      </c>
      <c r="M448">
        <v>2019</v>
      </c>
      <c r="N448" t="str">
        <f t="shared" si="81"/>
        <v>E</v>
      </c>
      <c r="O448" t="str">
        <f>"D"</f>
        <v>D</v>
      </c>
      <c r="P448">
        <v>0</v>
      </c>
      <c r="Q448">
        <v>100</v>
      </c>
      <c r="R448">
        <v>100</v>
      </c>
      <c r="S448">
        <v>35170</v>
      </c>
      <c r="T448">
        <v>100</v>
      </c>
      <c r="U448">
        <v>35170</v>
      </c>
      <c r="V448" t="str">
        <f>"TOEIC à l'ENSAI le 19/05/2022: score 885"</f>
        <v>TOEIC à l'ENSAI le 19/05/2022: score 885</v>
      </c>
      <c r="W448">
        <v>43</v>
      </c>
      <c r="X448">
        <v>0</v>
      </c>
      <c r="Y448">
        <v>6000577</v>
      </c>
      <c r="Z448" t="str">
        <f>""</f>
        <v/>
      </c>
      <c r="AA448">
        <v>27</v>
      </c>
      <c r="AB448" t="str">
        <f>""</f>
        <v/>
      </c>
      <c r="AC448" t="str">
        <f>""</f>
        <v/>
      </c>
      <c r="AD448" t="str">
        <f>""</f>
        <v/>
      </c>
      <c r="AE448">
        <v>2019</v>
      </c>
      <c r="AF448">
        <v>2021</v>
      </c>
      <c r="AG448" t="str">
        <f>"Bruz"</f>
        <v>Bruz</v>
      </c>
      <c r="AH448" t="str">
        <f>"Bruz"</f>
        <v>Bruz</v>
      </c>
      <c r="AI448" t="str">
        <f>""</f>
        <v/>
      </c>
      <c r="AJ448" t="str">
        <f>""</f>
        <v/>
      </c>
      <c r="AK448" t="str">
        <f>""</f>
        <v/>
      </c>
      <c r="AL448">
        <v>21</v>
      </c>
      <c r="AM448" t="str">
        <f>""</f>
        <v/>
      </c>
      <c r="AN448" t="str">
        <f>""</f>
        <v/>
      </c>
      <c r="AO448" t="str">
        <f>"Marc Chagall"</f>
        <v>Marc Chagall</v>
      </c>
      <c r="AP448" t="str">
        <f>"REIMS"</f>
        <v>REIMS</v>
      </c>
      <c r="AQ448" t="str">
        <f>"Reims"</f>
        <v>Reims</v>
      </c>
    </row>
    <row r="449" spans="1:43" x14ac:dyDescent="0.25">
      <c r="A449" t="str">
        <f t="shared" si="82"/>
        <v>3A Ing sortant,T00000</v>
      </c>
      <c r="B449" t="str">
        <f>"CHAUMETTE"</f>
        <v>CHAUMETTE</v>
      </c>
      <c r="C449" t="str">
        <f>"Maël"</f>
        <v>Maël</v>
      </c>
      <c r="D449" t="str">
        <f>"021-2047"</f>
        <v>021-2047</v>
      </c>
      <c r="E449" t="str">
        <f>"070991226GH"</f>
        <v>070991226GH</v>
      </c>
      <c r="F449" t="str">
        <f t="shared" si="75"/>
        <v>0352480F</v>
      </c>
      <c r="G449" t="str">
        <f t="shared" si="76"/>
        <v>O</v>
      </c>
      <c r="H449">
        <v>10</v>
      </c>
      <c r="I449">
        <v>2000</v>
      </c>
      <c r="J449">
        <v>1</v>
      </c>
      <c r="K449" t="str">
        <f t="shared" si="85"/>
        <v>S</v>
      </c>
      <c r="L449">
        <v>14</v>
      </c>
      <c r="M449">
        <v>2018</v>
      </c>
      <c r="N449" t="str">
        <f t="shared" si="81"/>
        <v>E</v>
      </c>
      <c r="O449" t="str">
        <f>"A"</f>
        <v>A</v>
      </c>
      <c r="P449">
        <v>0</v>
      </c>
      <c r="Q449">
        <v>100</v>
      </c>
      <c r="R449">
        <v>100</v>
      </c>
      <c r="S449">
        <v>35000</v>
      </c>
      <c r="T449">
        <v>100</v>
      </c>
      <c r="U449">
        <v>35000</v>
      </c>
      <c r="V449" t="str">
        <f>"Linguaskill 2A - 6 avril 2023 - score 158 (niveau B1) = 770  TOEIC 3A à l'ENSAI le 23-01-2024 : score 865 (B2)"</f>
        <v>Linguaskill 2A - 6 avril 2023 - score 158 (niveau B1) = 770  TOEIC 3A à l'ENSAI le 23-01-2024 : score 865 (B2)</v>
      </c>
      <c r="W449">
        <v>33</v>
      </c>
      <c r="X449">
        <v>0</v>
      </c>
      <c r="Y449">
        <v>6000577</v>
      </c>
      <c r="Z449" t="str">
        <f>""</f>
        <v/>
      </c>
      <c r="AA449">
        <v>27</v>
      </c>
      <c r="AB449" t="str">
        <f>""</f>
        <v/>
      </c>
      <c r="AC449" t="str">
        <f>""</f>
        <v/>
      </c>
      <c r="AD449" t="str">
        <f>""</f>
        <v/>
      </c>
      <c r="AE449">
        <v>2018</v>
      </c>
      <c r="AF449">
        <v>2021</v>
      </c>
      <c r="AG449" t="str">
        <f>"Rennes"</f>
        <v>Rennes</v>
      </c>
      <c r="AH449" t="str">
        <f>"Rennes"</f>
        <v>Rennes</v>
      </c>
      <c r="AI449" t="str">
        <f>""</f>
        <v/>
      </c>
      <c r="AJ449" t="str">
        <f>""</f>
        <v/>
      </c>
      <c r="AK449" t="str">
        <f>""</f>
        <v/>
      </c>
      <c r="AL449">
        <v>43</v>
      </c>
      <c r="AM449" t="str">
        <f>""</f>
        <v/>
      </c>
      <c r="AN449" t="str">
        <f>""</f>
        <v/>
      </c>
      <c r="AO449" t="str">
        <f>"Bertrand d'Argentré"</f>
        <v>Bertrand d'Argentré</v>
      </c>
      <c r="AP449" t="str">
        <f>"VITRÉ"</f>
        <v>VITRÉ</v>
      </c>
      <c r="AQ449" t="str">
        <f>"Rennes"</f>
        <v>Rennes</v>
      </c>
    </row>
    <row r="450" spans="1:43" x14ac:dyDescent="0.25">
      <c r="A450" t="str">
        <f t="shared" si="82"/>
        <v>3A Ing sortant,T00000</v>
      </c>
      <c r="B450" t="str">
        <f>"CHEHADI"</f>
        <v>CHEHADI</v>
      </c>
      <c r="C450" t="str">
        <f>"Rayan"</f>
        <v>Rayan</v>
      </c>
      <c r="D450" t="str">
        <f>"021-2061"</f>
        <v>021-2061</v>
      </c>
      <c r="E450" t="str">
        <f>"080560693DJ"</f>
        <v>080560693DJ</v>
      </c>
      <c r="F450" t="str">
        <f t="shared" ref="F450:F513" si="86">"0352480F"</f>
        <v>0352480F</v>
      </c>
      <c r="G450" t="str">
        <f t="shared" ref="G450:G513" si="87">"O"</f>
        <v>O</v>
      </c>
      <c r="H450">
        <v>10</v>
      </c>
      <c r="I450">
        <v>2001</v>
      </c>
      <c r="J450">
        <v>1</v>
      </c>
      <c r="K450" t="str">
        <f t="shared" si="85"/>
        <v>S</v>
      </c>
      <c r="L450">
        <v>2</v>
      </c>
      <c r="M450">
        <v>2019</v>
      </c>
      <c r="N450" t="str">
        <f t="shared" si="81"/>
        <v>E</v>
      </c>
      <c r="O450" t="str">
        <f>"A"</f>
        <v>A</v>
      </c>
      <c r="P450">
        <v>0</v>
      </c>
      <c r="Q450">
        <v>100</v>
      </c>
      <c r="R450">
        <v>100</v>
      </c>
      <c r="S450">
        <v>35170</v>
      </c>
      <c r="T450">
        <v>100</v>
      </c>
      <c r="U450">
        <v>35170</v>
      </c>
      <c r="V450" t="str">
        <f>"TOEIC à l'ENSAI le 19/05/2022: score 980"</f>
        <v>TOEIC à l'ENSAI le 19/05/2022: score 980</v>
      </c>
      <c r="W450">
        <v>23</v>
      </c>
      <c r="X450">
        <v>0</v>
      </c>
      <c r="Y450">
        <v>6000577</v>
      </c>
      <c r="Z450" t="str">
        <f>""</f>
        <v/>
      </c>
      <c r="AA450">
        <v>27</v>
      </c>
      <c r="AB450" t="str">
        <f>""</f>
        <v/>
      </c>
      <c r="AC450" t="str">
        <f>""</f>
        <v/>
      </c>
      <c r="AD450" t="str">
        <f>""</f>
        <v/>
      </c>
      <c r="AE450">
        <v>2019</v>
      </c>
      <c r="AF450">
        <v>2021</v>
      </c>
      <c r="AG450" t="str">
        <f>"BRUZ"</f>
        <v>BRUZ</v>
      </c>
      <c r="AH450" t="str">
        <f>"BRUZ"</f>
        <v>BRUZ</v>
      </c>
      <c r="AI450" t="str">
        <f>""</f>
        <v/>
      </c>
      <c r="AJ450" t="str">
        <f>""</f>
        <v/>
      </c>
      <c r="AK450" t="str">
        <f>""</f>
        <v/>
      </c>
      <c r="AL450">
        <v>42</v>
      </c>
      <c r="AM450" t="str">
        <f>""</f>
        <v/>
      </c>
      <c r="AN450" t="str">
        <f>""</f>
        <v/>
      </c>
      <c r="AO450" t="str">
        <f>"Lycée Sacré Coeur"</f>
        <v>Lycée Sacré Coeur</v>
      </c>
      <c r="AP450" t="str">
        <f>"AIX EN PROVENCE"</f>
        <v>AIX EN PROVENCE</v>
      </c>
      <c r="AQ450" t="str">
        <f>"Aix-Marseille"</f>
        <v>Aix-Marseille</v>
      </c>
    </row>
    <row r="451" spans="1:43" x14ac:dyDescent="0.25">
      <c r="A451" t="str">
        <f t="shared" si="82"/>
        <v>3A Ing sortant,T00000</v>
      </c>
      <c r="B451" t="str">
        <f>"CHERIKH"</f>
        <v>CHERIKH</v>
      </c>
      <c r="C451" t="str">
        <f>"Enzo"</f>
        <v>Enzo</v>
      </c>
      <c r="D451" t="str">
        <f>"021-2004"</f>
        <v>021-2004</v>
      </c>
      <c r="E451" t="str">
        <f>"061303670DK"</f>
        <v>061303670DK</v>
      </c>
      <c r="F451" t="str">
        <f t="shared" si="86"/>
        <v>0352480F</v>
      </c>
      <c r="G451" t="str">
        <f t="shared" si="87"/>
        <v>O</v>
      </c>
      <c r="H451">
        <v>10</v>
      </c>
      <c r="I451">
        <v>2001</v>
      </c>
      <c r="J451">
        <v>1</v>
      </c>
      <c r="K451" t="str">
        <f t="shared" si="85"/>
        <v>S</v>
      </c>
      <c r="L451">
        <v>19</v>
      </c>
      <c r="M451">
        <v>2019</v>
      </c>
      <c r="N451" t="str">
        <f t="shared" si="81"/>
        <v>E</v>
      </c>
      <c r="O451" t="str">
        <f>"D"</f>
        <v>D</v>
      </c>
      <c r="P451">
        <v>0</v>
      </c>
      <c r="Q451">
        <v>100</v>
      </c>
      <c r="R451">
        <v>100</v>
      </c>
      <c r="S451">
        <v>35170</v>
      </c>
      <c r="T451">
        <v>100</v>
      </c>
      <c r="U451">
        <v>35170</v>
      </c>
      <c r="V451" t="str">
        <f>"TOEIC à l'ENSAI le 19/05/2022: score 945"</f>
        <v>TOEIC à l'ENSAI le 19/05/2022: score 945</v>
      </c>
      <c r="W451">
        <v>54</v>
      </c>
      <c r="X451">
        <v>0</v>
      </c>
      <c r="Y451">
        <v>6000577</v>
      </c>
      <c r="Z451" t="str">
        <f>""</f>
        <v/>
      </c>
      <c r="AA451">
        <v>27</v>
      </c>
      <c r="AB451" t="str">
        <f>""</f>
        <v/>
      </c>
      <c r="AC451" t="str">
        <f>""</f>
        <v/>
      </c>
      <c r="AD451" t="str">
        <f>""</f>
        <v/>
      </c>
      <c r="AE451">
        <v>2019</v>
      </c>
      <c r="AF451">
        <v>2021</v>
      </c>
      <c r="AG451" t="str">
        <f>"Bruz"</f>
        <v>Bruz</v>
      </c>
      <c r="AH451" t="str">
        <f>"Bruz"</f>
        <v>Bruz</v>
      </c>
      <c r="AI451" t="str">
        <f>""</f>
        <v/>
      </c>
      <c r="AJ451" t="str">
        <f>""</f>
        <v/>
      </c>
      <c r="AK451" t="str">
        <f>""</f>
        <v/>
      </c>
      <c r="AL451">
        <v>54</v>
      </c>
      <c r="AM451" t="str">
        <f>""</f>
        <v/>
      </c>
      <c r="AN451" t="str">
        <f>""</f>
        <v/>
      </c>
      <c r="AO451" t="str">
        <f>"Marc Chagall"</f>
        <v>Marc Chagall</v>
      </c>
      <c r="AP451" t="str">
        <f>"REIMS"</f>
        <v>REIMS</v>
      </c>
      <c r="AQ451" t="str">
        <f>"Reims"</f>
        <v>Reims</v>
      </c>
    </row>
    <row r="452" spans="1:43" x14ac:dyDescent="0.25">
      <c r="A452" t="str">
        <f t="shared" si="82"/>
        <v>3A Ing sortant,T00000</v>
      </c>
      <c r="B452" t="str">
        <f>"CHEVALLIER"</f>
        <v>CHEVALLIER</v>
      </c>
      <c r="C452" t="str">
        <f>"Tessa"</f>
        <v>Tessa</v>
      </c>
      <c r="D452" t="str">
        <f>"021-1952"</f>
        <v>021-1952</v>
      </c>
      <c r="E452" t="str">
        <f>"071101910GA"</f>
        <v>071101910GA</v>
      </c>
      <c r="F452" t="str">
        <f t="shared" si="86"/>
        <v>0352480F</v>
      </c>
      <c r="G452" t="str">
        <f t="shared" si="87"/>
        <v>O</v>
      </c>
      <c r="H452">
        <v>10</v>
      </c>
      <c r="I452">
        <v>2001</v>
      </c>
      <c r="J452">
        <v>2</v>
      </c>
      <c r="K452" t="str">
        <f t="shared" si="85"/>
        <v>S</v>
      </c>
      <c r="L452">
        <v>2</v>
      </c>
      <c r="M452">
        <v>2019</v>
      </c>
      <c r="N452" t="str">
        <f t="shared" si="81"/>
        <v>E</v>
      </c>
      <c r="O452" t="str">
        <f>"C"</f>
        <v>C</v>
      </c>
      <c r="P452">
        <v>0</v>
      </c>
      <c r="Q452">
        <v>100</v>
      </c>
      <c r="R452">
        <v>100</v>
      </c>
      <c r="S452">
        <v>35170</v>
      </c>
      <c r="T452">
        <v>100</v>
      </c>
      <c r="U452">
        <v>35170</v>
      </c>
      <c r="V452" t="str">
        <f>"TOEIC à l'ENSAI le 19/05/2022: score 970"</f>
        <v>TOEIC à l'ENSAI le 19/05/2022: score 970</v>
      </c>
      <c r="W452">
        <v>31</v>
      </c>
      <c r="X452">
        <v>0</v>
      </c>
      <c r="Y452">
        <v>6000577</v>
      </c>
      <c r="Z452" t="str">
        <f>""</f>
        <v/>
      </c>
      <c r="AA452">
        <v>27</v>
      </c>
      <c r="AB452" t="str">
        <f>""</f>
        <v/>
      </c>
      <c r="AC452" t="str">
        <f>""</f>
        <v/>
      </c>
      <c r="AD452" t="str">
        <f>""</f>
        <v/>
      </c>
      <c r="AE452">
        <v>2019</v>
      </c>
      <c r="AF452">
        <v>2021</v>
      </c>
      <c r="AG452" t="str">
        <f>"Bruz"</f>
        <v>Bruz</v>
      </c>
      <c r="AH452" t="str">
        <f>"Bruz"</f>
        <v>Bruz</v>
      </c>
      <c r="AI452" t="str">
        <f>""</f>
        <v/>
      </c>
      <c r="AJ452" t="str">
        <f>""</f>
        <v/>
      </c>
      <c r="AK452" t="str">
        <f>""</f>
        <v/>
      </c>
      <c r="AL452">
        <v>99</v>
      </c>
      <c r="AM452" t="str">
        <f>""</f>
        <v/>
      </c>
      <c r="AN452" t="str">
        <f>""</f>
        <v/>
      </c>
      <c r="AO452" t="str">
        <f>"Adam de Craponne"</f>
        <v>Adam de Craponne</v>
      </c>
      <c r="AP452" t="str">
        <f>"SALON-DE-PROVENCE"</f>
        <v>SALON-DE-PROVENCE</v>
      </c>
      <c r="AQ452" t="str">
        <f>"Aix-Marseille"</f>
        <v>Aix-Marseille</v>
      </c>
    </row>
    <row r="453" spans="1:43" x14ac:dyDescent="0.25">
      <c r="A453" t="str">
        <f t="shared" si="82"/>
        <v>3A Ing sortant,T00000</v>
      </c>
      <c r="B453" t="str">
        <f>"CLERC"</f>
        <v>CLERC</v>
      </c>
      <c r="C453" t="str">
        <f>"Eric"</f>
        <v>Eric</v>
      </c>
      <c r="D453" t="str">
        <f>"021-1994"</f>
        <v>021-1994</v>
      </c>
      <c r="E453" t="str">
        <f>"061016321HE"</f>
        <v>061016321HE</v>
      </c>
      <c r="F453" t="str">
        <f t="shared" si="86"/>
        <v>0352480F</v>
      </c>
      <c r="G453" t="str">
        <f t="shared" si="87"/>
        <v>O</v>
      </c>
      <c r="H453">
        <v>10</v>
      </c>
      <c r="I453">
        <v>2001</v>
      </c>
      <c r="J453">
        <v>1</v>
      </c>
      <c r="K453" t="str">
        <f t="shared" si="85"/>
        <v>S</v>
      </c>
      <c r="L453">
        <v>25</v>
      </c>
      <c r="M453">
        <v>2019</v>
      </c>
      <c r="N453" t="str">
        <f t="shared" si="81"/>
        <v>E</v>
      </c>
      <c r="O453" t="str">
        <f>"D"</f>
        <v>D</v>
      </c>
      <c r="P453">
        <v>0</v>
      </c>
      <c r="Q453">
        <v>100</v>
      </c>
      <c r="R453">
        <v>100</v>
      </c>
      <c r="S453">
        <v>35136</v>
      </c>
      <c r="T453">
        <v>100</v>
      </c>
      <c r="U453">
        <v>35136</v>
      </c>
      <c r="V453" t="str">
        <f>"TOEIC 3A à l'ENSAI le 23-01-2024 : score 910 (B2)"</f>
        <v>TOEIC 3A à l'ENSAI le 23-01-2024 : score 910 (B2)</v>
      </c>
      <c r="W453">
        <v>46</v>
      </c>
      <c r="X453">
        <v>0</v>
      </c>
      <c r="Y453">
        <v>6000577</v>
      </c>
      <c r="Z453" t="str">
        <f>""</f>
        <v/>
      </c>
      <c r="AA453">
        <v>27</v>
      </c>
      <c r="AB453" t="str">
        <f>""</f>
        <v/>
      </c>
      <c r="AC453" t="str">
        <f>""</f>
        <v/>
      </c>
      <c r="AD453" t="str">
        <f>""</f>
        <v/>
      </c>
      <c r="AE453">
        <v>2019</v>
      </c>
      <c r="AF453">
        <v>2021</v>
      </c>
      <c r="AG453" t="str">
        <f>"Saint Jacques de La Lande"</f>
        <v>Saint Jacques de La Lande</v>
      </c>
      <c r="AH453" t="str">
        <f>"Saint Jacques de La Lande"</f>
        <v>Saint Jacques de La Lande</v>
      </c>
      <c r="AI453" t="str">
        <f>""</f>
        <v/>
      </c>
      <c r="AJ453" t="str">
        <f>""</f>
        <v/>
      </c>
      <c r="AK453" t="str">
        <f>""</f>
        <v/>
      </c>
      <c r="AL453">
        <v>0</v>
      </c>
      <c r="AM453" t="str">
        <f>""</f>
        <v/>
      </c>
      <c r="AN453" t="str">
        <f>""</f>
        <v/>
      </c>
      <c r="AO453" t="str">
        <f>"Lycée Descartes"</f>
        <v>Lycée Descartes</v>
      </c>
      <c r="AP453" t="str">
        <f>"ANTONY"</f>
        <v>ANTONY</v>
      </c>
      <c r="AQ453" t="str">
        <f>"Versailles"</f>
        <v>Versailles</v>
      </c>
    </row>
    <row r="454" spans="1:43" x14ac:dyDescent="0.25">
      <c r="A454" t="str">
        <f t="shared" si="82"/>
        <v>3A Ing sortant,T00000</v>
      </c>
      <c r="B454" t="str">
        <f>"COLIN"</f>
        <v>COLIN</v>
      </c>
      <c r="C454" t="str">
        <f>"Marie"</f>
        <v>Marie</v>
      </c>
      <c r="D454" t="str">
        <f>"021-1940"</f>
        <v>021-1940</v>
      </c>
      <c r="E454" t="str">
        <f>"081945044HB"</f>
        <v>081945044HB</v>
      </c>
      <c r="F454" t="str">
        <f t="shared" si="86"/>
        <v>0352480F</v>
      </c>
      <c r="G454" t="str">
        <f t="shared" si="87"/>
        <v>O</v>
      </c>
      <c r="H454">
        <v>10</v>
      </c>
      <c r="I454">
        <v>2001</v>
      </c>
      <c r="J454">
        <v>2</v>
      </c>
      <c r="K454" t="str">
        <f t="shared" si="85"/>
        <v>S</v>
      </c>
      <c r="L454">
        <v>4</v>
      </c>
      <c r="M454">
        <v>2019</v>
      </c>
      <c r="N454" t="str">
        <f t="shared" ref="N454:N489" si="88">"E"</f>
        <v>E</v>
      </c>
      <c r="O454" t="str">
        <f>"D"</f>
        <v>D</v>
      </c>
      <c r="P454">
        <v>0</v>
      </c>
      <c r="Q454">
        <v>100</v>
      </c>
      <c r="R454">
        <v>100</v>
      </c>
      <c r="S454">
        <v>35170</v>
      </c>
      <c r="T454">
        <v>100</v>
      </c>
      <c r="U454">
        <v>35170</v>
      </c>
      <c r="V454" t="str">
        <f>""</f>
        <v/>
      </c>
      <c r="W454">
        <v>34</v>
      </c>
      <c r="X454">
        <v>0</v>
      </c>
      <c r="Y454">
        <v>6000577</v>
      </c>
      <c r="Z454" t="str">
        <f>""</f>
        <v/>
      </c>
      <c r="AA454">
        <v>27</v>
      </c>
      <c r="AB454" t="str">
        <f>""</f>
        <v/>
      </c>
      <c r="AC454" t="str">
        <f>""</f>
        <v/>
      </c>
      <c r="AD454" t="str">
        <f>""</f>
        <v/>
      </c>
      <c r="AE454">
        <v>2019</v>
      </c>
      <c r="AF454">
        <v>2021</v>
      </c>
      <c r="AG454" t="str">
        <f>"Bruz"</f>
        <v>Bruz</v>
      </c>
      <c r="AH454" t="str">
        <f>"Bruz"</f>
        <v>Bruz</v>
      </c>
      <c r="AI454" t="str">
        <f>""</f>
        <v/>
      </c>
      <c r="AJ454" t="str">
        <f>""</f>
        <v/>
      </c>
      <c r="AK454" t="str">
        <f>""</f>
        <v/>
      </c>
      <c r="AL454">
        <v>38</v>
      </c>
      <c r="AM454" t="str">
        <f>""</f>
        <v/>
      </c>
      <c r="AN454" t="str">
        <f>""</f>
        <v/>
      </c>
      <c r="AO454" t="str">
        <f>"Lycée Michel Montaigne"</f>
        <v>Lycée Michel Montaigne</v>
      </c>
      <c r="AP454" t="str">
        <f>"BORDEAUX"</f>
        <v>BORDEAUX</v>
      </c>
      <c r="AQ454" t="str">
        <f>"Bordeaux"</f>
        <v>Bordeaux</v>
      </c>
    </row>
    <row r="455" spans="1:43" x14ac:dyDescent="0.25">
      <c r="A455" t="str">
        <f t="shared" si="82"/>
        <v>3A Ing sortant,T00000</v>
      </c>
      <c r="B455" t="str">
        <f>"CONTANT"</f>
        <v>CONTANT</v>
      </c>
      <c r="C455" t="str">
        <f>"Chloé"</f>
        <v>Chloé</v>
      </c>
      <c r="D455" t="str">
        <f>"021-2086"</f>
        <v>021-2086</v>
      </c>
      <c r="E455" t="str">
        <f>"091130122CA"</f>
        <v>091130122CA</v>
      </c>
      <c r="F455" t="str">
        <f t="shared" si="86"/>
        <v>0352480F</v>
      </c>
      <c r="G455" t="str">
        <f t="shared" si="87"/>
        <v>O</v>
      </c>
      <c r="H455">
        <v>10</v>
      </c>
      <c r="I455">
        <v>2000</v>
      </c>
      <c r="J455">
        <v>2</v>
      </c>
      <c r="K455" t="str">
        <f t="shared" si="85"/>
        <v>S</v>
      </c>
      <c r="L455">
        <v>20</v>
      </c>
      <c r="M455">
        <v>2018</v>
      </c>
      <c r="N455" t="str">
        <f t="shared" si="88"/>
        <v>E</v>
      </c>
      <c r="O455" t="str">
        <f>"N"</f>
        <v>N</v>
      </c>
      <c r="P455">
        <v>0</v>
      </c>
      <c r="Q455">
        <v>100</v>
      </c>
      <c r="R455">
        <v>100</v>
      </c>
      <c r="S455">
        <v>35170</v>
      </c>
      <c r="T455">
        <v>100</v>
      </c>
      <c r="U455">
        <v>35170</v>
      </c>
      <c r="V455" t="str">
        <f>""</f>
        <v/>
      </c>
      <c r="W455">
        <v>48</v>
      </c>
      <c r="X455">
        <v>0</v>
      </c>
      <c r="Y455">
        <v>6000577</v>
      </c>
      <c r="Z455" t="str">
        <f>""</f>
        <v/>
      </c>
      <c r="AA455">
        <v>27</v>
      </c>
      <c r="AB455" t="str">
        <f>""</f>
        <v/>
      </c>
      <c r="AC455" t="str">
        <f>""</f>
        <v/>
      </c>
      <c r="AD455" t="str">
        <f>""</f>
        <v/>
      </c>
      <c r="AE455">
        <v>2018</v>
      </c>
      <c r="AF455">
        <v>2021</v>
      </c>
      <c r="AG455" t="str">
        <f>"BRUZ"</f>
        <v>BRUZ</v>
      </c>
      <c r="AH455" t="str">
        <f>"BRUZ"</f>
        <v>BRUZ</v>
      </c>
      <c r="AI455" t="str">
        <f>""</f>
        <v/>
      </c>
      <c r="AJ455" t="str">
        <f>""</f>
        <v/>
      </c>
      <c r="AK455" t="str">
        <f>""</f>
        <v/>
      </c>
      <c r="AL455">
        <v>47</v>
      </c>
      <c r="AM455" t="str">
        <f>""</f>
        <v/>
      </c>
      <c r="AN455" t="str">
        <f>""</f>
        <v/>
      </c>
      <c r="AO455" t="str">
        <f>"Lycée Pierre MECHAIN"</f>
        <v>Lycée Pierre MECHAIN</v>
      </c>
      <c r="AP455" t="str">
        <f>"LAON"</f>
        <v>LAON</v>
      </c>
      <c r="AQ455" t="str">
        <f>"Amiens"</f>
        <v>Amiens</v>
      </c>
    </row>
    <row r="456" spans="1:43" x14ac:dyDescent="0.25">
      <c r="A456" t="str">
        <f t="shared" si="82"/>
        <v>3A Ing sortant,T00000</v>
      </c>
      <c r="B456" t="str">
        <f>"CORTADA"</f>
        <v>CORTADA</v>
      </c>
      <c r="C456" t="str">
        <f>"Adrien"</f>
        <v>Adrien</v>
      </c>
      <c r="D456" t="str">
        <f>"021-2027"</f>
        <v>021-2027</v>
      </c>
      <c r="E456" t="str">
        <f>"1116908926S"</f>
        <v>1116908926S</v>
      </c>
      <c r="F456" t="str">
        <f t="shared" si="86"/>
        <v>0352480F</v>
      </c>
      <c r="G456" t="str">
        <f t="shared" si="87"/>
        <v>O</v>
      </c>
      <c r="H456">
        <v>10</v>
      </c>
      <c r="I456">
        <v>2000</v>
      </c>
      <c r="J456">
        <v>1</v>
      </c>
      <c r="K456" t="str">
        <f t="shared" si="85"/>
        <v>S</v>
      </c>
      <c r="L456">
        <v>1</v>
      </c>
      <c r="M456">
        <v>2018</v>
      </c>
      <c r="N456" t="str">
        <f t="shared" si="88"/>
        <v>E</v>
      </c>
      <c r="O456" t="str">
        <f>"D"</f>
        <v>D</v>
      </c>
      <c r="P456">
        <v>0</v>
      </c>
      <c r="Q456">
        <v>100</v>
      </c>
      <c r="R456">
        <v>100</v>
      </c>
      <c r="S456">
        <v>35170</v>
      </c>
      <c r="T456">
        <v>100</v>
      </c>
      <c r="U456">
        <v>35170</v>
      </c>
      <c r="V456" t="str">
        <f>"TOEIC à l'ENSAI le 19/05/2022: score 950"</f>
        <v>TOEIC à l'ENSAI le 19/05/2022: score 950</v>
      </c>
      <c r="W456">
        <v>37</v>
      </c>
      <c r="X456">
        <v>0</v>
      </c>
      <c r="Y456">
        <v>6000577</v>
      </c>
      <c r="Z456" t="str">
        <f>""</f>
        <v/>
      </c>
      <c r="AA456">
        <v>27</v>
      </c>
      <c r="AB456" t="str">
        <f>""</f>
        <v/>
      </c>
      <c r="AC456" t="str">
        <f>""</f>
        <v/>
      </c>
      <c r="AD456" t="str">
        <f>""</f>
        <v/>
      </c>
      <c r="AE456">
        <v>2018</v>
      </c>
      <c r="AF456">
        <v>2021</v>
      </c>
      <c r="AG456" t="str">
        <f>"BRUZ"</f>
        <v>BRUZ</v>
      </c>
      <c r="AH456" t="str">
        <f>"BRUZ"</f>
        <v>BRUZ</v>
      </c>
      <c r="AI456" t="str">
        <f>""</f>
        <v/>
      </c>
      <c r="AJ456" t="str">
        <f>""</f>
        <v/>
      </c>
      <c r="AK456" t="str">
        <f>""</f>
        <v/>
      </c>
      <c r="AL456">
        <v>37</v>
      </c>
      <c r="AM456" t="str">
        <f>""</f>
        <v/>
      </c>
      <c r="AN456" t="str">
        <f>""</f>
        <v/>
      </c>
      <c r="AO456" t="str">
        <f>"Sophie Germain"</f>
        <v>Sophie Germain</v>
      </c>
      <c r="AP456" t="str">
        <f>"PARIS"</f>
        <v>PARIS</v>
      </c>
      <c r="AQ456" t="str">
        <f>"Paris"</f>
        <v>Paris</v>
      </c>
    </row>
    <row r="457" spans="1:43" x14ac:dyDescent="0.25">
      <c r="A457" t="str">
        <f t="shared" si="82"/>
        <v>3A Ing sortant,T00000</v>
      </c>
      <c r="B457" t="str">
        <f>"CRIMOTEL"</f>
        <v>CRIMOTEL</v>
      </c>
      <c r="C457" t="str">
        <f>"Julien"</f>
        <v>Julien</v>
      </c>
      <c r="D457" t="str">
        <f>"021-1983"</f>
        <v>021-1983</v>
      </c>
      <c r="E457" t="str">
        <f>"071784195HD"</f>
        <v>071784195HD</v>
      </c>
      <c r="F457" t="str">
        <f t="shared" si="86"/>
        <v>0352480F</v>
      </c>
      <c r="G457" t="str">
        <f t="shared" si="87"/>
        <v>O</v>
      </c>
      <c r="H457">
        <v>10</v>
      </c>
      <c r="I457">
        <v>2000</v>
      </c>
      <c r="J457">
        <v>1</v>
      </c>
      <c r="K457" t="str">
        <f t="shared" si="85"/>
        <v>S</v>
      </c>
      <c r="L457">
        <v>19</v>
      </c>
      <c r="M457">
        <v>2018</v>
      </c>
      <c r="N457" t="str">
        <f t="shared" si="88"/>
        <v>E</v>
      </c>
      <c r="O457" t="str">
        <f>"D"</f>
        <v>D</v>
      </c>
      <c r="P457">
        <v>0</v>
      </c>
      <c r="Q457">
        <v>100</v>
      </c>
      <c r="R457">
        <v>100</v>
      </c>
      <c r="S457">
        <v>35170</v>
      </c>
      <c r="T457">
        <v>100</v>
      </c>
      <c r="U457">
        <v>35170</v>
      </c>
      <c r="V457" t="str">
        <f>"TOEIC à l'ENSAI le 19/05/2022: score 980"</f>
        <v>TOEIC à l'ENSAI le 19/05/2022: score 980</v>
      </c>
      <c r="W457">
        <v>52</v>
      </c>
      <c r="X457">
        <v>0</v>
      </c>
      <c r="Y457">
        <v>6000577</v>
      </c>
      <c r="Z457" t="str">
        <f>""</f>
        <v/>
      </c>
      <c r="AA457">
        <v>27</v>
      </c>
      <c r="AB457" t="str">
        <f>""</f>
        <v/>
      </c>
      <c r="AC457" t="str">
        <f>""</f>
        <v/>
      </c>
      <c r="AD457" t="str">
        <f>""</f>
        <v/>
      </c>
      <c r="AE457">
        <v>2018</v>
      </c>
      <c r="AF457">
        <v>2021</v>
      </c>
      <c r="AG457" t="str">
        <f t="shared" ref="AG457:AH459" si="89">"Bruz"</f>
        <v>Bruz</v>
      </c>
      <c r="AH457" t="str">
        <f t="shared" si="89"/>
        <v>Bruz</v>
      </c>
      <c r="AI457" t="str">
        <f>""</f>
        <v/>
      </c>
      <c r="AJ457" t="str">
        <f>""</f>
        <v/>
      </c>
      <c r="AK457" t="str">
        <f>""</f>
        <v/>
      </c>
      <c r="AL457">
        <v>52</v>
      </c>
      <c r="AM457" t="str">
        <f>""</f>
        <v/>
      </c>
      <c r="AN457" t="str">
        <f>""</f>
        <v/>
      </c>
      <c r="AO457" t="str">
        <f>"Camille Claudel"</f>
        <v>Camille Claudel</v>
      </c>
      <c r="AP457" t="str">
        <f>"TROYES"</f>
        <v>TROYES</v>
      </c>
      <c r="AQ457" t="str">
        <f>"Reims"</f>
        <v>Reims</v>
      </c>
    </row>
    <row r="458" spans="1:43" x14ac:dyDescent="0.25">
      <c r="A458" t="str">
        <f t="shared" si="82"/>
        <v>3A Ing sortant,T00000</v>
      </c>
      <c r="B458" t="str">
        <f>"D'HAUSSY"</f>
        <v>D'HAUSSY</v>
      </c>
      <c r="C458" t="str">
        <f>"Jules"</f>
        <v>Jules</v>
      </c>
      <c r="D458" t="str">
        <f>"020-1846"</f>
        <v>020-1846</v>
      </c>
      <c r="E458" t="str">
        <f>"0910045732U"</f>
        <v>0910045732U</v>
      </c>
      <c r="F458" t="str">
        <f t="shared" si="86"/>
        <v>0352480F</v>
      </c>
      <c r="G458" t="str">
        <f t="shared" si="87"/>
        <v>O</v>
      </c>
      <c r="H458">
        <v>10</v>
      </c>
      <c r="I458">
        <v>1999</v>
      </c>
      <c r="J458">
        <v>1</v>
      </c>
      <c r="K458" t="str">
        <f t="shared" si="85"/>
        <v>S</v>
      </c>
      <c r="L458">
        <v>9</v>
      </c>
      <c r="M458">
        <v>2016</v>
      </c>
      <c r="N458" t="str">
        <f t="shared" si="88"/>
        <v>E</v>
      </c>
      <c r="O458" t="str">
        <f>"N"</f>
        <v>N</v>
      </c>
      <c r="P458">
        <v>0</v>
      </c>
      <c r="Q458">
        <v>100</v>
      </c>
      <c r="R458">
        <v>100</v>
      </c>
      <c r="S458">
        <v>35170</v>
      </c>
      <c r="T458">
        <v>100</v>
      </c>
      <c r="U458">
        <v>35170</v>
      </c>
      <c r="V458" t="str">
        <f>"TOEIC à l'ENSAI le 2/11/2022 - 965  POE validée par portfolio"</f>
        <v>TOEIC à l'ENSAI le 2/11/2022 - 965  POE validée par portfolio</v>
      </c>
      <c r="W458">
        <v>38</v>
      </c>
      <c r="X458">
        <v>0</v>
      </c>
      <c r="Y458">
        <v>6000577</v>
      </c>
      <c r="Z458" t="str">
        <f>""</f>
        <v/>
      </c>
      <c r="AA458">
        <v>27</v>
      </c>
      <c r="AB458" t="str">
        <f>""</f>
        <v/>
      </c>
      <c r="AC458" t="str">
        <f>""</f>
        <v/>
      </c>
      <c r="AD458" t="str">
        <f>""</f>
        <v/>
      </c>
      <c r="AE458">
        <v>2016</v>
      </c>
      <c r="AF458">
        <v>2020</v>
      </c>
      <c r="AG458" t="str">
        <f t="shared" si="89"/>
        <v>Bruz</v>
      </c>
      <c r="AH458" t="str">
        <f t="shared" si="89"/>
        <v>Bruz</v>
      </c>
      <c r="AI458" t="str">
        <f>""</f>
        <v/>
      </c>
      <c r="AJ458" t="str">
        <f>""</f>
        <v/>
      </c>
      <c r="AK458" t="str">
        <f>""</f>
        <v/>
      </c>
      <c r="AL458">
        <v>54</v>
      </c>
      <c r="AM458" t="str">
        <f>""</f>
        <v/>
      </c>
      <c r="AN458" t="str">
        <f>""</f>
        <v/>
      </c>
      <c r="AO458" t="str">
        <f>"Lycée de Marcq"</f>
        <v>Lycée de Marcq</v>
      </c>
      <c r="AP458" t="str">
        <f>"MARCQ EN BAROEUL"</f>
        <v>MARCQ EN BAROEUL</v>
      </c>
      <c r="AQ458" t="str">
        <f>"Lille"</f>
        <v>Lille</v>
      </c>
    </row>
    <row r="459" spans="1:43" x14ac:dyDescent="0.25">
      <c r="A459" t="str">
        <f t="shared" si="82"/>
        <v>3A Ing sortant,T00000</v>
      </c>
      <c r="B459" t="str">
        <f>"DANIAUD"</f>
        <v>DANIAUD</v>
      </c>
      <c r="C459" t="str">
        <f>"Julie"</f>
        <v>Julie</v>
      </c>
      <c r="D459" t="str">
        <f>"022-2142"</f>
        <v>022-2142</v>
      </c>
      <c r="E459" t="str">
        <f>"070392329JG"</f>
        <v>070392329JG</v>
      </c>
      <c r="F459" t="str">
        <f t="shared" si="86"/>
        <v>0352480F</v>
      </c>
      <c r="G459" t="str">
        <f t="shared" si="87"/>
        <v>O</v>
      </c>
      <c r="H459">
        <v>10</v>
      </c>
      <c r="I459">
        <v>2001</v>
      </c>
      <c r="J459">
        <v>2</v>
      </c>
      <c r="K459" t="str">
        <f t="shared" si="85"/>
        <v>S</v>
      </c>
      <c r="L459">
        <v>25</v>
      </c>
      <c r="M459">
        <v>2018</v>
      </c>
      <c r="N459" t="str">
        <f t="shared" si="88"/>
        <v>E</v>
      </c>
      <c r="O459" t="str">
        <f>"Q"</f>
        <v>Q</v>
      </c>
      <c r="P459">
        <v>0</v>
      </c>
      <c r="Q459">
        <v>100</v>
      </c>
      <c r="R459">
        <v>100</v>
      </c>
      <c r="S459">
        <v>35170</v>
      </c>
      <c r="T459">
        <v>100</v>
      </c>
      <c r="U459">
        <v>35170</v>
      </c>
      <c r="V459" t="str">
        <f>"Linguaskill General à l'ENSAI le 10/11/2022 : niveau C1 en anglais (180+) = 945 au TOEIC"</f>
        <v>Linguaskill General à l'ENSAI le 10/11/2022 : niveau C1 en anglais (180+) = 945 au TOEIC</v>
      </c>
      <c r="W459">
        <v>73</v>
      </c>
      <c r="X459">
        <v>0</v>
      </c>
      <c r="Y459">
        <v>6000577</v>
      </c>
      <c r="Z459" t="str">
        <f>""</f>
        <v/>
      </c>
      <c r="AA459">
        <v>27</v>
      </c>
      <c r="AB459" t="str">
        <f>""</f>
        <v/>
      </c>
      <c r="AC459" t="str">
        <f>""</f>
        <v/>
      </c>
      <c r="AD459" t="str">
        <f>""</f>
        <v/>
      </c>
      <c r="AE459">
        <v>2018</v>
      </c>
      <c r="AF459">
        <v>2022</v>
      </c>
      <c r="AG459" t="str">
        <f t="shared" si="89"/>
        <v>Bruz</v>
      </c>
      <c r="AH459" t="str">
        <f t="shared" si="89"/>
        <v>Bruz</v>
      </c>
      <c r="AI459" t="str">
        <f>""</f>
        <v/>
      </c>
      <c r="AJ459" t="str">
        <f>""</f>
        <v/>
      </c>
      <c r="AK459" t="str">
        <f>""</f>
        <v/>
      </c>
      <c r="AL459">
        <v>82</v>
      </c>
      <c r="AM459" t="str">
        <f>""</f>
        <v/>
      </c>
      <c r="AN459" t="str">
        <f>""</f>
        <v/>
      </c>
      <c r="AO459" t="str">
        <f>"Marcel Pagnol"</f>
        <v>Marcel Pagnol</v>
      </c>
      <c r="AP459" t="str">
        <f>"ATHIS-MONS"</f>
        <v>ATHIS-MONS</v>
      </c>
      <c r="AQ459" t="str">
        <f>"Versailles"</f>
        <v>Versailles</v>
      </c>
    </row>
    <row r="460" spans="1:43" x14ac:dyDescent="0.25">
      <c r="A460" t="str">
        <f t="shared" ref="A460:A491" si="90">"3A Ing sortant,T00000"</f>
        <v>3A Ing sortant,T00000</v>
      </c>
      <c r="B460" t="str">
        <f>"DAVID-QUILLOT"</f>
        <v>DAVID-QUILLOT</v>
      </c>
      <c r="C460" t="str">
        <f>"Mathis"</f>
        <v>Mathis</v>
      </c>
      <c r="D460" t="str">
        <f>"021-1988"</f>
        <v>021-1988</v>
      </c>
      <c r="E460" t="str">
        <f>"061296943HD"</f>
        <v>061296943HD</v>
      </c>
      <c r="F460" t="str">
        <f t="shared" si="86"/>
        <v>0352480F</v>
      </c>
      <c r="G460" t="str">
        <f t="shared" si="87"/>
        <v>O</v>
      </c>
      <c r="H460">
        <v>10</v>
      </c>
      <c r="I460">
        <v>2002</v>
      </c>
      <c r="J460">
        <v>1</v>
      </c>
      <c r="K460" t="str">
        <f t="shared" si="85"/>
        <v>S</v>
      </c>
      <c r="L460">
        <v>18</v>
      </c>
      <c r="M460">
        <v>2019</v>
      </c>
      <c r="N460" t="str">
        <f t="shared" si="88"/>
        <v>E</v>
      </c>
      <c r="O460" t="str">
        <f>"D"</f>
        <v>D</v>
      </c>
      <c r="P460">
        <v>0</v>
      </c>
      <c r="Q460">
        <v>100</v>
      </c>
      <c r="R460">
        <v>100</v>
      </c>
      <c r="S460">
        <v>35135</v>
      </c>
      <c r="T460">
        <v>100</v>
      </c>
      <c r="U460">
        <v>35135</v>
      </c>
      <c r="V460" t="str">
        <f>"TOEIC à l'ENSAI le 19/05/2022: score 855"</f>
        <v>TOEIC à l'ENSAI le 19/05/2022: score 855</v>
      </c>
      <c r="W460">
        <v>38</v>
      </c>
      <c r="X460">
        <v>0</v>
      </c>
      <c r="Y460">
        <v>6000577</v>
      </c>
      <c r="Z460" t="str">
        <f>""</f>
        <v/>
      </c>
      <c r="AA460">
        <v>27</v>
      </c>
      <c r="AB460" t="str">
        <f>""</f>
        <v/>
      </c>
      <c r="AC460" t="str">
        <f>""</f>
        <v/>
      </c>
      <c r="AD460" t="str">
        <f>""</f>
        <v/>
      </c>
      <c r="AE460">
        <v>2019</v>
      </c>
      <c r="AF460">
        <v>2021</v>
      </c>
      <c r="AG460" t="str">
        <f>"Chantepie"</f>
        <v>Chantepie</v>
      </c>
      <c r="AH460" t="str">
        <f>"Chantepie"</f>
        <v>Chantepie</v>
      </c>
      <c r="AI460" t="str">
        <f>""</f>
        <v/>
      </c>
      <c r="AJ460" t="str">
        <f>""</f>
        <v/>
      </c>
      <c r="AK460" t="str">
        <f>""</f>
        <v/>
      </c>
      <c r="AL460">
        <v>37</v>
      </c>
      <c r="AM460" t="str">
        <f>""</f>
        <v/>
      </c>
      <c r="AN460" t="str">
        <f>""</f>
        <v/>
      </c>
      <c r="AO460" t="str">
        <f>"Lycée Descartes"</f>
        <v>Lycée Descartes</v>
      </c>
      <c r="AP460" t="str">
        <f>"TOURS"</f>
        <v>TOURS</v>
      </c>
      <c r="AQ460" t="str">
        <f>"Orléans-Tours"</f>
        <v>Orléans-Tours</v>
      </c>
    </row>
    <row r="461" spans="1:43" x14ac:dyDescent="0.25">
      <c r="A461" t="str">
        <f t="shared" si="90"/>
        <v>3A Ing sortant,T00000</v>
      </c>
      <c r="B461" t="str">
        <f>"DE PAEPE"</f>
        <v>DE PAEPE</v>
      </c>
      <c r="C461" t="str">
        <f>"Antoine"</f>
        <v>Antoine</v>
      </c>
      <c r="D461" t="str">
        <f>"021-1946"</f>
        <v>021-1946</v>
      </c>
      <c r="E461" t="str">
        <f>"0411024654D"</f>
        <v>0411024654D</v>
      </c>
      <c r="F461" t="str">
        <f t="shared" si="86"/>
        <v>0352480F</v>
      </c>
      <c r="G461" t="str">
        <f t="shared" si="87"/>
        <v>O</v>
      </c>
      <c r="H461">
        <v>10</v>
      </c>
      <c r="I461">
        <v>2000</v>
      </c>
      <c r="J461">
        <v>1</v>
      </c>
      <c r="K461" t="str">
        <f t="shared" si="85"/>
        <v>S</v>
      </c>
      <c r="L461">
        <v>4</v>
      </c>
      <c r="M461">
        <v>2018</v>
      </c>
      <c r="N461" t="str">
        <f t="shared" si="88"/>
        <v>E</v>
      </c>
      <c r="O461" t="str">
        <f>"N"</f>
        <v>N</v>
      </c>
      <c r="P461">
        <v>0</v>
      </c>
      <c r="Q461">
        <v>100</v>
      </c>
      <c r="R461">
        <v>100</v>
      </c>
      <c r="S461">
        <v>47200</v>
      </c>
      <c r="T461">
        <v>100</v>
      </c>
      <c r="U461">
        <v>47200</v>
      </c>
      <c r="V461" t="str">
        <f>"TOEIC à l'ENSAI le 19/05/2022: score 855"</f>
        <v>TOEIC à l'ENSAI le 19/05/2022: score 855</v>
      </c>
      <c r="W461">
        <v>37</v>
      </c>
      <c r="X461">
        <v>0</v>
      </c>
      <c r="Y461">
        <v>6000577</v>
      </c>
      <c r="Z461" t="str">
        <f>""</f>
        <v/>
      </c>
      <c r="AA461">
        <v>27</v>
      </c>
      <c r="AB461" t="str">
        <f>""</f>
        <v/>
      </c>
      <c r="AC461" t="str">
        <f>""</f>
        <v/>
      </c>
      <c r="AD461" t="str">
        <f>""</f>
        <v/>
      </c>
      <c r="AE461">
        <v>2018</v>
      </c>
      <c r="AF461">
        <v>2021</v>
      </c>
      <c r="AG461" t="str">
        <f>"Virazeil"</f>
        <v>Virazeil</v>
      </c>
      <c r="AH461" t="str">
        <f>"Virazeil"</f>
        <v>Virazeil</v>
      </c>
      <c r="AI461" t="str">
        <f>""</f>
        <v/>
      </c>
      <c r="AJ461" t="str">
        <f>""</f>
        <v/>
      </c>
      <c r="AK461" t="str">
        <f>""</f>
        <v/>
      </c>
      <c r="AL461">
        <v>82</v>
      </c>
      <c r="AM461" t="str">
        <f>""</f>
        <v/>
      </c>
      <c r="AN461" t="str">
        <f>""</f>
        <v/>
      </c>
      <c r="AO461" t="str">
        <f>"Cned - Lycée val de Garonne"</f>
        <v>Cned - Lycée val de Garonne</v>
      </c>
      <c r="AP461" t="str">
        <f>"MARMANDE"</f>
        <v>MARMANDE</v>
      </c>
      <c r="AQ461" t="str">
        <f>"Bordeaux"</f>
        <v>Bordeaux</v>
      </c>
    </row>
    <row r="462" spans="1:43" x14ac:dyDescent="0.25">
      <c r="A462" t="str">
        <f t="shared" si="90"/>
        <v>3A Ing sortant,T00000</v>
      </c>
      <c r="B462" t="str">
        <f>"DECROS"</f>
        <v>DECROS</v>
      </c>
      <c r="C462" t="str">
        <f>"Florian"</f>
        <v>Florian</v>
      </c>
      <c r="D462" t="str">
        <f>"020-1706"</f>
        <v>020-1706</v>
      </c>
      <c r="E462" t="str">
        <f>"090264647GB"</f>
        <v>090264647GB</v>
      </c>
      <c r="F462" t="str">
        <f t="shared" si="86"/>
        <v>0352480F</v>
      </c>
      <c r="G462" t="str">
        <f t="shared" si="87"/>
        <v>O</v>
      </c>
      <c r="H462">
        <v>10</v>
      </c>
      <c r="I462">
        <v>2001</v>
      </c>
      <c r="J462">
        <v>1</v>
      </c>
      <c r="K462" t="str">
        <f t="shared" si="85"/>
        <v>S</v>
      </c>
      <c r="L462">
        <v>13</v>
      </c>
      <c r="M462">
        <v>2018</v>
      </c>
      <c r="N462" t="str">
        <f t="shared" si="88"/>
        <v>E</v>
      </c>
      <c r="O462" t="str">
        <f>"C"</f>
        <v>C</v>
      </c>
      <c r="P462">
        <v>0</v>
      </c>
      <c r="Q462">
        <v>100</v>
      </c>
      <c r="R462">
        <v>100</v>
      </c>
      <c r="S462">
        <v>35170</v>
      </c>
      <c r="T462">
        <v>100</v>
      </c>
      <c r="U462">
        <v>35170</v>
      </c>
      <c r="V462" t="str">
        <f>"TOEIC passé à l'ENSAI le 17/05/2021 : 990"</f>
        <v>TOEIC passé à l'ENSAI le 17/05/2021 : 990</v>
      </c>
      <c r="W462">
        <v>33</v>
      </c>
      <c r="X462">
        <v>0</v>
      </c>
      <c r="Y462">
        <v>6000577</v>
      </c>
      <c r="Z462" t="str">
        <f>""</f>
        <v/>
      </c>
      <c r="AA462">
        <v>27</v>
      </c>
      <c r="AB462" t="str">
        <f>""</f>
        <v/>
      </c>
      <c r="AC462" t="str">
        <f>""</f>
        <v/>
      </c>
      <c r="AD462" t="str">
        <f>""</f>
        <v/>
      </c>
      <c r="AE462">
        <v>2018</v>
      </c>
      <c r="AF462">
        <v>2020</v>
      </c>
      <c r="AG462" t="str">
        <f>"Bruz"</f>
        <v>Bruz</v>
      </c>
      <c r="AH462" t="str">
        <f>"Bruz"</f>
        <v>Bruz</v>
      </c>
      <c r="AI462" t="str">
        <f>""</f>
        <v/>
      </c>
      <c r="AJ462" t="str">
        <f>""</f>
        <v/>
      </c>
      <c r="AK462" t="str">
        <f>""</f>
        <v/>
      </c>
      <c r="AL462">
        <v>34</v>
      </c>
      <c r="AM462" t="str">
        <f>""</f>
        <v/>
      </c>
      <c r="AN462" t="str">
        <f>""</f>
        <v/>
      </c>
      <c r="AO462" t="str">
        <f>"Lycée Saint-André"</f>
        <v>Lycée Saint-André</v>
      </c>
      <c r="AP462" t="str">
        <f>"NIORT"</f>
        <v>NIORT</v>
      </c>
      <c r="AQ462" t="str">
        <f>"Poitiers"</f>
        <v>Poitiers</v>
      </c>
    </row>
    <row r="463" spans="1:43" x14ac:dyDescent="0.25">
      <c r="A463" t="str">
        <f t="shared" si="90"/>
        <v>3A Ing sortant,T00000</v>
      </c>
      <c r="B463" t="str">
        <f>"DJAFRI"</f>
        <v>DJAFRI</v>
      </c>
      <c r="C463" t="str">
        <f>"Williams"</f>
        <v>Williams</v>
      </c>
      <c r="D463" t="str">
        <f>"021-2028"</f>
        <v>021-2028</v>
      </c>
      <c r="E463" t="str">
        <f>"050219531JF"</f>
        <v>050219531JF</v>
      </c>
      <c r="F463" t="str">
        <f t="shared" si="86"/>
        <v>0352480F</v>
      </c>
      <c r="G463" t="str">
        <f t="shared" si="87"/>
        <v>O</v>
      </c>
      <c r="H463">
        <v>10</v>
      </c>
      <c r="I463">
        <v>2000</v>
      </c>
      <c r="J463">
        <v>1</v>
      </c>
      <c r="K463" t="str">
        <f t="shared" si="85"/>
        <v>S</v>
      </c>
      <c r="L463">
        <v>24</v>
      </c>
      <c r="M463">
        <v>2018</v>
      </c>
      <c r="N463" t="str">
        <f t="shared" si="88"/>
        <v>E</v>
      </c>
      <c r="O463" t="str">
        <f>"A"</f>
        <v>A</v>
      </c>
      <c r="P463">
        <v>0</v>
      </c>
      <c r="Q463">
        <v>100</v>
      </c>
      <c r="R463">
        <v>100</v>
      </c>
      <c r="S463" t="str">
        <f>""</f>
        <v/>
      </c>
      <c r="T463">
        <v>100</v>
      </c>
      <c r="U463" t="str">
        <f>""</f>
        <v/>
      </c>
      <c r="V463" t="str">
        <f>""</f>
        <v/>
      </c>
      <c r="W463">
        <v>0</v>
      </c>
      <c r="X463">
        <v>0</v>
      </c>
      <c r="Y463">
        <v>6000577</v>
      </c>
      <c r="Z463" t="str">
        <f>""</f>
        <v/>
      </c>
      <c r="AA463">
        <v>27</v>
      </c>
      <c r="AB463" t="str">
        <f>""</f>
        <v/>
      </c>
      <c r="AC463" t="str">
        <f>""</f>
        <v/>
      </c>
      <c r="AD463" t="str">
        <f>""</f>
        <v/>
      </c>
      <c r="AE463">
        <v>2018</v>
      </c>
      <c r="AF463">
        <v>2021</v>
      </c>
      <c r="AG463" t="str">
        <f>""</f>
        <v/>
      </c>
      <c r="AH463" t="str">
        <f>""</f>
        <v/>
      </c>
      <c r="AI463" t="str">
        <f>""</f>
        <v/>
      </c>
      <c r="AJ463" t="str">
        <f>""</f>
        <v/>
      </c>
      <c r="AK463" t="str">
        <f>""</f>
        <v/>
      </c>
      <c r="AL463">
        <v>0</v>
      </c>
      <c r="AM463" t="str">
        <f>""</f>
        <v/>
      </c>
      <c r="AN463" t="str">
        <f>""</f>
        <v/>
      </c>
      <c r="AO463" t="str">
        <f>"Antoine de Saint-Exupéry"</f>
        <v>Antoine de Saint-Exupéry</v>
      </c>
      <c r="AP463" t="str">
        <f>"CRÉTEIL"</f>
        <v>CRÉTEIL</v>
      </c>
      <c r="AQ463" t="str">
        <f>"Créteil"</f>
        <v>Créteil</v>
      </c>
    </row>
    <row r="464" spans="1:43" x14ac:dyDescent="0.25">
      <c r="A464" t="str">
        <f t="shared" si="90"/>
        <v>3A Ing sortant,T00000</v>
      </c>
      <c r="B464" t="str">
        <f>"DUBOIS"</f>
        <v>DUBOIS</v>
      </c>
      <c r="C464" t="str">
        <f>"Clarisse"</f>
        <v>Clarisse</v>
      </c>
      <c r="D464" t="str">
        <f>"021-1931"</f>
        <v>021-1931</v>
      </c>
      <c r="E464" t="str">
        <f>"090708444DK"</f>
        <v>090708444DK</v>
      </c>
      <c r="F464" t="str">
        <f t="shared" si="86"/>
        <v>0352480F</v>
      </c>
      <c r="G464" t="str">
        <f t="shared" si="87"/>
        <v>O</v>
      </c>
      <c r="H464">
        <v>10</v>
      </c>
      <c r="I464">
        <v>2000</v>
      </c>
      <c r="J464">
        <v>2</v>
      </c>
      <c r="K464" t="str">
        <f t="shared" si="85"/>
        <v>S</v>
      </c>
      <c r="L464">
        <v>5</v>
      </c>
      <c r="M464">
        <v>2018</v>
      </c>
      <c r="N464" t="str">
        <f t="shared" si="88"/>
        <v>E</v>
      </c>
      <c r="O464" t="str">
        <f>"N"</f>
        <v>N</v>
      </c>
      <c r="P464">
        <v>0</v>
      </c>
      <c r="Q464">
        <v>100</v>
      </c>
      <c r="R464">
        <v>100</v>
      </c>
      <c r="S464">
        <v>35170</v>
      </c>
      <c r="T464">
        <v>100</v>
      </c>
      <c r="U464">
        <v>35170</v>
      </c>
      <c r="V464" t="str">
        <f>"TOEIC 2A à l'ENSAI le 09/01/2023 - score 890"</f>
        <v>TOEIC 2A à l'ENSAI le 09/01/2023 - score 890</v>
      </c>
      <c r="W464">
        <v>48</v>
      </c>
      <c r="X464">
        <v>0</v>
      </c>
      <c r="Y464">
        <v>6000577</v>
      </c>
      <c r="Z464" t="str">
        <f>""</f>
        <v/>
      </c>
      <c r="AA464">
        <v>27</v>
      </c>
      <c r="AB464" t="str">
        <f>""</f>
        <v/>
      </c>
      <c r="AC464" t="str">
        <f>""</f>
        <v/>
      </c>
      <c r="AD464" t="str">
        <f>""</f>
        <v/>
      </c>
      <c r="AE464">
        <v>2018</v>
      </c>
      <c r="AF464">
        <v>2021</v>
      </c>
      <c r="AG464" t="str">
        <f>"Bruz"</f>
        <v>Bruz</v>
      </c>
      <c r="AH464" t="str">
        <f>"Bruz"</f>
        <v>Bruz</v>
      </c>
      <c r="AI464" t="str">
        <f>""</f>
        <v/>
      </c>
      <c r="AJ464" t="str">
        <f>""</f>
        <v/>
      </c>
      <c r="AK464" t="str">
        <f>""</f>
        <v/>
      </c>
      <c r="AL464">
        <v>48</v>
      </c>
      <c r="AM464" t="str">
        <f>""</f>
        <v/>
      </c>
      <c r="AN464" t="str">
        <f>""</f>
        <v/>
      </c>
      <c r="AO464" t="str">
        <f>"Lycée Henri Cornat"</f>
        <v>Lycée Henri Cornat</v>
      </c>
      <c r="AP464" t="str">
        <f>"VALOGNES"</f>
        <v>VALOGNES</v>
      </c>
      <c r="AQ464" t="str">
        <f>"Caen"</f>
        <v>Caen</v>
      </c>
    </row>
    <row r="465" spans="1:43" x14ac:dyDescent="0.25">
      <c r="A465" t="str">
        <f t="shared" si="90"/>
        <v>3A Ing sortant,T00000</v>
      </c>
      <c r="B465" t="str">
        <f>"DUMOUCHEL"</f>
        <v>DUMOUCHEL</v>
      </c>
      <c r="C465" t="str">
        <f>"Jules"</f>
        <v>Jules</v>
      </c>
      <c r="D465" t="str">
        <f>"021-1953"</f>
        <v>021-1953</v>
      </c>
      <c r="E465" t="str">
        <f>"070905058AC"</f>
        <v>070905058AC</v>
      </c>
      <c r="F465" t="str">
        <f t="shared" si="86"/>
        <v>0352480F</v>
      </c>
      <c r="G465" t="str">
        <f t="shared" si="87"/>
        <v>O</v>
      </c>
      <c r="H465">
        <v>10</v>
      </c>
      <c r="I465">
        <v>2001</v>
      </c>
      <c r="J465">
        <v>1</v>
      </c>
      <c r="K465" t="str">
        <f t="shared" si="85"/>
        <v>S</v>
      </c>
      <c r="L465">
        <v>23</v>
      </c>
      <c r="M465">
        <v>2019</v>
      </c>
      <c r="N465" t="str">
        <f t="shared" si="88"/>
        <v>E</v>
      </c>
      <c r="O465" t="str">
        <f>"C"</f>
        <v>C</v>
      </c>
      <c r="P465">
        <v>0</v>
      </c>
      <c r="Q465">
        <v>100</v>
      </c>
      <c r="R465">
        <v>100</v>
      </c>
      <c r="S465">
        <v>35170</v>
      </c>
      <c r="T465">
        <v>100</v>
      </c>
      <c r="U465">
        <v>35170</v>
      </c>
      <c r="V465" t="str">
        <f>"TOEIC 2A à l'ENSAI le 09/01/2023 - score 945"</f>
        <v>TOEIC 2A à l'ENSAI le 09/01/2023 - score 945</v>
      </c>
      <c r="W465">
        <v>38</v>
      </c>
      <c r="X465">
        <v>0</v>
      </c>
      <c r="Y465">
        <v>6000577</v>
      </c>
      <c r="Z465" t="str">
        <f>""</f>
        <v/>
      </c>
      <c r="AA465">
        <v>27</v>
      </c>
      <c r="AB465" t="str">
        <f>""</f>
        <v/>
      </c>
      <c r="AC465" t="str">
        <f>""</f>
        <v/>
      </c>
      <c r="AD465" t="str">
        <f>""</f>
        <v/>
      </c>
      <c r="AE465">
        <v>2019</v>
      </c>
      <c r="AF465">
        <v>2021</v>
      </c>
      <c r="AG465" t="str">
        <f>"BRUZ"</f>
        <v>BRUZ</v>
      </c>
      <c r="AH465" t="str">
        <f>"BRUZ"</f>
        <v>BRUZ</v>
      </c>
      <c r="AI465" t="str">
        <f>""</f>
        <v/>
      </c>
      <c r="AJ465" t="str">
        <f>""</f>
        <v/>
      </c>
      <c r="AK465" t="str">
        <f>""</f>
        <v/>
      </c>
      <c r="AL465">
        <v>42</v>
      </c>
      <c r="AM465" t="str">
        <f>""</f>
        <v/>
      </c>
      <c r="AN465" t="str">
        <f>""</f>
        <v/>
      </c>
      <c r="AO465" t="str">
        <f>"Alexis de Tocqueville"</f>
        <v>Alexis de Tocqueville</v>
      </c>
      <c r="AP465" t="str">
        <f>"GRASSE"</f>
        <v>GRASSE</v>
      </c>
      <c r="AQ465" t="str">
        <f>"Nice"</f>
        <v>Nice</v>
      </c>
    </row>
    <row r="466" spans="1:43" x14ac:dyDescent="0.25">
      <c r="A466" t="str">
        <f t="shared" si="90"/>
        <v>3A Ing sortant,T00000</v>
      </c>
      <c r="B466" t="str">
        <f>"EL FIKRI"</f>
        <v>EL FIKRI</v>
      </c>
      <c r="C466" t="str">
        <f>"Il Yass"</f>
        <v>Il Yass</v>
      </c>
      <c r="D466" t="str">
        <f>"021-2006"</f>
        <v>021-2006</v>
      </c>
      <c r="E466" t="str">
        <f>"213147119AC"</f>
        <v>213147119AC</v>
      </c>
      <c r="F466" t="str">
        <f t="shared" si="86"/>
        <v>0352480F</v>
      </c>
      <c r="G466" t="str">
        <f t="shared" si="87"/>
        <v>O</v>
      </c>
      <c r="H466">
        <v>10</v>
      </c>
      <c r="I466">
        <v>2001</v>
      </c>
      <c r="J466">
        <v>1</v>
      </c>
      <c r="K466">
        <v>31</v>
      </c>
      <c r="L466">
        <v>0</v>
      </c>
      <c r="M466">
        <v>2019</v>
      </c>
      <c r="N466" t="str">
        <f t="shared" si="88"/>
        <v>E</v>
      </c>
      <c r="O466">
        <v>2</v>
      </c>
      <c r="P466">
        <v>0</v>
      </c>
      <c r="Q466">
        <v>350</v>
      </c>
      <c r="R466">
        <v>100</v>
      </c>
      <c r="S466">
        <v>35170</v>
      </c>
      <c r="T466">
        <v>100</v>
      </c>
      <c r="U466">
        <v>35170</v>
      </c>
      <c r="V466" t="str">
        <f>"TOEIC à l'ENSAI le 19/05/2022: score 980    Exempté de droits de scolarité #Ressources - Difficultés  Commission des bourses du 03/10/2022    Exonération des frais de scolarité par R. LE SAOUT. décision du 05/09/2023"</f>
        <v>TOEIC à l'ENSAI le 19/05/2022: score 980    Exempté de droits de scolarité #Ressources - Difficultés  Commission des bourses du 03/10/2022    Exonération des frais de scolarité par R. LE SAOUT. décision du 05/09/2023</v>
      </c>
      <c r="W466">
        <v>37</v>
      </c>
      <c r="X466">
        <v>0</v>
      </c>
      <c r="Y466">
        <v>6000577</v>
      </c>
      <c r="Z466" t="str">
        <f>""</f>
        <v/>
      </c>
      <c r="AA466">
        <v>27</v>
      </c>
      <c r="AB466" t="str">
        <f>""</f>
        <v/>
      </c>
      <c r="AC466" t="str">
        <f>""</f>
        <v/>
      </c>
      <c r="AD466" t="str">
        <f>""</f>
        <v/>
      </c>
      <c r="AE466">
        <v>2021</v>
      </c>
      <c r="AF466">
        <v>2021</v>
      </c>
      <c r="AG466" t="str">
        <f>"bruz"</f>
        <v>bruz</v>
      </c>
      <c r="AH466" t="str">
        <f>"bruz"</f>
        <v>bruz</v>
      </c>
      <c r="AI466" t="str">
        <f>""</f>
        <v/>
      </c>
      <c r="AJ466" t="str">
        <f>""</f>
        <v/>
      </c>
      <c r="AK466" t="str">
        <f>""</f>
        <v/>
      </c>
      <c r="AL466">
        <v>34</v>
      </c>
      <c r="AM466" t="str">
        <f>""</f>
        <v/>
      </c>
      <c r="AN466" t="str">
        <f>""</f>
        <v/>
      </c>
      <c r="AO466" t="str">
        <f>"IPEP"</f>
        <v>IPEP</v>
      </c>
      <c r="AP466" t="str">
        <f>"FES"</f>
        <v>FES</v>
      </c>
      <c r="AQ466" t="str">
        <f>"Etranger"</f>
        <v>Etranger</v>
      </c>
    </row>
    <row r="467" spans="1:43" x14ac:dyDescent="0.25">
      <c r="A467" t="str">
        <f t="shared" si="90"/>
        <v>3A Ing sortant,T00000</v>
      </c>
      <c r="B467" t="str">
        <f>"EL IDRISSI"</f>
        <v>EL IDRISSI</v>
      </c>
      <c r="C467" t="str">
        <f>"Taha"</f>
        <v>Taha</v>
      </c>
      <c r="D467" t="str">
        <f>"022-2174"</f>
        <v>022-2174</v>
      </c>
      <c r="E467" t="str">
        <f>"213467407AJ"</f>
        <v>213467407AJ</v>
      </c>
      <c r="F467" t="str">
        <f t="shared" si="86"/>
        <v>0352480F</v>
      </c>
      <c r="G467" t="str">
        <f t="shared" si="87"/>
        <v>O</v>
      </c>
      <c r="H467">
        <v>10</v>
      </c>
      <c r="I467">
        <v>1999</v>
      </c>
      <c r="J467">
        <v>1</v>
      </c>
      <c r="K467">
        <v>31</v>
      </c>
      <c r="L467">
        <v>0</v>
      </c>
      <c r="M467">
        <v>2017</v>
      </c>
      <c r="N467" t="str">
        <f t="shared" si="88"/>
        <v>E</v>
      </c>
      <c r="O467">
        <v>2</v>
      </c>
      <c r="P467">
        <v>0</v>
      </c>
      <c r="Q467">
        <v>350</v>
      </c>
      <c r="R467">
        <v>100</v>
      </c>
      <c r="S467">
        <v>35170</v>
      </c>
      <c r="T467">
        <v>100</v>
      </c>
      <c r="U467">
        <v>35170</v>
      </c>
      <c r="V467" t="str">
        <f>""</f>
        <v/>
      </c>
      <c r="W467">
        <v>34</v>
      </c>
      <c r="X467">
        <v>0</v>
      </c>
      <c r="Y467">
        <v>6000577</v>
      </c>
      <c r="Z467" t="str">
        <f>""</f>
        <v/>
      </c>
      <c r="AA467">
        <v>27</v>
      </c>
      <c r="AB467" t="str">
        <f>""</f>
        <v/>
      </c>
      <c r="AC467" t="str">
        <f>""</f>
        <v/>
      </c>
      <c r="AD467" t="str">
        <f>""</f>
        <v/>
      </c>
      <c r="AE467">
        <v>2022</v>
      </c>
      <c r="AF467">
        <v>2022</v>
      </c>
      <c r="AG467" t="str">
        <f>"Bruz"</f>
        <v>Bruz</v>
      </c>
      <c r="AH467" t="str">
        <f>"Bruz"</f>
        <v>Bruz</v>
      </c>
      <c r="AI467" t="str">
        <f>""</f>
        <v/>
      </c>
      <c r="AJ467" t="str">
        <f>""</f>
        <v/>
      </c>
      <c r="AK467" t="str">
        <f>""</f>
        <v/>
      </c>
      <c r="AL467">
        <v>34</v>
      </c>
      <c r="AM467" t="str">
        <f>""</f>
        <v/>
      </c>
      <c r="AN467" t="str">
        <f>""</f>
        <v/>
      </c>
      <c r="AO467" t="str">
        <f>"Youssef Bnou Tachfine"</f>
        <v>Youssef Bnou Tachfine</v>
      </c>
      <c r="AP467" t="str">
        <f>"AGADIR"</f>
        <v>AGADIR</v>
      </c>
      <c r="AQ467" t="str">
        <f>"Etranger"</f>
        <v>Etranger</v>
      </c>
    </row>
    <row r="468" spans="1:43" x14ac:dyDescent="0.25">
      <c r="A468" t="str">
        <f t="shared" si="90"/>
        <v>3A Ing sortant,T00000</v>
      </c>
      <c r="B468" t="str">
        <f>"ELKASEMI"</f>
        <v>ELKASEMI</v>
      </c>
      <c r="C468" t="str">
        <f>"Jehanne"</f>
        <v>Jehanne</v>
      </c>
      <c r="D468" t="str">
        <f>"021-2003"</f>
        <v>021-2003</v>
      </c>
      <c r="E468" t="str">
        <f>"070413335DC"</f>
        <v>070413335DC</v>
      </c>
      <c r="F468" t="str">
        <f t="shared" si="86"/>
        <v>0352480F</v>
      </c>
      <c r="G468" t="str">
        <f t="shared" si="87"/>
        <v>O</v>
      </c>
      <c r="H468">
        <v>10</v>
      </c>
      <c r="I468">
        <v>2001</v>
      </c>
      <c r="J468">
        <v>2</v>
      </c>
      <c r="K468" t="str">
        <f>"S"</f>
        <v>S</v>
      </c>
      <c r="L468">
        <v>7</v>
      </c>
      <c r="M468">
        <v>2019</v>
      </c>
      <c r="N468" t="str">
        <f t="shared" si="88"/>
        <v>E</v>
      </c>
      <c r="O468" t="str">
        <f>"A"</f>
        <v>A</v>
      </c>
      <c r="P468">
        <v>0</v>
      </c>
      <c r="Q468">
        <v>100</v>
      </c>
      <c r="R468">
        <v>100</v>
      </c>
      <c r="S468">
        <v>35000</v>
      </c>
      <c r="T468">
        <v>100</v>
      </c>
      <c r="U468">
        <v>35000</v>
      </c>
      <c r="V468" t="str">
        <f>"TOEIC 2A : 755  TOEIC 3A à l'ENSAI le 23-01-2024 : score 830 (B2)"</f>
        <v>TOEIC 2A : 755  TOEIC 3A à l'ENSAI le 23-01-2024 : score 830 (B2)</v>
      </c>
      <c r="W468">
        <v>34</v>
      </c>
      <c r="X468">
        <v>0</v>
      </c>
      <c r="Y468">
        <v>6000577</v>
      </c>
      <c r="Z468" t="str">
        <f>""</f>
        <v/>
      </c>
      <c r="AA468">
        <v>27</v>
      </c>
      <c r="AB468" t="str">
        <f>""</f>
        <v/>
      </c>
      <c r="AC468" t="str">
        <f>""</f>
        <v/>
      </c>
      <c r="AD468" t="str">
        <f>""</f>
        <v/>
      </c>
      <c r="AE468">
        <v>2019</v>
      </c>
      <c r="AF468">
        <v>2021</v>
      </c>
      <c r="AG468" t="str">
        <f>"Rennes"</f>
        <v>Rennes</v>
      </c>
      <c r="AH468" t="str">
        <f>"Rennes"</f>
        <v>Rennes</v>
      </c>
      <c r="AI468" t="str">
        <f>""</f>
        <v/>
      </c>
      <c r="AJ468" t="str">
        <f>""</f>
        <v/>
      </c>
      <c r="AK468" t="str">
        <f>""</f>
        <v/>
      </c>
      <c r="AL468">
        <v>56</v>
      </c>
      <c r="AM468" t="str">
        <f>""</f>
        <v/>
      </c>
      <c r="AN468" t="str">
        <f>""</f>
        <v/>
      </c>
      <c r="AO468" t="str">
        <f>"Lycée Jean Marc Boivin"</f>
        <v>Lycée Jean Marc Boivin</v>
      </c>
      <c r="AP468" t="str">
        <f>"CHEVIGNY-SAINT-SAUVEUR"</f>
        <v>CHEVIGNY-SAINT-SAUVEUR</v>
      </c>
      <c r="AQ468" t="str">
        <f>"Dijon"</f>
        <v>Dijon</v>
      </c>
    </row>
    <row r="469" spans="1:43" x14ac:dyDescent="0.25">
      <c r="A469" t="str">
        <f t="shared" si="90"/>
        <v>3A Ing sortant,T00000</v>
      </c>
      <c r="B469" t="str">
        <f>"ERGUN"</f>
        <v>ERGUN</v>
      </c>
      <c r="C469" t="str">
        <f>"Damien"</f>
        <v>Damien</v>
      </c>
      <c r="D469" t="str">
        <f>"020-1758"</f>
        <v>020-1758</v>
      </c>
      <c r="E469" t="str">
        <f>"0910058744M"</f>
        <v>0910058744M</v>
      </c>
      <c r="F469" t="str">
        <f t="shared" si="86"/>
        <v>0352480F</v>
      </c>
      <c r="G469" t="str">
        <f t="shared" si="87"/>
        <v>O</v>
      </c>
      <c r="H469">
        <v>10</v>
      </c>
      <c r="I469">
        <v>1999</v>
      </c>
      <c r="J469">
        <v>1</v>
      </c>
      <c r="K469" t="str">
        <f>"S"</f>
        <v>S</v>
      </c>
      <c r="L469">
        <v>9</v>
      </c>
      <c r="M469">
        <v>2017</v>
      </c>
      <c r="N469" t="str">
        <f t="shared" si="88"/>
        <v>E</v>
      </c>
      <c r="O469" t="str">
        <f>"N"</f>
        <v>N</v>
      </c>
      <c r="P469">
        <v>0</v>
      </c>
      <c r="Q469">
        <v>100</v>
      </c>
      <c r="R469">
        <v>100</v>
      </c>
      <c r="S469">
        <v>35170</v>
      </c>
      <c r="T469">
        <v>100</v>
      </c>
      <c r="U469">
        <v>35170</v>
      </c>
      <c r="V469" t="str">
        <f>"TOEIC à l'ENSAI le 2/11/2022 - 920"</f>
        <v>TOEIC à l'ENSAI le 2/11/2022 - 920</v>
      </c>
      <c r="W469">
        <v>56</v>
      </c>
      <c r="X469">
        <v>0</v>
      </c>
      <c r="Y469">
        <v>6000577</v>
      </c>
      <c r="Z469" t="str">
        <f>""</f>
        <v/>
      </c>
      <c r="AA469">
        <v>27</v>
      </c>
      <c r="AB469" t="str">
        <f>""</f>
        <v/>
      </c>
      <c r="AC469" t="str">
        <f>""</f>
        <v/>
      </c>
      <c r="AD469" t="str">
        <f>""</f>
        <v/>
      </c>
      <c r="AE469">
        <v>2017</v>
      </c>
      <c r="AF469">
        <v>2020</v>
      </c>
      <c r="AG469" t="str">
        <f>"Bruz"</f>
        <v>Bruz</v>
      </c>
      <c r="AH469" t="str">
        <f>"Bruz"</f>
        <v>Bruz</v>
      </c>
      <c r="AI469" t="str">
        <f>""</f>
        <v/>
      </c>
      <c r="AJ469" t="str">
        <f>""</f>
        <v/>
      </c>
      <c r="AK469" t="str">
        <f>""</f>
        <v/>
      </c>
      <c r="AL469">
        <v>99</v>
      </c>
      <c r="AM469" t="str">
        <f>""</f>
        <v/>
      </c>
      <c r="AN469" t="str">
        <f>""</f>
        <v/>
      </c>
      <c r="AO469" t="str">
        <f>"LICP"</f>
        <v>LICP</v>
      </c>
      <c r="AP469" t="str">
        <f>"TOURCOING"</f>
        <v>TOURCOING</v>
      </c>
      <c r="AQ469" t="str">
        <f>"Lille"</f>
        <v>Lille</v>
      </c>
    </row>
    <row r="470" spans="1:43" x14ac:dyDescent="0.25">
      <c r="A470" t="str">
        <f t="shared" si="90"/>
        <v>3A Ing sortant,T00000</v>
      </c>
      <c r="B470" t="str">
        <f>"FARNARIER"</f>
        <v>FARNARIER</v>
      </c>
      <c r="C470" t="str">
        <f>"Justine"</f>
        <v>Justine</v>
      </c>
      <c r="D470" t="str">
        <f>"021-2058"</f>
        <v>021-2058</v>
      </c>
      <c r="E470" t="str">
        <f>"111010558CF"</f>
        <v>111010558CF</v>
      </c>
      <c r="F470" t="str">
        <f t="shared" si="86"/>
        <v>0352480F</v>
      </c>
      <c r="G470" t="str">
        <f t="shared" si="87"/>
        <v>O</v>
      </c>
      <c r="H470">
        <v>10</v>
      </c>
      <c r="I470">
        <v>2001</v>
      </c>
      <c r="J470">
        <v>2</v>
      </c>
      <c r="K470" t="str">
        <f>"S"</f>
        <v>S</v>
      </c>
      <c r="L470">
        <v>23</v>
      </c>
      <c r="M470">
        <v>2019</v>
      </c>
      <c r="N470" t="str">
        <f t="shared" si="88"/>
        <v>E</v>
      </c>
      <c r="O470" t="str">
        <f>"D"</f>
        <v>D</v>
      </c>
      <c r="P470">
        <v>0</v>
      </c>
      <c r="Q470">
        <v>100</v>
      </c>
      <c r="R470">
        <v>100</v>
      </c>
      <c r="S470">
        <v>35000</v>
      </c>
      <c r="T470">
        <v>100</v>
      </c>
      <c r="U470">
        <v>35000</v>
      </c>
      <c r="V470" t="str">
        <f>"TOEIC 2A à l'ENSAI le 9/01/2023 - score 870"</f>
        <v>TOEIC 2A à l'ENSAI le 9/01/2023 - score 870</v>
      </c>
      <c r="W470">
        <v>46</v>
      </c>
      <c r="X470">
        <v>0</v>
      </c>
      <c r="Y470">
        <v>6000577</v>
      </c>
      <c r="Z470" t="str">
        <f>""</f>
        <v/>
      </c>
      <c r="AA470">
        <v>27</v>
      </c>
      <c r="AB470" t="str">
        <f>""</f>
        <v/>
      </c>
      <c r="AC470" t="str">
        <f>""</f>
        <v/>
      </c>
      <c r="AD470" t="str">
        <f>""</f>
        <v/>
      </c>
      <c r="AE470">
        <v>2019</v>
      </c>
      <c r="AF470">
        <v>2021</v>
      </c>
      <c r="AG470" t="str">
        <f>"Rennes"</f>
        <v>Rennes</v>
      </c>
      <c r="AH470" t="str">
        <f>"Rennes"</f>
        <v>Rennes</v>
      </c>
      <c r="AI470" t="str">
        <f>""</f>
        <v/>
      </c>
      <c r="AJ470" t="str">
        <f>""</f>
        <v/>
      </c>
      <c r="AK470" t="str">
        <f>""</f>
        <v/>
      </c>
      <c r="AL470">
        <v>22</v>
      </c>
      <c r="AM470" t="str">
        <f>""</f>
        <v/>
      </c>
      <c r="AN470" t="str">
        <f>""</f>
        <v/>
      </c>
      <c r="AO470" t="str">
        <f>"Lycée Stanislas Cannes"</f>
        <v>Lycée Stanislas Cannes</v>
      </c>
      <c r="AP470" t="str">
        <f>"CANNES"</f>
        <v>CANNES</v>
      </c>
      <c r="AQ470" t="str">
        <f>"Nice"</f>
        <v>Nice</v>
      </c>
    </row>
    <row r="471" spans="1:43" x14ac:dyDescent="0.25">
      <c r="A471" t="str">
        <f t="shared" si="90"/>
        <v>3A Ing sortant,T00000</v>
      </c>
      <c r="B471" t="str">
        <f>"FONKOU DAHVE"</f>
        <v>FONKOU DAHVE</v>
      </c>
      <c r="C471" t="str">
        <f>"Fiona Karlie"</f>
        <v>Fiona Karlie</v>
      </c>
      <c r="D471" t="str">
        <f>"022-2178"</f>
        <v>022-2178</v>
      </c>
      <c r="E471" t="str">
        <f>"213431115CC"</f>
        <v>213431115CC</v>
      </c>
      <c r="F471" t="str">
        <f t="shared" si="86"/>
        <v>0352480F</v>
      </c>
      <c r="G471" t="str">
        <f t="shared" si="87"/>
        <v>O</v>
      </c>
      <c r="H471">
        <v>10</v>
      </c>
      <c r="I471">
        <v>1997</v>
      </c>
      <c r="J471">
        <v>2</v>
      </c>
      <c r="K471">
        <v>31</v>
      </c>
      <c r="L471">
        <v>0</v>
      </c>
      <c r="M471">
        <v>2015</v>
      </c>
      <c r="N471" t="str">
        <f t="shared" si="88"/>
        <v>E</v>
      </c>
      <c r="O471">
        <v>2</v>
      </c>
      <c r="P471">
        <v>0</v>
      </c>
      <c r="Q471">
        <v>322</v>
      </c>
      <c r="R471">
        <v>100</v>
      </c>
      <c r="S471">
        <v>35200</v>
      </c>
      <c r="T471">
        <v>100</v>
      </c>
      <c r="U471">
        <v>35200</v>
      </c>
      <c r="V471" t="str">
        <f>"TOEIC 2A à l'ENSAI le 09/01/2023 - score 855"</f>
        <v>TOEIC 2A à l'ENSAI le 09/01/2023 - score 855</v>
      </c>
      <c r="W471">
        <v>76</v>
      </c>
      <c r="X471">
        <v>0</v>
      </c>
      <c r="Y471">
        <v>6000577</v>
      </c>
      <c r="Z471" t="str">
        <f>""</f>
        <v/>
      </c>
      <c r="AA471">
        <v>27</v>
      </c>
      <c r="AB471" t="str">
        <f>""</f>
        <v/>
      </c>
      <c r="AC471" t="str">
        <f>""</f>
        <v/>
      </c>
      <c r="AD471" t="str">
        <f>""</f>
        <v/>
      </c>
      <c r="AE471">
        <v>2015</v>
      </c>
      <c r="AF471">
        <v>2022</v>
      </c>
      <c r="AG471" t="str">
        <f>"Rennes"</f>
        <v>Rennes</v>
      </c>
      <c r="AH471" t="str">
        <f>"Rennes"</f>
        <v>Rennes</v>
      </c>
      <c r="AI471" t="str">
        <f>""</f>
        <v/>
      </c>
      <c r="AJ471" t="str">
        <f>""</f>
        <v/>
      </c>
      <c r="AK471" t="str">
        <f>""</f>
        <v/>
      </c>
      <c r="AL471">
        <v>82</v>
      </c>
      <c r="AM471" t="str">
        <f>""</f>
        <v/>
      </c>
      <c r="AN471" t="str">
        <f>""</f>
        <v/>
      </c>
      <c r="AO471" t="str">
        <f>"NESCAS College"</f>
        <v>NESCAS College</v>
      </c>
      <c r="AP471" t="str">
        <f>"YAOUNDÉ"</f>
        <v>YAOUNDÉ</v>
      </c>
      <c r="AQ471" t="str">
        <f>"Etranger"</f>
        <v>Etranger</v>
      </c>
    </row>
    <row r="472" spans="1:43" x14ac:dyDescent="0.25">
      <c r="A472" t="str">
        <f t="shared" si="90"/>
        <v>3A Ing sortant,T00000</v>
      </c>
      <c r="B472" t="str">
        <f>"FOURES"</f>
        <v>FOURES</v>
      </c>
      <c r="C472" t="str">
        <f>"Fabien"</f>
        <v>Fabien</v>
      </c>
      <c r="D472" t="str">
        <f>"021-2001"</f>
        <v>021-2001</v>
      </c>
      <c r="E472" t="str">
        <f>"050041646HC"</f>
        <v>050041646HC</v>
      </c>
      <c r="F472" t="str">
        <f t="shared" si="86"/>
        <v>0352480F</v>
      </c>
      <c r="G472" t="str">
        <f t="shared" si="87"/>
        <v>O</v>
      </c>
      <c r="H472">
        <v>10</v>
      </c>
      <c r="I472">
        <v>2000</v>
      </c>
      <c r="J472">
        <v>1</v>
      </c>
      <c r="K472" t="str">
        <f>"S"</f>
        <v>S</v>
      </c>
      <c r="L472">
        <v>25</v>
      </c>
      <c r="M472">
        <v>2018</v>
      </c>
      <c r="N472" t="str">
        <f t="shared" si="88"/>
        <v>E</v>
      </c>
      <c r="O472" t="str">
        <f>"D"</f>
        <v>D</v>
      </c>
      <c r="P472">
        <v>0</v>
      </c>
      <c r="Q472">
        <v>100</v>
      </c>
      <c r="R472">
        <v>100</v>
      </c>
      <c r="S472">
        <v>35170</v>
      </c>
      <c r="T472">
        <v>100</v>
      </c>
      <c r="U472">
        <v>35170</v>
      </c>
      <c r="V472" t="str">
        <f>"ENSAI 2A le 09/01/2023 - score 860"</f>
        <v>ENSAI 2A le 09/01/2023 - score 860</v>
      </c>
      <c r="W472">
        <v>33</v>
      </c>
      <c r="X472">
        <v>0</v>
      </c>
      <c r="Y472">
        <v>6000577</v>
      </c>
      <c r="Z472" t="str">
        <f>""</f>
        <v/>
      </c>
      <c r="AA472">
        <v>27</v>
      </c>
      <c r="AB472" t="str">
        <f>""</f>
        <v/>
      </c>
      <c r="AC472" t="str">
        <f>""</f>
        <v/>
      </c>
      <c r="AD472" t="str">
        <f>""</f>
        <v/>
      </c>
      <c r="AE472">
        <v>2018</v>
      </c>
      <c r="AF472">
        <v>2021</v>
      </c>
      <c r="AG472" t="str">
        <f>"Bruz"</f>
        <v>Bruz</v>
      </c>
      <c r="AH472" t="str">
        <f>"Bruz"</f>
        <v>Bruz</v>
      </c>
      <c r="AI472" t="str">
        <f>""</f>
        <v/>
      </c>
      <c r="AJ472" t="str">
        <f>""</f>
        <v/>
      </c>
      <c r="AK472" t="str">
        <f>""</f>
        <v/>
      </c>
      <c r="AL472">
        <v>38</v>
      </c>
      <c r="AM472" t="str">
        <f>""</f>
        <v/>
      </c>
      <c r="AN472" t="str">
        <f>""</f>
        <v/>
      </c>
      <c r="AO472" t="str">
        <f>"Lycée René Cassin"</f>
        <v>Lycée René Cassin</v>
      </c>
      <c r="AP472" t="str">
        <f>"ARPAJON"</f>
        <v>ARPAJON</v>
      </c>
      <c r="AQ472" t="str">
        <f>"Versailles"</f>
        <v>Versailles</v>
      </c>
    </row>
    <row r="473" spans="1:43" x14ac:dyDescent="0.25">
      <c r="A473" t="str">
        <f t="shared" si="90"/>
        <v>3A Ing sortant,T00000</v>
      </c>
      <c r="B473" t="str">
        <f>"FRAU"</f>
        <v>FRAU</v>
      </c>
      <c r="C473" t="str">
        <f>"Laurène"</f>
        <v>Laurène</v>
      </c>
      <c r="D473" t="str">
        <f>"021-1928"</f>
        <v>021-1928</v>
      </c>
      <c r="E473" t="str">
        <f>"081132872GC"</f>
        <v>081132872GC</v>
      </c>
      <c r="F473" t="str">
        <f t="shared" si="86"/>
        <v>0352480F</v>
      </c>
      <c r="G473" t="str">
        <f t="shared" si="87"/>
        <v>O</v>
      </c>
      <c r="H473">
        <v>10</v>
      </c>
      <c r="I473">
        <v>2000</v>
      </c>
      <c r="J473">
        <v>2</v>
      </c>
      <c r="K473" t="str">
        <f>"ES"</f>
        <v>ES</v>
      </c>
      <c r="L473">
        <v>8</v>
      </c>
      <c r="M473">
        <v>2018</v>
      </c>
      <c r="N473" t="str">
        <f t="shared" si="88"/>
        <v>E</v>
      </c>
      <c r="O473" t="str">
        <f>"N"</f>
        <v>N</v>
      </c>
      <c r="P473">
        <v>0</v>
      </c>
      <c r="Q473">
        <v>100</v>
      </c>
      <c r="R473">
        <v>100</v>
      </c>
      <c r="S473">
        <v>35000</v>
      </c>
      <c r="T473">
        <v>100</v>
      </c>
      <c r="U473">
        <v>35000</v>
      </c>
      <c r="V473" t="str">
        <f>""</f>
        <v/>
      </c>
      <c r="W473">
        <v>31</v>
      </c>
      <c r="X473">
        <v>0</v>
      </c>
      <c r="Y473">
        <v>6000577</v>
      </c>
      <c r="Z473" t="str">
        <f>""</f>
        <v/>
      </c>
      <c r="AA473">
        <v>27</v>
      </c>
      <c r="AB473" t="str">
        <f>""</f>
        <v/>
      </c>
      <c r="AC473" t="str">
        <f>""</f>
        <v/>
      </c>
      <c r="AD473" t="str">
        <f>""</f>
        <v/>
      </c>
      <c r="AE473">
        <v>2018</v>
      </c>
      <c r="AF473">
        <v>2021</v>
      </c>
      <c r="AG473" t="str">
        <f>"Rennes"</f>
        <v>Rennes</v>
      </c>
      <c r="AH473" t="str">
        <f>"Rennes"</f>
        <v>Rennes</v>
      </c>
      <c r="AI473" t="str">
        <f>""</f>
        <v/>
      </c>
      <c r="AJ473" t="str">
        <f>""</f>
        <v/>
      </c>
      <c r="AK473" t="str">
        <f>""</f>
        <v/>
      </c>
      <c r="AL473">
        <v>48</v>
      </c>
      <c r="AM473" t="str">
        <f>""</f>
        <v/>
      </c>
      <c r="AN473" t="str">
        <f>""</f>
        <v/>
      </c>
      <c r="AO473" t="str">
        <f>"Les Eaux Claires"</f>
        <v>Les Eaux Claires</v>
      </c>
      <c r="AP473" t="str">
        <f>"GRENOBLE"</f>
        <v>GRENOBLE</v>
      </c>
      <c r="AQ473" t="str">
        <f>"Grenoble"</f>
        <v>Grenoble</v>
      </c>
    </row>
    <row r="474" spans="1:43" x14ac:dyDescent="0.25">
      <c r="A474" t="str">
        <f t="shared" si="90"/>
        <v>3A Ing sortant,T00000</v>
      </c>
      <c r="B474" t="str">
        <f>"GANIYU"</f>
        <v>GANIYU</v>
      </c>
      <c r="C474" t="str">
        <f>"Isaac"</f>
        <v>Isaac</v>
      </c>
      <c r="D474" t="str">
        <f>"022-2170"</f>
        <v>022-2170</v>
      </c>
      <c r="E474" t="str">
        <f>"213342479KH"</f>
        <v>213342479KH</v>
      </c>
      <c r="F474" t="str">
        <f t="shared" si="86"/>
        <v>0352480F</v>
      </c>
      <c r="G474" t="str">
        <f t="shared" si="87"/>
        <v>O</v>
      </c>
      <c r="H474">
        <v>10</v>
      </c>
      <c r="I474">
        <v>2001</v>
      </c>
      <c r="J474">
        <v>1</v>
      </c>
      <c r="K474" t="str">
        <f>"S"</f>
        <v>S</v>
      </c>
      <c r="L474">
        <v>0</v>
      </c>
      <c r="M474">
        <v>2018</v>
      </c>
      <c r="N474" t="str">
        <f t="shared" si="88"/>
        <v>E</v>
      </c>
      <c r="O474">
        <v>2</v>
      </c>
      <c r="P474">
        <v>0</v>
      </c>
      <c r="Q474">
        <v>326</v>
      </c>
      <c r="R474">
        <v>100</v>
      </c>
      <c r="S474">
        <v>35170</v>
      </c>
      <c r="T474">
        <v>100</v>
      </c>
      <c r="U474">
        <v>35170</v>
      </c>
      <c r="V474" t="str">
        <f>"TOEIC 2A à l'ENSAI le 09/01/2023 - score 890"</f>
        <v>TOEIC 2A à l'ENSAI le 09/01/2023 - score 890</v>
      </c>
      <c r="W474">
        <v>42</v>
      </c>
      <c r="X474">
        <v>0</v>
      </c>
      <c r="Y474">
        <v>6000577</v>
      </c>
      <c r="Z474" t="str">
        <f>""</f>
        <v/>
      </c>
      <c r="AA474">
        <v>27</v>
      </c>
      <c r="AB474" t="str">
        <f>""</f>
        <v/>
      </c>
      <c r="AC474" t="str">
        <f>""</f>
        <v/>
      </c>
      <c r="AD474" t="str">
        <f>""</f>
        <v/>
      </c>
      <c r="AE474">
        <v>2022</v>
      </c>
      <c r="AF474">
        <v>2022</v>
      </c>
      <c r="AG474" t="str">
        <f>"BRUZ"</f>
        <v>BRUZ</v>
      </c>
      <c r="AH474" t="str">
        <f>"BRUZ"</f>
        <v>BRUZ</v>
      </c>
      <c r="AI474" t="str">
        <f>""</f>
        <v/>
      </c>
      <c r="AJ474" t="str">
        <f>""</f>
        <v/>
      </c>
      <c r="AK474" t="str">
        <f>""</f>
        <v/>
      </c>
      <c r="AL474">
        <v>22</v>
      </c>
      <c r="AM474" t="str">
        <f>""</f>
        <v/>
      </c>
      <c r="AN474" t="str">
        <f>""</f>
        <v/>
      </c>
      <c r="AO474" t="str">
        <f>"LYCEE CLASSIQUE D'ABIDJAN"</f>
        <v>LYCEE CLASSIQUE D'ABIDJAN</v>
      </c>
      <c r="AP474" t="str">
        <f>"ABIDJAN"</f>
        <v>ABIDJAN</v>
      </c>
      <c r="AQ474" t="str">
        <f>"Etranger"</f>
        <v>Etranger</v>
      </c>
    </row>
    <row r="475" spans="1:43" x14ac:dyDescent="0.25">
      <c r="A475" t="str">
        <f t="shared" si="90"/>
        <v>3A Ing sortant,T00000</v>
      </c>
      <c r="B475" t="str">
        <f>"GORSE"</f>
        <v>GORSE</v>
      </c>
      <c r="C475" t="str">
        <f>"Nathan"</f>
        <v>Nathan</v>
      </c>
      <c r="D475" t="str">
        <f>"021-2021"</f>
        <v>021-2021</v>
      </c>
      <c r="E475" t="str">
        <f>"050280357HJ"</f>
        <v>050280357HJ</v>
      </c>
      <c r="F475" t="str">
        <f t="shared" si="86"/>
        <v>0352480F</v>
      </c>
      <c r="G475" t="str">
        <f t="shared" si="87"/>
        <v>O</v>
      </c>
      <c r="H475">
        <v>10</v>
      </c>
      <c r="I475">
        <v>2001</v>
      </c>
      <c r="J475">
        <v>1</v>
      </c>
      <c r="K475" t="str">
        <f>"ES"</f>
        <v>ES</v>
      </c>
      <c r="L475">
        <v>6</v>
      </c>
      <c r="M475">
        <v>2019</v>
      </c>
      <c r="N475" t="str">
        <f t="shared" si="88"/>
        <v>E</v>
      </c>
      <c r="O475" t="str">
        <f>"A"</f>
        <v>A</v>
      </c>
      <c r="P475">
        <v>0</v>
      </c>
      <c r="Q475">
        <v>100</v>
      </c>
      <c r="R475">
        <v>100</v>
      </c>
      <c r="S475">
        <v>35136</v>
      </c>
      <c r="T475">
        <v>100</v>
      </c>
      <c r="U475">
        <v>35136</v>
      </c>
      <c r="V475" t="str">
        <f>"TOEIC à l'ENSAI le 19/05/2022: score 960"</f>
        <v>TOEIC à l'ENSAI le 19/05/2022: score 960</v>
      </c>
      <c r="W475">
        <v>38</v>
      </c>
      <c r="X475">
        <v>0</v>
      </c>
      <c r="Y475">
        <v>6000577</v>
      </c>
      <c r="Z475" t="str">
        <f>""</f>
        <v/>
      </c>
      <c r="AA475">
        <v>27</v>
      </c>
      <c r="AB475" t="str">
        <f>""</f>
        <v/>
      </c>
      <c r="AC475" t="str">
        <f>""</f>
        <v/>
      </c>
      <c r="AD475" t="str">
        <f>""</f>
        <v/>
      </c>
      <c r="AE475">
        <v>2019</v>
      </c>
      <c r="AF475">
        <v>2021</v>
      </c>
      <c r="AG475" t="str">
        <f>""</f>
        <v/>
      </c>
      <c r="AH475" t="str">
        <f>""</f>
        <v/>
      </c>
      <c r="AI475" t="str">
        <f>""</f>
        <v/>
      </c>
      <c r="AJ475" t="str">
        <f>""</f>
        <v/>
      </c>
      <c r="AK475" t="str">
        <f>""</f>
        <v/>
      </c>
      <c r="AL475">
        <v>43</v>
      </c>
      <c r="AM475" t="str">
        <f>""</f>
        <v/>
      </c>
      <c r="AN475" t="str">
        <f>""</f>
        <v/>
      </c>
      <c r="AO475" t="str">
        <f>"Lycée René Descartes"</f>
        <v>Lycée René Descartes</v>
      </c>
      <c r="AP475" t="str">
        <f>"COURNON D'AUVERGNE"</f>
        <v>COURNON D'AUVERGNE</v>
      </c>
      <c r="AQ475" t="str">
        <f>"Clermont-Ferrand"</f>
        <v>Clermont-Ferrand</v>
      </c>
    </row>
    <row r="476" spans="1:43" x14ac:dyDescent="0.25">
      <c r="A476" t="str">
        <f t="shared" si="90"/>
        <v>3A Ing sortant,T00000</v>
      </c>
      <c r="B476" t="str">
        <f>"GOUSSET"</f>
        <v>GOUSSET</v>
      </c>
      <c r="C476" t="str">
        <f>"Léonard"</f>
        <v>Léonard</v>
      </c>
      <c r="D476" t="str">
        <f>"021-2081"</f>
        <v>021-2081</v>
      </c>
      <c r="E476" t="str">
        <f>"081726392JF"</f>
        <v>081726392JF</v>
      </c>
      <c r="F476" t="str">
        <f t="shared" si="86"/>
        <v>0352480F</v>
      </c>
      <c r="G476" t="str">
        <f t="shared" si="87"/>
        <v>O</v>
      </c>
      <c r="H476">
        <v>10</v>
      </c>
      <c r="I476">
        <v>2001</v>
      </c>
      <c r="J476">
        <v>1</v>
      </c>
      <c r="K476" t="str">
        <f>"S"</f>
        <v>S</v>
      </c>
      <c r="L476">
        <v>19</v>
      </c>
      <c r="M476">
        <v>2019</v>
      </c>
      <c r="N476" t="str">
        <f t="shared" si="88"/>
        <v>E</v>
      </c>
      <c r="O476" t="str">
        <f>"C"</f>
        <v>C</v>
      </c>
      <c r="P476">
        <v>0</v>
      </c>
      <c r="Q476">
        <v>100</v>
      </c>
      <c r="R476">
        <v>100</v>
      </c>
      <c r="S476">
        <v>35200</v>
      </c>
      <c r="T476">
        <v>100</v>
      </c>
      <c r="U476">
        <v>35200</v>
      </c>
      <c r="V476" t="str">
        <f>"TOEIC à l'ENSAI le 19/05/2022: score 830"</f>
        <v>TOEIC à l'ENSAI le 19/05/2022: score 830</v>
      </c>
      <c r="W476">
        <v>34</v>
      </c>
      <c r="X476">
        <v>0</v>
      </c>
      <c r="Y476">
        <v>6000577</v>
      </c>
      <c r="Z476" t="str">
        <f>""</f>
        <v/>
      </c>
      <c r="AA476">
        <v>27</v>
      </c>
      <c r="AB476" t="str">
        <f>""</f>
        <v/>
      </c>
      <c r="AC476" t="str">
        <f>""</f>
        <v/>
      </c>
      <c r="AD476" t="str">
        <f>""</f>
        <v/>
      </c>
      <c r="AE476">
        <v>2019</v>
      </c>
      <c r="AF476">
        <v>2021</v>
      </c>
      <c r="AG476" t="str">
        <f>"Rennes"</f>
        <v>Rennes</v>
      </c>
      <c r="AH476" t="str">
        <f>"Rennes"</f>
        <v>Rennes</v>
      </c>
      <c r="AI476" t="str">
        <f>""</f>
        <v/>
      </c>
      <c r="AJ476" t="str">
        <f>""</f>
        <v/>
      </c>
      <c r="AK476" t="str">
        <f>""</f>
        <v/>
      </c>
      <c r="AL476">
        <v>34</v>
      </c>
      <c r="AM476" t="str">
        <f>""</f>
        <v/>
      </c>
      <c r="AN476" t="str">
        <f>""</f>
        <v/>
      </c>
      <c r="AO476" t="str">
        <f>"Lycée privé Saint François de Sales"</f>
        <v>Lycée privé Saint François de Sales</v>
      </c>
      <c r="AP476" t="str">
        <f>"TROYES"</f>
        <v>TROYES</v>
      </c>
      <c r="AQ476" t="str">
        <f>"Reims"</f>
        <v>Reims</v>
      </c>
    </row>
    <row r="477" spans="1:43" x14ac:dyDescent="0.25">
      <c r="A477" t="str">
        <f t="shared" si="90"/>
        <v>3A Ing sortant,T00000</v>
      </c>
      <c r="B477" t="str">
        <f>"GOV"</f>
        <v>GOV</v>
      </c>
      <c r="C477" t="str">
        <f>"Laurent"</f>
        <v>Laurent</v>
      </c>
      <c r="D477" t="str">
        <f>"021-2000"</f>
        <v>021-2000</v>
      </c>
      <c r="E477" t="str">
        <f>"071193027CG"</f>
        <v>071193027CG</v>
      </c>
      <c r="F477" t="str">
        <f t="shared" si="86"/>
        <v>0352480F</v>
      </c>
      <c r="G477" t="str">
        <f t="shared" si="87"/>
        <v>O</v>
      </c>
      <c r="H477">
        <v>10</v>
      </c>
      <c r="I477">
        <v>2000</v>
      </c>
      <c r="J477">
        <v>1</v>
      </c>
      <c r="K477" t="str">
        <f>"S"</f>
        <v>S</v>
      </c>
      <c r="L477">
        <v>1</v>
      </c>
      <c r="M477">
        <v>2018</v>
      </c>
      <c r="N477" t="str">
        <f t="shared" si="88"/>
        <v>E</v>
      </c>
      <c r="O477" t="str">
        <f>"A"</f>
        <v>A</v>
      </c>
      <c r="P477">
        <v>0</v>
      </c>
      <c r="Q477">
        <v>100</v>
      </c>
      <c r="R477">
        <v>100</v>
      </c>
      <c r="S477">
        <v>35170</v>
      </c>
      <c r="T477">
        <v>100</v>
      </c>
      <c r="U477">
        <v>35170</v>
      </c>
      <c r="V477" t="str">
        <f>"TOEIC à l'ENSAI le 19/05/2022: score 960"</f>
        <v>TOEIC à l'ENSAI le 19/05/2022: score 960</v>
      </c>
      <c r="W477">
        <v>22</v>
      </c>
      <c r="X477">
        <v>0</v>
      </c>
      <c r="Y477">
        <v>6000577</v>
      </c>
      <c r="Z477" t="str">
        <f>""</f>
        <v/>
      </c>
      <c r="AA477">
        <v>27</v>
      </c>
      <c r="AB477" t="str">
        <f>""</f>
        <v/>
      </c>
      <c r="AC477" t="str">
        <f>""</f>
        <v/>
      </c>
      <c r="AD477" t="str">
        <f>""</f>
        <v/>
      </c>
      <c r="AE477">
        <v>2018</v>
      </c>
      <c r="AF477">
        <v>2021</v>
      </c>
      <c r="AG477" t="str">
        <f>"Bruz"</f>
        <v>Bruz</v>
      </c>
      <c r="AH477" t="str">
        <f>"Bruz"</f>
        <v>Bruz</v>
      </c>
      <c r="AI477" t="str">
        <f>""</f>
        <v/>
      </c>
      <c r="AJ477" t="str">
        <f>""</f>
        <v/>
      </c>
      <c r="AK477" t="str">
        <f>""</f>
        <v/>
      </c>
      <c r="AL477">
        <v>22</v>
      </c>
      <c r="AM477" t="str">
        <f>""</f>
        <v/>
      </c>
      <c r="AN477" t="str">
        <f>""</f>
        <v/>
      </c>
      <c r="AO477" t="str">
        <f>"Lycée Bossuet Notre-Dame"</f>
        <v>Lycée Bossuet Notre-Dame</v>
      </c>
      <c r="AP477" t="str">
        <f>"PARIS"</f>
        <v>PARIS</v>
      </c>
      <c r="AQ477" t="str">
        <f>"Paris"</f>
        <v>Paris</v>
      </c>
    </row>
    <row r="478" spans="1:43" x14ac:dyDescent="0.25">
      <c r="A478" t="str">
        <f t="shared" si="90"/>
        <v>3A Ing sortant,T00000</v>
      </c>
      <c r="B478" t="str">
        <f>"GRANDVAUX"</f>
        <v>GRANDVAUX</v>
      </c>
      <c r="C478" t="str">
        <f>"Cédric"</f>
        <v>Cédric</v>
      </c>
      <c r="D478" t="str">
        <f>"021-1990"</f>
        <v>021-1990</v>
      </c>
      <c r="E478" t="str">
        <f>"071939083KE"</f>
        <v>071939083KE</v>
      </c>
      <c r="F478" t="str">
        <f t="shared" si="86"/>
        <v>0352480F</v>
      </c>
      <c r="G478" t="str">
        <f t="shared" si="87"/>
        <v>O</v>
      </c>
      <c r="H478">
        <v>10</v>
      </c>
      <c r="I478">
        <v>2000</v>
      </c>
      <c r="J478">
        <v>1</v>
      </c>
      <c r="K478" t="str">
        <f>"S"</f>
        <v>S</v>
      </c>
      <c r="L478">
        <v>3</v>
      </c>
      <c r="M478">
        <v>2018</v>
      </c>
      <c r="N478" t="str">
        <f t="shared" si="88"/>
        <v>E</v>
      </c>
      <c r="O478" t="str">
        <f>"D"</f>
        <v>D</v>
      </c>
      <c r="P478">
        <v>0</v>
      </c>
      <c r="Q478">
        <v>100</v>
      </c>
      <c r="R478">
        <v>100</v>
      </c>
      <c r="S478">
        <v>35170</v>
      </c>
      <c r="T478">
        <v>100</v>
      </c>
      <c r="U478">
        <v>35170</v>
      </c>
      <c r="V478" t="str">
        <f>"Linguaskill à l'ENSAI le 31/05/2022 - score 174 = B2  TOEIC à l'ENSAI le 19/05/2022: score 910"</f>
        <v>Linguaskill à l'ENSAI le 31/05/2022 - score 174 = B2  TOEIC à l'ENSAI le 19/05/2022: score 910</v>
      </c>
      <c r="W478">
        <v>45</v>
      </c>
      <c r="X478">
        <v>0</v>
      </c>
      <c r="Y478">
        <v>6000577</v>
      </c>
      <c r="Z478" t="str">
        <f>""</f>
        <v/>
      </c>
      <c r="AA478">
        <v>27</v>
      </c>
      <c r="AB478" t="str">
        <f>""</f>
        <v/>
      </c>
      <c r="AC478" t="str">
        <f>""</f>
        <v/>
      </c>
      <c r="AD478" t="str">
        <f>""</f>
        <v/>
      </c>
      <c r="AE478">
        <v>2018</v>
      </c>
      <c r="AF478">
        <v>2021</v>
      </c>
      <c r="AG478" t="str">
        <f>"Bruz"</f>
        <v>Bruz</v>
      </c>
      <c r="AH478" t="str">
        <f>"Bruz"</f>
        <v>Bruz</v>
      </c>
      <c r="AI478" t="str">
        <f>""</f>
        <v/>
      </c>
      <c r="AJ478" t="str">
        <f>""</f>
        <v/>
      </c>
      <c r="AK478" t="str">
        <f>""</f>
        <v/>
      </c>
      <c r="AL478">
        <v>43</v>
      </c>
      <c r="AM478" t="str">
        <f>""</f>
        <v/>
      </c>
      <c r="AN478" t="str">
        <f>""</f>
        <v/>
      </c>
      <c r="AO478" t="str">
        <f>"Lycée Jean Michel"</f>
        <v>Lycée Jean Michel</v>
      </c>
      <c r="AP478" t="str">
        <f>"LONS-LE-SAUNIER"</f>
        <v>LONS-LE-SAUNIER</v>
      </c>
      <c r="AQ478" t="str">
        <f>"Besançon"</f>
        <v>Besançon</v>
      </c>
    </row>
    <row r="479" spans="1:43" x14ac:dyDescent="0.25">
      <c r="A479" t="str">
        <f t="shared" si="90"/>
        <v>3A Ing sortant,T00000</v>
      </c>
      <c r="B479" t="str">
        <f>"GUEMKEM FOKOU"</f>
        <v>GUEMKEM FOKOU</v>
      </c>
      <c r="C479" t="str">
        <f>"Carine"</f>
        <v>Carine</v>
      </c>
      <c r="D479" t="str">
        <f>"022-2179"</f>
        <v>022-2179</v>
      </c>
      <c r="E479" t="str">
        <f>"213446067AJ"</f>
        <v>213446067AJ</v>
      </c>
      <c r="F479" t="str">
        <f t="shared" si="86"/>
        <v>0352480F</v>
      </c>
      <c r="G479" t="str">
        <f t="shared" si="87"/>
        <v>O</v>
      </c>
      <c r="H479">
        <v>10</v>
      </c>
      <c r="I479">
        <v>2000</v>
      </c>
      <c r="J479">
        <v>2</v>
      </c>
      <c r="K479">
        <v>31</v>
      </c>
      <c r="L479">
        <v>0</v>
      </c>
      <c r="M479">
        <v>2016</v>
      </c>
      <c r="N479" t="str">
        <f t="shared" si="88"/>
        <v>E</v>
      </c>
      <c r="O479">
        <v>2</v>
      </c>
      <c r="P479">
        <v>0</v>
      </c>
      <c r="Q479">
        <v>322</v>
      </c>
      <c r="R479">
        <v>100</v>
      </c>
      <c r="S479">
        <v>35170</v>
      </c>
      <c r="T479">
        <v>100</v>
      </c>
      <c r="U479">
        <v>35170</v>
      </c>
      <c r="V479" t="str">
        <f>""</f>
        <v/>
      </c>
      <c r="W479">
        <v>34</v>
      </c>
      <c r="X479">
        <v>0</v>
      </c>
      <c r="Y479">
        <v>6000577</v>
      </c>
      <c r="Z479" t="str">
        <f>""</f>
        <v/>
      </c>
      <c r="AA479">
        <v>27</v>
      </c>
      <c r="AB479" t="str">
        <f>""</f>
        <v/>
      </c>
      <c r="AC479" t="str">
        <f>""</f>
        <v/>
      </c>
      <c r="AD479" t="str">
        <f>""</f>
        <v/>
      </c>
      <c r="AE479">
        <v>2016</v>
      </c>
      <c r="AF479">
        <v>2022</v>
      </c>
      <c r="AG479" t="str">
        <f>"BRUZ"</f>
        <v>BRUZ</v>
      </c>
      <c r="AH479" t="str">
        <f>"BRUZ"</f>
        <v>BRUZ</v>
      </c>
      <c r="AI479" t="str">
        <f>""</f>
        <v/>
      </c>
      <c r="AJ479" t="str">
        <f>""</f>
        <v/>
      </c>
      <c r="AK479" t="str">
        <f>""</f>
        <v/>
      </c>
      <c r="AL479">
        <v>42</v>
      </c>
      <c r="AM479" t="str">
        <f>""</f>
        <v/>
      </c>
      <c r="AN479" t="str">
        <f>""</f>
        <v/>
      </c>
      <c r="AO479" t="str">
        <f>"Lycée de Melong Centre"</f>
        <v>Lycée de Melong Centre</v>
      </c>
      <c r="AP479" t="str">
        <f>"MELONG"</f>
        <v>MELONG</v>
      </c>
      <c r="AQ479" t="str">
        <f>"Etranger"</f>
        <v>Etranger</v>
      </c>
    </row>
    <row r="480" spans="1:43" x14ac:dyDescent="0.25">
      <c r="A480" t="str">
        <f t="shared" si="90"/>
        <v>3A Ing sortant,T00000</v>
      </c>
      <c r="B480" t="str">
        <f>"GUERINEAU"</f>
        <v>GUERINEAU</v>
      </c>
      <c r="C480" t="str">
        <f>"Apolline"</f>
        <v>Apolline</v>
      </c>
      <c r="D480" t="str">
        <f>"021-1980"</f>
        <v>021-1980</v>
      </c>
      <c r="E480" t="str">
        <f>"081630692EG"</f>
        <v>081630692EG</v>
      </c>
      <c r="F480" t="str">
        <f t="shared" si="86"/>
        <v>0352480F</v>
      </c>
      <c r="G480" t="str">
        <f t="shared" si="87"/>
        <v>O</v>
      </c>
      <c r="H480">
        <v>10</v>
      </c>
      <c r="I480">
        <v>2001</v>
      </c>
      <c r="J480">
        <v>2</v>
      </c>
      <c r="K480" t="str">
        <f>"S"</f>
        <v>S</v>
      </c>
      <c r="L480">
        <v>4</v>
      </c>
      <c r="M480">
        <v>2019</v>
      </c>
      <c r="N480" t="str">
        <f t="shared" si="88"/>
        <v>E</v>
      </c>
      <c r="O480" t="str">
        <f>"A"</f>
        <v>A</v>
      </c>
      <c r="P480">
        <v>0</v>
      </c>
      <c r="Q480">
        <v>100</v>
      </c>
      <c r="R480">
        <v>100</v>
      </c>
      <c r="S480">
        <v>35170</v>
      </c>
      <c r="T480">
        <v>100</v>
      </c>
      <c r="U480">
        <v>35170</v>
      </c>
      <c r="V480" t="str">
        <f>""</f>
        <v/>
      </c>
      <c r="W480">
        <v>22</v>
      </c>
      <c r="X480">
        <v>0</v>
      </c>
      <c r="Y480">
        <v>6000577</v>
      </c>
      <c r="Z480" t="str">
        <f>""</f>
        <v/>
      </c>
      <c r="AA480">
        <v>27</v>
      </c>
      <c r="AB480" t="str">
        <f>""</f>
        <v/>
      </c>
      <c r="AC480" t="str">
        <f>""</f>
        <v/>
      </c>
      <c r="AD480" t="str">
        <f>""</f>
        <v/>
      </c>
      <c r="AE480">
        <v>2019</v>
      </c>
      <c r="AF480">
        <v>2021</v>
      </c>
      <c r="AG480" t="str">
        <f>"Bruz"</f>
        <v>Bruz</v>
      </c>
      <c r="AH480" t="str">
        <f>"Bruz"</f>
        <v>Bruz</v>
      </c>
      <c r="AI480" t="str">
        <f>""</f>
        <v/>
      </c>
      <c r="AJ480" t="str">
        <f>""</f>
        <v/>
      </c>
      <c r="AK480" t="str">
        <f>""</f>
        <v/>
      </c>
      <c r="AL480">
        <v>22</v>
      </c>
      <c r="AM480" t="str">
        <f>""</f>
        <v/>
      </c>
      <c r="AN480" t="str">
        <f>""</f>
        <v/>
      </c>
      <c r="AO480" t="str">
        <f>"Lycée Montesquieu"</f>
        <v>Lycée Montesquieu</v>
      </c>
      <c r="AP480" t="str">
        <f>"BORDEAUX"</f>
        <v>BORDEAUX</v>
      </c>
      <c r="AQ480" t="str">
        <f>"Bordeaux"</f>
        <v>Bordeaux</v>
      </c>
    </row>
    <row r="481" spans="1:43" x14ac:dyDescent="0.25">
      <c r="A481" t="str">
        <f t="shared" si="90"/>
        <v>3A Ing sortant,T00000</v>
      </c>
      <c r="B481" t="str">
        <f>"HAMMOUDA"</f>
        <v>HAMMOUDA</v>
      </c>
      <c r="C481" t="str">
        <f>"Wajih"</f>
        <v>Wajih</v>
      </c>
      <c r="D481" t="str">
        <f>"022-2183"</f>
        <v>022-2183</v>
      </c>
      <c r="E481" t="str">
        <f>"213408743JE"</f>
        <v>213408743JE</v>
      </c>
      <c r="F481" t="str">
        <f t="shared" si="86"/>
        <v>0352480F</v>
      </c>
      <c r="G481" t="str">
        <f t="shared" si="87"/>
        <v>O</v>
      </c>
      <c r="H481">
        <v>10</v>
      </c>
      <c r="I481">
        <v>1999</v>
      </c>
      <c r="J481">
        <v>1</v>
      </c>
      <c r="K481">
        <v>31</v>
      </c>
      <c r="L481">
        <v>0</v>
      </c>
      <c r="M481">
        <v>2018</v>
      </c>
      <c r="N481" t="str">
        <f t="shared" si="88"/>
        <v>E</v>
      </c>
      <c r="O481">
        <v>1</v>
      </c>
      <c r="P481">
        <v>0</v>
      </c>
      <c r="Q481">
        <v>351</v>
      </c>
      <c r="R481">
        <v>100</v>
      </c>
      <c r="S481">
        <v>35170</v>
      </c>
      <c r="T481">
        <v>100</v>
      </c>
      <c r="U481">
        <v>35170</v>
      </c>
      <c r="V481" t="s">
        <v>0</v>
      </c>
      <c r="W481">
        <v>73</v>
      </c>
      <c r="X481">
        <v>0</v>
      </c>
      <c r="Y481">
        <v>6000577</v>
      </c>
      <c r="Z481" t="str">
        <f>""</f>
        <v/>
      </c>
      <c r="AA481">
        <v>27</v>
      </c>
      <c r="AB481" t="str">
        <f>""</f>
        <v/>
      </c>
      <c r="AC481" t="str">
        <f>""</f>
        <v/>
      </c>
      <c r="AD481" t="str">
        <f>""</f>
        <v/>
      </c>
      <c r="AE481">
        <v>2022</v>
      </c>
      <c r="AF481">
        <v>2022</v>
      </c>
      <c r="AG481" t="str">
        <f>"Bruz"</f>
        <v>Bruz</v>
      </c>
      <c r="AH481" t="str">
        <f>"Bruz"</f>
        <v>Bruz</v>
      </c>
      <c r="AI481" t="str">
        <f>""</f>
        <v/>
      </c>
      <c r="AJ481" t="str">
        <f>""</f>
        <v/>
      </c>
      <c r="AK481" t="str">
        <f>""</f>
        <v/>
      </c>
      <c r="AL481">
        <v>73</v>
      </c>
      <c r="AM481" t="str">
        <f>""</f>
        <v/>
      </c>
      <c r="AN481" t="str">
        <f>""</f>
        <v/>
      </c>
      <c r="AO481" t="str">
        <f>"Lycée Pilote De Gabes"</f>
        <v>Lycée Pilote De Gabes</v>
      </c>
      <c r="AP481" t="str">
        <f>"GABES, TUNISIE"</f>
        <v>GABES, TUNISIE</v>
      </c>
      <c r="AQ481" t="str">
        <f>"Etranger"</f>
        <v>Etranger</v>
      </c>
    </row>
    <row r="482" spans="1:43" x14ac:dyDescent="0.25">
      <c r="A482" t="str">
        <f t="shared" si="90"/>
        <v>3A Ing sortant,T00000</v>
      </c>
      <c r="B482" t="str">
        <f>"HENRIO"</f>
        <v>HENRIO</v>
      </c>
      <c r="C482" t="str">
        <f>"Lucas"</f>
        <v>Lucas</v>
      </c>
      <c r="D482" t="str">
        <f>"021-2083"</f>
        <v>021-2083</v>
      </c>
      <c r="E482" t="str">
        <f>"072039839CE"</f>
        <v>072039839CE</v>
      </c>
      <c r="F482" t="str">
        <f t="shared" si="86"/>
        <v>0352480F</v>
      </c>
      <c r="G482" t="str">
        <f t="shared" si="87"/>
        <v>O</v>
      </c>
      <c r="H482">
        <v>10</v>
      </c>
      <c r="I482">
        <v>2000</v>
      </c>
      <c r="J482">
        <v>1</v>
      </c>
      <c r="K482" t="str">
        <f>"S"</f>
        <v>S</v>
      </c>
      <c r="L482">
        <v>14</v>
      </c>
      <c r="M482">
        <v>2018</v>
      </c>
      <c r="N482" t="str">
        <f t="shared" si="88"/>
        <v>E</v>
      </c>
      <c r="O482" t="str">
        <f>"N"</f>
        <v>N</v>
      </c>
      <c r="P482">
        <v>0</v>
      </c>
      <c r="Q482">
        <v>100</v>
      </c>
      <c r="R482">
        <v>100</v>
      </c>
      <c r="S482">
        <v>35170</v>
      </c>
      <c r="T482">
        <v>100</v>
      </c>
      <c r="U482">
        <v>35170</v>
      </c>
      <c r="V482" t="str">
        <f>"TOEIC à l'ENSAI le 19/05/2022: score 880"</f>
        <v>TOEIC à l'ENSAI le 19/05/2022: score 880</v>
      </c>
      <c r="W482">
        <v>47</v>
      </c>
      <c r="X482">
        <v>0</v>
      </c>
      <c r="Y482">
        <v>6000577</v>
      </c>
      <c r="Z482" t="str">
        <f>""</f>
        <v/>
      </c>
      <c r="AA482">
        <v>27</v>
      </c>
      <c r="AB482" t="str">
        <f>""</f>
        <v/>
      </c>
      <c r="AC482" t="str">
        <f>""</f>
        <v/>
      </c>
      <c r="AD482" t="str">
        <f>""</f>
        <v/>
      </c>
      <c r="AE482">
        <v>2018</v>
      </c>
      <c r="AF482">
        <v>2021</v>
      </c>
      <c r="AG482" t="str">
        <f>"BRUZ"</f>
        <v>BRUZ</v>
      </c>
      <c r="AH482" t="str">
        <f>"BRUZ"</f>
        <v>BRUZ</v>
      </c>
      <c r="AI482" t="str">
        <f>""</f>
        <v/>
      </c>
      <c r="AJ482" t="str">
        <f>""</f>
        <v/>
      </c>
      <c r="AK482" t="str">
        <f>""</f>
        <v/>
      </c>
      <c r="AL482">
        <v>43</v>
      </c>
      <c r="AM482" t="str">
        <f>""</f>
        <v/>
      </c>
      <c r="AN482" t="str">
        <f>""</f>
        <v/>
      </c>
      <c r="AO482" t="str">
        <f>"Lycée Dupuy de Lôme"</f>
        <v>Lycée Dupuy de Lôme</v>
      </c>
      <c r="AP482" t="str">
        <f>"LORIENT"</f>
        <v>LORIENT</v>
      </c>
      <c r="AQ482" t="str">
        <f>"Rennes"</f>
        <v>Rennes</v>
      </c>
    </row>
    <row r="483" spans="1:43" x14ac:dyDescent="0.25">
      <c r="A483" t="str">
        <f t="shared" si="90"/>
        <v>3A Ing sortant,T00000</v>
      </c>
      <c r="B483" t="str">
        <f>"HEURTIN"</f>
        <v>HEURTIN</v>
      </c>
      <c r="C483" t="str">
        <f>"Julien"</f>
        <v>Julien</v>
      </c>
      <c r="D483" t="str">
        <f>"021-1941"</f>
        <v>021-1941</v>
      </c>
      <c r="E483" t="str">
        <f>"070505051HJ"</f>
        <v>070505051HJ</v>
      </c>
      <c r="F483" t="str">
        <f t="shared" si="86"/>
        <v>0352480F</v>
      </c>
      <c r="G483" t="str">
        <f t="shared" si="87"/>
        <v>O</v>
      </c>
      <c r="H483">
        <v>10</v>
      </c>
      <c r="I483">
        <v>2001</v>
      </c>
      <c r="J483">
        <v>1</v>
      </c>
      <c r="K483" t="str">
        <f>"ES"</f>
        <v>ES</v>
      </c>
      <c r="L483">
        <v>14</v>
      </c>
      <c r="M483">
        <v>2019</v>
      </c>
      <c r="N483" t="str">
        <f t="shared" si="88"/>
        <v>E</v>
      </c>
      <c r="O483" t="str">
        <f>"D"</f>
        <v>D</v>
      </c>
      <c r="P483">
        <v>0</v>
      </c>
      <c r="Q483">
        <v>100</v>
      </c>
      <c r="R483">
        <v>100</v>
      </c>
      <c r="S483">
        <v>35235</v>
      </c>
      <c r="T483">
        <v>100</v>
      </c>
      <c r="U483">
        <v>35235</v>
      </c>
      <c r="V483" t="str">
        <f>"TOEIC passé à l'ENSAI le 22/05/2023 : score 930"</f>
        <v>TOEIC passé à l'ENSAI le 22/05/2023 : score 930</v>
      </c>
      <c r="W483">
        <v>37</v>
      </c>
      <c r="X483">
        <v>0</v>
      </c>
      <c r="Y483">
        <v>6000577</v>
      </c>
      <c r="Z483" t="str">
        <f>""</f>
        <v/>
      </c>
      <c r="AA483">
        <v>27</v>
      </c>
      <c r="AB483" t="str">
        <f>""</f>
        <v/>
      </c>
      <c r="AC483" t="str">
        <f>""</f>
        <v/>
      </c>
      <c r="AD483" t="str">
        <f>""</f>
        <v/>
      </c>
      <c r="AE483">
        <v>2019</v>
      </c>
      <c r="AF483">
        <v>2021</v>
      </c>
      <c r="AG483" t="str">
        <f>"Thorigné fouillard"</f>
        <v>Thorigné fouillard</v>
      </c>
      <c r="AH483" t="str">
        <f>"Thorigné fouillard"</f>
        <v>Thorigné fouillard</v>
      </c>
      <c r="AI483" t="str">
        <f>""</f>
        <v/>
      </c>
      <c r="AJ483" t="str">
        <f>""</f>
        <v/>
      </c>
      <c r="AK483" t="str">
        <f>""</f>
        <v/>
      </c>
      <c r="AL483">
        <v>31</v>
      </c>
      <c r="AM483" t="str">
        <f>""</f>
        <v/>
      </c>
      <c r="AN483" t="str">
        <f>""</f>
        <v/>
      </c>
      <c r="AO483" t="str">
        <f>"Lycée Chateaubriand"</f>
        <v>Lycée Chateaubriand</v>
      </c>
      <c r="AP483" t="str">
        <f>"RENNES"</f>
        <v>RENNES</v>
      </c>
      <c r="AQ483" t="str">
        <f>"Rennes"</f>
        <v>Rennes</v>
      </c>
    </row>
    <row r="484" spans="1:43" x14ac:dyDescent="0.25">
      <c r="A484" t="str">
        <f t="shared" si="90"/>
        <v>3A Ing sortant,T00000</v>
      </c>
      <c r="B484" t="str">
        <f>"JOUBREL"</f>
        <v>JOUBREL</v>
      </c>
      <c r="C484" t="str">
        <f>"Elwenn"</f>
        <v>Elwenn</v>
      </c>
      <c r="D484" t="str">
        <f>"020-1766"</f>
        <v>020-1766</v>
      </c>
      <c r="E484" t="str">
        <f>"1410042716B"</f>
        <v>1410042716B</v>
      </c>
      <c r="F484" t="str">
        <f t="shared" si="86"/>
        <v>0352480F</v>
      </c>
      <c r="G484" t="str">
        <f t="shared" si="87"/>
        <v>O</v>
      </c>
      <c r="H484">
        <v>10</v>
      </c>
      <c r="I484">
        <v>2000</v>
      </c>
      <c r="J484">
        <v>1</v>
      </c>
      <c r="K484" t="str">
        <f>"S"</f>
        <v>S</v>
      </c>
      <c r="L484">
        <v>14</v>
      </c>
      <c r="M484">
        <v>2017</v>
      </c>
      <c r="N484" t="str">
        <f t="shared" si="88"/>
        <v>E</v>
      </c>
      <c r="O484" t="str">
        <f>"D"</f>
        <v>D</v>
      </c>
      <c r="P484">
        <v>0</v>
      </c>
      <c r="Q484">
        <v>100</v>
      </c>
      <c r="R484">
        <v>100</v>
      </c>
      <c r="S484">
        <v>35170</v>
      </c>
      <c r="T484">
        <v>100</v>
      </c>
      <c r="U484">
        <v>35170</v>
      </c>
      <c r="V484" t="str">
        <f>"Étudiant en Césure. Pas de bourse - Remis des 135 EUR  POE: validation par Portfolio"</f>
        <v>Étudiant en Césure. Pas de bourse - Remis des 135 EUR  POE: validation par Portfolio</v>
      </c>
      <c r="W484">
        <v>34</v>
      </c>
      <c r="X484">
        <v>0</v>
      </c>
      <c r="Y484">
        <v>6000577</v>
      </c>
      <c r="Z484" t="str">
        <f>""</f>
        <v/>
      </c>
      <c r="AA484">
        <v>27</v>
      </c>
      <c r="AB484" t="str">
        <f>""</f>
        <v/>
      </c>
      <c r="AC484" t="str">
        <f>""</f>
        <v/>
      </c>
      <c r="AD484" t="str">
        <f>""</f>
        <v/>
      </c>
      <c r="AE484">
        <v>2017</v>
      </c>
      <c r="AF484">
        <v>2020</v>
      </c>
      <c r="AG484" t="str">
        <f>"BRUZ"</f>
        <v>BRUZ</v>
      </c>
      <c r="AH484" t="str">
        <f>"BRUZ"</f>
        <v>BRUZ</v>
      </c>
      <c r="AI484" t="str">
        <f>""</f>
        <v/>
      </c>
      <c r="AJ484" t="str">
        <f>""</f>
        <v/>
      </c>
      <c r="AK484" t="str">
        <f>""</f>
        <v/>
      </c>
      <c r="AL484">
        <v>0</v>
      </c>
      <c r="AM484" t="str">
        <f>""</f>
        <v/>
      </c>
      <c r="AN484" t="str">
        <f>""</f>
        <v/>
      </c>
      <c r="AO484" t="str">
        <f>"Lycée Saint Sauveur"</f>
        <v>Lycée Saint Sauveur</v>
      </c>
      <c r="AP484" t="str">
        <f>"REDON"</f>
        <v>REDON</v>
      </c>
      <c r="AQ484" t="str">
        <f>"Rennes"</f>
        <v>Rennes</v>
      </c>
    </row>
    <row r="485" spans="1:43" x14ac:dyDescent="0.25">
      <c r="A485" t="str">
        <f t="shared" si="90"/>
        <v>3A Ing sortant,T00000</v>
      </c>
      <c r="B485" t="str">
        <f>"JUMBONG"</f>
        <v>JUMBONG</v>
      </c>
      <c r="C485" t="str">
        <f>"Junior"</f>
        <v>Junior</v>
      </c>
      <c r="D485" t="str">
        <f>"022-2173"</f>
        <v>022-2173</v>
      </c>
      <c r="E485" t="str">
        <f>"213392869FA"</f>
        <v>213392869FA</v>
      </c>
      <c r="F485" t="str">
        <f t="shared" si="86"/>
        <v>0352480F</v>
      </c>
      <c r="G485" t="str">
        <f t="shared" si="87"/>
        <v>O</v>
      </c>
      <c r="H485">
        <v>10</v>
      </c>
      <c r="I485">
        <v>1998</v>
      </c>
      <c r="J485">
        <v>1</v>
      </c>
      <c r="K485">
        <v>31</v>
      </c>
      <c r="L485">
        <v>0</v>
      </c>
      <c r="M485">
        <v>2016</v>
      </c>
      <c r="N485" t="str">
        <f t="shared" si="88"/>
        <v>E</v>
      </c>
      <c r="O485">
        <v>2</v>
      </c>
      <c r="P485">
        <v>0</v>
      </c>
      <c r="Q485">
        <v>322</v>
      </c>
      <c r="R485">
        <v>100</v>
      </c>
      <c r="S485">
        <v>35170</v>
      </c>
      <c r="T485">
        <v>100</v>
      </c>
      <c r="U485">
        <v>35170</v>
      </c>
      <c r="V485" t="str">
        <f>"TOEIC 2A à l'ENSAI le 09/01/2023 - score 775"</f>
        <v>TOEIC 2A à l'ENSAI le 09/01/2023 - score 775</v>
      </c>
      <c r="W485">
        <v>10</v>
      </c>
      <c r="X485">
        <v>0</v>
      </c>
      <c r="Y485">
        <v>6000577</v>
      </c>
      <c r="Z485" t="str">
        <f>""</f>
        <v/>
      </c>
      <c r="AA485">
        <v>27</v>
      </c>
      <c r="AB485" t="str">
        <f>""</f>
        <v/>
      </c>
      <c r="AC485" t="str">
        <f>""</f>
        <v/>
      </c>
      <c r="AD485" t="str">
        <f>""</f>
        <v/>
      </c>
      <c r="AE485">
        <v>2017</v>
      </c>
      <c r="AF485">
        <v>2022</v>
      </c>
      <c r="AG485" t="str">
        <f>"Bruz"</f>
        <v>Bruz</v>
      </c>
      <c r="AH485" t="str">
        <f>"Bruz"</f>
        <v>Bruz</v>
      </c>
      <c r="AI485" t="str">
        <f>""</f>
        <v/>
      </c>
      <c r="AJ485" t="str">
        <f>""</f>
        <v/>
      </c>
      <c r="AK485" t="str">
        <f>""</f>
        <v/>
      </c>
      <c r="AL485">
        <v>10</v>
      </c>
      <c r="AM485" t="str">
        <f>""</f>
        <v/>
      </c>
      <c r="AN485" t="str">
        <f>""</f>
        <v/>
      </c>
      <c r="AO485" t="str">
        <f>"Lycée bilingue de Gouache"</f>
        <v>Lycée bilingue de Gouache</v>
      </c>
      <c r="AP485" t="str">
        <f>"BAFOUSSAM 3"</f>
        <v>BAFOUSSAM 3</v>
      </c>
      <c r="AQ485" t="str">
        <f>"Etranger"</f>
        <v>Etranger</v>
      </c>
    </row>
    <row r="486" spans="1:43" x14ac:dyDescent="0.25">
      <c r="A486" t="str">
        <f t="shared" si="90"/>
        <v>3A Ing sortant,T00000</v>
      </c>
      <c r="B486" t="str">
        <f>"KAOUCH"</f>
        <v>KAOUCH</v>
      </c>
      <c r="C486" t="str">
        <f>"Aissame"</f>
        <v>Aissame</v>
      </c>
      <c r="D486" t="str">
        <f>"022-2175"</f>
        <v>022-2175</v>
      </c>
      <c r="E486" t="str">
        <f>"213425526JC"</f>
        <v>213425526JC</v>
      </c>
      <c r="F486" t="str">
        <f t="shared" si="86"/>
        <v>0352480F</v>
      </c>
      <c r="G486" t="str">
        <f t="shared" si="87"/>
        <v>O</v>
      </c>
      <c r="H486">
        <v>10</v>
      </c>
      <c r="I486">
        <v>2000</v>
      </c>
      <c r="J486">
        <v>1</v>
      </c>
      <c r="K486">
        <v>31</v>
      </c>
      <c r="L486">
        <v>0</v>
      </c>
      <c r="M486">
        <v>2018</v>
      </c>
      <c r="N486" t="str">
        <f t="shared" si="88"/>
        <v>E</v>
      </c>
      <c r="O486">
        <v>2</v>
      </c>
      <c r="P486">
        <v>0</v>
      </c>
      <c r="Q486">
        <v>350</v>
      </c>
      <c r="R486">
        <v>100</v>
      </c>
      <c r="S486">
        <v>35170</v>
      </c>
      <c r="T486">
        <v>100</v>
      </c>
      <c r="U486">
        <v>35170</v>
      </c>
      <c r="V486" t="str">
        <f>"TOEIC 2A : 670  TOEIC 3A à l'ENSAI le 23-01-2024 : score 760 (B1)  Linguaskill 3A à l'ENSAI le 03-01-2024 : score 172 (B2) = 880*"</f>
        <v>TOEIC 2A : 670  TOEIC 3A à l'ENSAI le 23-01-2024 : score 760 (B1)  Linguaskill 3A à l'ENSAI le 03-01-2024 : score 172 (B2) = 880*</v>
      </c>
      <c r="W486">
        <v>82</v>
      </c>
      <c r="X486">
        <v>0</v>
      </c>
      <c r="Y486">
        <v>6000577</v>
      </c>
      <c r="Z486" t="str">
        <f>""</f>
        <v/>
      </c>
      <c r="AA486">
        <v>27</v>
      </c>
      <c r="AB486" t="str">
        <f>""</f>
        <v/>
      </c>
      <c r="AC486" t="str">
        <f>""</f>
        <v/>
      </c>
      <c r="AD486" t="str">
        <f>""</f>
        <v/>
      </c>
      <c r="AE486">
        <v>2022</v>
      </c>
      <c r="AF486">
        <v>2022</v>
      </c>
      <c r="AG486" t="str">
        <f>"BRUZ"</f>
        <v>BRUZ</v>
      </c>
      <c r="AH486" t="str">
        <f>"BRUZ"</f>
        <v>BRUZ</v>
      </c>
      <c r="AI486" t="str">
        <f>""</f>
        <v/>
      </c>
      <c r="AJ486" t="str">
        <f>""</f>
        <v/>
      </c>
      <c r="AK486" t="str">
        <f>""</f>
        <v/>
      </c>
      <c r="AL486">
        <v>81</v>
      </c>
      <c r="AM486" t="str">
        <f>""</f>
        <v/>
      </c>
      <c r="AN486" t="str">
        <f>""</f>
        <v/>
      </c>
      <c r="AO486" t="str">
        <f>"Lycée Ali ben barri"</f>
        <v>Lycée Ali ben barri</v>
      </c>
      <c r="AP486" t="str">
        <f>"TAZA"</f>
        <v>TAZA</v>
      </c>
      <c r="AQ486" t="str">
        <f>"Etranger"</f>
        <v>Etranger</v>
      </c>
    </row>
    <row r="487" spans="1:43" x14ac:dyDescent="0.25">
      <c r="A487" t="str">
        <f t="shared" si="90"/>
        <v>3A Ing sortant,T00000</v>
      </c>
      <c r="B487" t="str">
        <f>"KENGNE NINTIDEM"</f>
        <v>KENGNE NINTIDEM</v>
      </c>
      <c r="C487" t="str">
        <f>"Boris"</f>
        <v>Boris</v>
      </c>
      <c r="D487" t="str">
        <f>"022-2172"</f>
        <v>022-2172</v>
      </c>
      <c r="E487" t="str">
        <f>"9919A34451G"</f>
        <v>9919A34451G</v>
      </c>
      <c r="F487" t="str">
        <f t="shared" si="86"/>
        <v>0352480F</v>
      </c>
      <c r="G487" t="str">
        <f t="shared" si="87"/>
        <v>O</v>
      </c>
      <c r="H487">
        <v>10</v>
      </c>
      <c r="I487">
        <v>1994</v>
      </c>
      <c r="J487">
        <v>1</v>
      </c>
      <c r="K487">
        <v>31</v>
      </c>
      <c r="L487">
        <v>0</v>
      </c>
      <c r="M487">
        <v>2012</v>
      </c>
      <c r="N487" t="str">
        <f t="shared" si="88"/>
        <v>E</v>
      </c>
      <c r="O487">
        <v>2</v>
      </c>
      <c r="P487">
        <v>0</v>
      </c>
      <c r="Q487">
        <v>322</v>
      </c>
      <c r="R487">
        <v>100</v>
      </c>
      <c r="S487">
        <v>35000</v>
      </c>
      <c r="T487">
        <v>100</v>
      </c>
      <c r="U487">
        <v>35000</v>
      </c>
      <c r="V487" t="str">
        <f>"TOEIC 3A à l'ENSAI le 23-01-2024 : score 470 (A2)  Linguaskill 3A à l'ENSAI le 03-01-2024 : score 148 (B1) = 690*"</f>
        <v>TOEIC 3A à l'ENSAI le 23-01-2024 : score 470 (A2)  Linguaskill 3A à l'ENSAI le 03-01-2024 : score 148 (B1) = 690*</v>
      </c>
      <c r="W487">
        <v>73</v>
      </c>
      <c r="X487">
        <v>0</v>
      </c>
      <c r="Y487">
        <v>6000577</v>
      </c>
      <c r="Z487" t="str">
        <f>""</f>
        <v/>
      </c>
      <c r="AA487">
        <v>27</v>
      </c>
      <c r="AB487" t="str">
        <f>""</f>
        <v/>
      </c>
      <c r="AC487" t="str">
        <f>""</f>
        <v/>
      </c>
      <c r="AD487" t="str">
        <f>""</f>
        <v/>
      </c>
      <c r="AE487">
        <v>2012</v>
      </c>
      <c r="AF487">
        <v>2022</v>
      </c>
      <c r="AG487" t="str">
        <f>"Rennes"</f>
        <v>Rennes</v>
      </c>
      <c r="AH487" t="str">
        <f>"Rennes"</f>
        <v>Rennes</v>
      </c>
      <c r="AI487" t="str">
        <f>""</f>
        <v/>
      </c>
      <c r="AJ487" t="str">
        <f>""</f>
        <v/>
      </c>
      <c r="AK487" t="str">
        <f>""</f>
        <v/>
      </c>
      <c r="AL487">
        <v>22</v>
      </c>
      <c r="AM487" t="str">
        <f>""</f>
        <v/>
      </c>
      <c r="AN487" t="str">
        <f>""</f>
        <v/>
      </c>
      <c r="AO487" t="str">
        <f>"Lycée bilingue de bertoua"</f>
        <v>Lycée bilingue de bertoua</v>
      </c>
      <c r="AP487" t="str">
        <f>"BERTOUA"</f>
        <v>BERTOUA</v>
      </c>
      <c r="AQ487" t="str">
        <f>"Etranger"</f>
        <v>Etranger</v>
      </c>
    </row>
    <row r="488" spans="1:43" x14ac:dyDescent="0.25">
      <c r="A488" t="str">
        <f t="shared" si="90"/>
        <v>3A Ing sortant,T00000</v>
      </c>
      <c r="B488" t="str">
        <f>"KEUBOU KENFACK"</f>
        <v>KEUBOU KENFACK</v>
      </c>
      <c r="C488" t="str">
        <f>"Dilane Desire"</f>
        <v>Dilane Desire</v>
      </c>
      <c r="D488" t="str">
        <f>"022-2163"</f>
        <v>022-2163</v>
      </c>
      <c r="E488" t="str">
        <f>"213343172JD"</f>
        <v>213343172JD</v>
      </c>
      <c r="F488" t="str">
        <f t="shared" si="86"/>
        <v>0352480F</v>
      </c>
      <c r="G488" t="str">
        <f t="shared" si="87"/>
        <v>O</v>
      </c>
      <c r="H488">
        <v>10</v>
      </c>
      <c r="I488">
        <v>2000</v>
      </c>
      <c r="J488">
        <v>1</v>
      </c>
      <c r="K488">
        <v>31</v>
      </c>
      <c r="L488">
        <v>0</v>
      </c>
      <c r="M488">
        <v>2016</v>
      </c>
      <c r="N488" t="str">
        <f t="shared" si="88"/>
        <v>E</v>
      </c>
      <c r="O488">
        <v>2</v>
      </c>
      <c r="P488">
        <v>0</v>
      </c>
      <c r="Q488">
        <v>322</v>
      </c>
      <c r="R488">
        <v>100</v>
      </c>
      <c r="S488">
        <v>35170</v>
      </c>
      <c r="T488">
        <v>100</v>
      </c>
      <c r="U488">
        <v>35170</v>
      </c>
      <c r="V488" t="str">
        <f>"TOEIC 2A à l'ENSAI le 09/01/2023 - score 685"</f>
        <v>TOEIC 2A à l'ENSAI le 09/01/2023 - score 685</v>
      </c>
      <c r="W488">
        <v>73</v>
      </c>
      <c r="X488">
        <v>0</v>
      </c>
      <c r="Y488">
        <v>6000577</v>
      </c>
      <c r="Z488" t="str">
        <f>""</f>
        <v/>
      </c>
      <c r="AA488">
        <v>27</v>
      </c>
      <c r="AB488" t="str">
        <f>""</f>
        <v/>
      </c>
      <c r="AC488" t="str">
        <f>""</f>
        <v/>
      </c>
      <c r="AD488" t="str">
        <f>""</f>
        <v/>
      </c>
      <c r="AE488">
        <v>2022</v>
      </c>
      <c r="AF488">
        <v>2022</v>
      </c>
      <c r="AG488" t="str">
        <f>"Bruz"</f>
        <v>Bruz</v>
      </c>
      <c r="AH488" t="str">
        <f>"Bruz"</f>
        <v>Bruz</v>
      </c>
      <c r="AI488" t="str">
        <f>""</f>
        <v/>
      </c>
      <c r="AJ488" t="str">
        <f>""</f>
        <v/>
      </c>
      <c r="AK488" t="str">
        <f>""</f>
        <v/>
      </c>
      <c r="AL488">
        <v>82</v>
      </c>
      <c r="AM488" t="str">
        <f>""</f>
        <v/>
      </c>
      <c r="AN488" t="str">
        <f>""</f>
        <v/>
      </c>
      <c r="AO488" t="str">
        <f>"Lycée de Biyem-Assi"</f>
        <v>Lycée de Biyem-Assi</v>
      </c>
      <c r="AP488" t="str">
        <f>"YAOUNDÉ"</f>
        <v>YAOUNDÉ</v>
      </c>
      <c r="AQ488" t="str">
        <f>"Etranger"</f>
        <v>Etranger</v>
      </c>
    </row>
    <row r="489" spans="1:43" x14ac:dyDescent="0.25">
      <c r="A489" t="str">
        <f t="shared" si="90"/>
        <v>3A Ing sortant,T00000</v>
      </c>
      <c r="B489" t="str">
        <f>"KOUAYI DJILA"</f>
        <v>KOUAYI DJILA</v>
      </c>
      <c r="C489" t="str">
        <f>"Anne Maïlys Lorine"</f>
        <v>Anne Maïlys Lorine</v>
      </c>
      <c r="D489" t="str">
        <f>"022-2164"</f>
        <v>022-2164</v>
      </c>
      <c r="E489" t="str">
        <f>"213446074AB"</f>
        <v>213446074AB</v>
      </c>
      <c r="F489" t="str">
        <f t="shared" si="86"/>
        <v>0352480F</v>
      </c>
      <c r="G489" t="str">
        <f t="shared" si="87"/>
        <v>O</v>
      </c>
      <c r="H489">
        <v>10</v>
      </c>
      <c r="I489">
        <v>2001</v>
      </c>
      <c r="J489">
        <v>2</v>
      </c>
      <c r="K489">
        <v>31</v>
      </c>
      <c r="L489">
        <v>0</v>
      </c>
      <c r="M489" t="str">
        <f>""</f>
        <v/>
      </c>
      <c r="N489" t="str">
        <f t="shared" si="88"/>
        <v>E</v>
      </c>
      <c r="O489">
        <v>2</v>
      </c>
      <c r="P489">
        <v>0</v>
      </c>
      <c r="Q489">
        <v>322</v>
      </c>
      <c r="R489">
        <v>100</v>
      </c>
      <c r="S489">
        <v>35000</v>
      </c>
      <c r="T489">
        <v>100</v>
      </c>
      <c r="U489">
        <v>35000</v>
      </c>
      <c r="V489" t="str">
        <f>"TOEIC 2A à l'ENSAI le 09/01/2023 - score 740  TOEIC 3A à l'ENSAI le 23-01-2024 : score 780 (B1)  Linguaskill 3A à l'ENSAI le 03-01-2024 : score 180+ (C1) = 945*"</f>
        <v>TOEIC 2A à l'ENSAI le 09/01/2023 - score 740  TOEIC 3A à l'ENSAI le 23-01-2024 : score 780 (B1)  Linguaskill 3A à l'ENSAI le 03-01-2024 : score 180+ (C1) = 945*</v>
      </c>
      <c r="W489">
        <v>0</v>
      </c>
      <c r="X489">
        <v>0</v>
      </c>
      <c r="Y489">
        <v>6000577</v>
      </c>
      <c r="Z489" t="str">
        <f>""</f>
        <v/>
      </c>
      <c r="AA489">
        <v>27</v>
      </c>
      <c r="AB489" t="str">
        <f>""</f>
        <v/>
      </c>
      <c r="AC489" t="str">
        <f>""</f>
        <v/>
      </c>
      <c r="AD489" t="str">
        <f>""</f>
        <v/>
      </c>
      <c r="AE489">
        <v>2017</v>
      </c>
      <c r="AF489">
        <v>2022</v>
      </c>
      <c r="AG489" t="str">
        <f>"RENNES"</f>
        <v>RENNES</v>
      </c>
      <c r="AH489" t="str">
        <f>"RENNES"</f>
        <v>RENNES</v>
      </c>
      <c r="AI489" t="str">
        <f>""</f>
        <v/>
      </c>
      <c r="AJ489" t="str">
        <f>""</f>
        <v/>
      </c>
      <c r="AK489" t="str">
        <f>""</f>
        <v/>
      </c>
      <c r="AL489">
        <v>0</v>
      </c>
      <c r="AM489" t="str">
        <f>""</f>
        <v/>
      </c>
      <c r="AN489" t="str">
        <f>""</f>
        <v/>
      </c>
      <c r="AO489" t="str">
        <f>"COLLEGE DE LA RETRAITE"</f>
        <v>COLLEGE DE LA RETRAITE</v>
      </c>
      <c r="AP489" t="str">
        <f>"YAOUNDE"</f>
        <v>YAOUNDE</v>
      </c>
      <c r="AQ489" t="str">
        <f>"Etranger"</f>
        <v>Etranger</v>
      </c>
    </row>
    <row r="490" spans="1:43" x14ac:dyDescent="0.25">
      <c r="A490" t="str">
        <f t="shared" si="90"/>
        <v>3A Ing sortant,T00000</v>
      </c>
      <c r="B490" t="str">
        <f>"LABBE"</f>
        <v>LABBE</v>
      </c>
      <c r="C490" t="str">
        <f>"Guillaume"</f>
        <v>Guillaume</v>
      </c>
      <c r="D490" t="str">
        <f>"023-2556"</f>
        <v>023-2556</v>
      </c>
      <c r="E490" t="str">
        <f>"70063763BG"</f>
        <v>70063763BG</v>
      </c>
      <c r="F490" t="str">
        <f t="shared" si="86"/>
        <v>0352480F</v>
      </c>
      <c r="G490" t="str">
        <f t="shared" si="87"/>
        <v>O</v>
      </c>
      <c r="H490">
        <v>10</v>
      </c>
      <c r="I490">
        <v>2000</v>
      </c>
      <c r="J490">
        <v>1</v>
      </c>
      <c r="K490" t="str">
        <f>"ES"</f>
        <v>ES</v>
      </c>
      <c r="L490">
        <v>14</v>
      </c>
      <c r="M490">
        <v>2018</v>
      </c>
      <c r="N490" t="str">
        <f>"H"</f>
        <v>H</v>
      </c>
      <c r="O490" t="str">
        <f>"R"</f>
        <v>R</v>
      </c>
      <c r="P490">
        <v>0</v>
      </c>
      <c r="Q490">
        <v>100</v>
      </c>
      <c r="R490">
        <v>100</v>
      </c>
      <c r="S490">
        <v>35410</v>
      </c>
      <c r="T490">
        <v>100</v>
      </c>
      <c r="U490">
        <v>35410</v>
      </c>
      <c r="V490" t="str">
        <f>""</f>
        <v/>
      </c>
      <c r="W490">
        <v>45</v>
      </c>
      <c r="X490">
        <v>0</v>
      </c>
      <c r="Y490">
        <v>6000577</v>
      </c>
      <c r="Z490" t="str">
        <f>""</f>
        <v/>
      </c>
      <c r="AA490">
        <v>27</v>
      </c>
      <c r="AB490" t="str">
        <f>""</f>
        <v/>
      </c>
      <c r="AC490" t="str">
        <f>""</f>
        <v/>
      </c>
      <c r="AD490" t="str">
        <f>""</f>
        <v/>
      </c>
      <c r="AE490">
        <v>2018</v>
      </c>
      <c r="AF490">
        <v>2023</v>
      </c>
      <c r="AG490" t="str">
        <f>"Châteaugiron"</f>
        <v>Châteaugiron</v>
      </c>
      <c r="AH490" t="str">
        <f>"Châteaugiron"</f>
        <v>Châteaugiron</v>
      </c>
      <c r="AI490" t="str">
        <f>""</f>
        <v/>
      </c>
      <c r="AJ490" t="str">
        <f>""</f>
        <v/>
      </c>
      <c r="AK490" t="str">
        <f>""</f>
        <v/>
      </c>
      <c r="AL490">
        <v>47</v>
      </c>
      <c r="AM490" t="str">
        <f>""</f>
        <v/>
      </c>
      <c r="AN490" t="str">
        <f>""</f>
        <v/>
      </c>
      <c r="AO490" t="str">
        <f>"Sévigné"</f>
        <v>Sévigné</v>
      </c>
      <c r="AP490" t="str">
        <f>"CESSON-SÉVIGNÉ"</f>
        <v>CESSON-SÉVIGNÉ</v>
      </c>
      <c r="AQ490" t="str">
        <f>"Rennes"</f>
        <v>Rennes</v>
      </c>
    </row>
    <row r="491" spans="1:43" x14ac:dyDescent="0.25">
      <c r="A491" t="str">
        <f t="shared" si="90"/>
        <v>3A Ing sortant,T00000</v>
      </c>
      <c r="B491" t="str">
        <f>"LACMAGO TCHOFOR"</f>
        <v>LACMAGO TCHOFOR</v>
      </c>
      <c r="C491" t="str">
        <f>"Isabelle"</f>
        <v>Isabelle</v>
      </c>
      <c r="D491" t="str">
        <f>"022-2171"</f>
        <v>022-2171</v>
      </c>
      <c r="E491" t="str">
        <f>"213430777GK"</f>
        <v>213430777GK</v>
      </c>
      <c r="F491" t="str">
        <f t="shared" si="86"/>
        <v>0352480F</v>
      </c>
      <c r="G491" t="str">
        <f t="shared" si="87"/>
        <v>O</v>
      </c>
      <c r="H491">
        <v>10</v>
      </c>
      <c r="I491">
        <v>1999</v>
      </c>
      <c r="J491">
        <v>2</v>
      </c>
      <c r="K491">
        <v>31</v>
      </c>
      <c r="L491">
        <v>0</v>
      </c>
      <c r="M491">
        <v>2016</v>
      </c>
      <c r="N491" t="str">
        <f t="shared" ref="N491:N522" si="91">"E"</f>
        <v>E</v>
      </c>
      <c r="O491">
        <v>2</v>
      </c>
      <c r="P491">
        <v>0</v>
      </c>
      <c r="Q491">
        <v>322</v>
      </c>
      <c r="R491">
        <v>100</v>
      </c>
      <c r="S491">
        <v>35170</v>
      </c>
      <c r="T491">
        <v>100</v>
      </c>
      <c r="U491">
        <v>35170</v>
      </c>
      <c r="V491" t="str">
        <f>"TOEIC 3A à l'ENSAI le 23-01-2024 : score 730 (B1)  3A Linguaskill à l'ENSAI le 03-01-2024 : score 166 (B2) = 830*"</f>
        <v>TOEIC 3A à l'ENSAI le 23-01-2024 : score 730 (B1)  3A Linguaskill à l'ENSAI le 03-01-2024 : score 166 (B2) = 830*</v>
      </c>
      <c r="W491">
        <v>38</v>
      </c>
      <c r="X491">
        <v>0</v>
      </c>
      <c r="Y491">
        <v>6000577</v>
      </c>
      <c r="Z491" t="str">
        <f>""</f>
        <v/>
      </c>
      <c r="AA491">
        <v>27</v>
      </c>
      <c r="AB491" t="str">
        <f>""</f>
        <v/>
      </c>
      <c r="AC491" t="str">
        <f>""</f>
        <v/>
      </c>
      <c r="AD491" t="str">
        <f>""</f>
        <v/>
      </c>
      <c r="AE491">
        <v>2016</v>
      </c>
      <c r="AF491">
        <v>2022</v>
      </c>
      <c r="AG491" t="str">
        <f>"Bruz"</f>
        <v>Bruz</v>
      </c>
      <c r="AH491" t="str">
        <f>"Bruz"</f>
        <v>Bruz</v>
      </c>
      <c r="AI491" t="str">
        <f>""</f>
        <v/>
      </c>
      <c r="AJ491" t="str">
        <f>""</f>
        <v/>
      </c>
      <c r="AK491" t="str">
        <f>""</f>
        <v/>
      </c>
      <c r="AL491">
        <v>43</v>
      </c>
      <c r="AM491" t="str">
        <f>""</f>
        <v/>
      </c>
      <c r="AN491" t="str">
        <f>""</f>
        <v/>
      </c>
      <c r="AO491" t="str">
        <f>"Lycée Bilingue de Mbouda"</f>
        <v>Lycée Bilingue de Mbouda</v>
      </c>
      <c r="AP491" t="str">
        <f>"MBOUDA"</f>
        <v>MBOUDA</v>
      </c>
      <c r="AQ491" t="str">
        <f>"Etranger"</f>
        <v>Etranger</v>
      </c>
    </row>
    <row r="492" spans="1:43" x14ac:dyDescent="0.25">
      <c r="A492" t="str">
        <f t="shared" ref="A492:A523" si="92">"3A Ing sortant,T00000"</f>
        <v>3A Ing sortant,T00000</v>
      </c>
      <c r="B492" t="str">
        <f>"LALOUE"</f>
        <v>LALOUE</v>
      </c>
      <c r="C492" t="str">
        <f>"Lucas"</f>
        <v>Lucas</v>
      </c>
      <c r="D492" t="str">
        <f>"021-2077"</f>
        <v>021-2077</v>
      </c>
      <c r="E492" t="str">
        <f>"060227538FD"</f>
        <v>060227538FD</v>
      </c>
      <c r="F492" t="str">
        <f t="shared" si="86"/>
        <v>0352480F</v>
      </c>
      <c r="G492" t="str">
        <f t="shared" si="87"/>
        <v>O</v>
      </c>
      <c r="H492">
        <v>10</v>
      </c>
      <c r="I492">
        <v>2001</v>
      </c>
      <c r="J492">
        <v>1</v>
      </c>
      <c r="K492" t="str">
        <f t="shared" ref="K492:K498" si="93">"S"</f>
        <v>S</v>
      </c>
      <c r="L492">
        <v>18</v>
      </c>
      <c r="M492">
        <v>2019</v>
      </c>
      <c r="N492" t="str">
        <f t="shared" si="91"/>
        <v>E</v>
      </c>
      <c r="O492" t="str">
        <f>"D"</f>
        <v>D</v>
      </c>
      <c r="P492">
        <v>0</v>
      </c>
      <c r="Q492">
        <v>100</v>
      </c>
      <c r="R492">
        <v>100</v>
      </c>
      <c r="S492">
        <v>35170</v>
      </c>
      <c r="T492">
        <v>100</v>
      </c>
      <c r="U492">
        <v>35170</v>
      </c>
      <c r="V492" t="str">
        <f>"Linguaskill General à l'ENSAI le 10/11/2022 : niveau B2 en anglais certifié (score 160) = 785 au TOEIC"</f>
        <v>Linguaskill General à l'ENSAI le 10/11/2022 : niveau B2 en anglais certifié (score 160) = 785 au TOEIC</v>
      </c>
      <c r="W492">
        <v>33</v>
      </c>
      <c r="X492">
        <v>0</v>
      </c>
      <c r="Y492">
        <v>6000577</v>
      </c>
      <c r="Z492" t="str">
        <f>""</f>
        <v/>
      </c>
      <c r="AA492">
        <v>27</v>
      </c>
      <c r="AB492" t="str">
        <f>""</f>
        <v/>
      </c>
      <c r="AC492" t="str">
        <f>""</f>
        <v/>
      </c>
      <c r="AD492" t="str">
        <f>""</f>
        <v/>
      </c>
      <c r="AE492">
        <v>2019</v>
      </c>
      <c r="AF492">
        <v>2021</v>
      </c>
      <c r="AG492" t="str">
        <f>"Bruz"</f>
        <v>Bruz</v>
      </c>
      <c r="AH492" t="str">
        <f>"Bruz"</f>
        <v>Bruz</v>
      </c>
      <c r="AI492" t="str">
        <f>""</f>
        <v/>
      </c>
      <c r="AJ492" t="str">
        <f>""</f>
        <v/>
      </c>
      <c r="AK492" t="str">
        <f>""</f>
        <v/>
      </c>
      <c r="AL492">
        <v>34</v>
      </c>
      <c r="AM492" t="str">
        <f>""</f>
        <v/>
      </c>
      <c r="AN492" t="str">
        <f>""</f>
        <v/>
      </c>
      <c r="AO492" t="str">
        <f>"Lycée Ronsard"</f>
        <v>Lycée Ronsard</v>
      </c>
      <c r="AP492" t="str">
        <f>"VENDÔME"</f>
        <v>VENDÔME</v>
      </c>
      <c r="AQ492" t="str">
        <f>"Orléans-Tours"</f>
        <v>Orléans-Tours</v>
      </c>
    </row>
    <row r="493" spans="1:43" x14ac:dyDescent="0.25">
      <c r="A493" t="str">
        <f t="shared" si="92"/>
        <v>3A Ing sortant,T00000</v>
      </c>
      <c r="B493" t="str">
        <f>"LANDRIN"</f>
        <v>LANDRIN</v>
      </c>
      <c r="C493" t="str">
        <f>"Alexis"</f>
        <v>Alexis</v>
      </c>
      <c r="D493" t="str">
        <f>"020-1773"</f>
        <v>020-1773</v>
      </c>
      <c r="E493" t="str">
        <f>"2510086919X"</f>
        <v>2510086919X</v>
      </c>
      <c r="F493" t="str">
        <f t="shared" si="86"/>
        <v>0352480F</v>
      </c>
      <c r="G493" t="str">
        <f t="shared" si="87"/>
        <v>O</v>
      </c>
      <c r="H493">
        <v>10</v>
      </c>
      <c r="I493">
        <v>1999</v>
      </c>
      <c r="J493">
        <v>1</v>
      </c>
      <c r="K493" t="str">
        <f t="shared" si="93"/>
        <v>S</v>
      </c>
      <c r="L493">
        <v>25</v>
      </c>
      <c r="M493">
        <v>2017</v>
      </c>
      <c r="N493" t="str">
        <f t="shared" si="91"/>
        <v>E</v>
      </c>
      <c r="O493" t="str">
        <f>"D"</f>
        <v>D</v>
      </c>
      <c r="P493">
        <v>0</v>
      </c>
      <c r="Q493">
        <v>100</v>
      </c>
      <c r="R493">
        <v>100</v>
      </c>
      <c r="S493">
        <v>35000</v>
      </c>
      <c r="T493">
        <v>100</v>
      </c>
      <c r="U493">
        <v>35000</v>
      </c>
      <c r="V493" t="str">
        <f>"TOEIC 1A: 780  TOEIC 3A à l'ENSAI le 23-01-2024 : score 835 (B2)"</f>
        <v>TOEIC 1A: 780  TOEIC 3A à l'ENSAI le 23-01-2024 : score 835 (B2)</v>
      </c>
      <c r="W493">
        <v>82</v>
      </c>
      <c r="X493">
        <v>0</v>
      </c>
      <c r="Y493">
        <v>6000577</v>
      </c>
      <c r="Z493" t="str">
        <f>""</f>
        <v/>
      </c>
      <c r="AA493">
        <v>27</v>
      </c>
      <c r="AB493" t="str">
        <f>""</f>
        <v/>
      </c>
      <c r="AC493" t="str">
        <f>""</f>
        <v/>
      </c>
      <c r="AD493" t="str">
        <f>""</f>
        <v/>
      </c>
      <c r="AE493">
        <v>2017</v>
      </c>
      <c r="AF493">
        <v>2020</v>
      </c>
      <c r="AG493" t="str">
        <f>"RENNES"</f>
        <v>RENNES</v>
      </c>
      <c r="AH493" t="str">
        <f>"RENNES"</f>
        <v>RENNES</v>
      </c>
      <c r="AI493" t="str">
        <f>""</f>
        <v/>
      </c>
      <c r="AJ493" t="str">
        <f>""</f>
        <v/>
      </c>
      <c r="AK493" t="str">
        <f>""</f>
        <v/>
      </c>
      <c r="AL493">
        <v>38</v>
      </c>
      <c r="AM493" t="str">
        <f>""</f>
        <v/>
      </c>
      <c r="AN493" t="str">
        <f>""</f>
        <v/>
      </c>
      <c r="AO493" t="str">
        <f>"Lycée Notre Dame de la Compassion"</f>
        <v>Lycée Notre Dame de la Compassion</v>
      </c>
      <c r="AP493" t="str">
        <f>"PONTOISE"</f>
        <v>PONTOISE</v>
      </c>
      <c r="AQ493" t="str">
        <f>"Versailles"</f>
        <v>Versailles</v>
      </c>
    </row>
    <row r="494" spans="1:43" x14ac:dyDescent="0.25">
      <c r="A494" t="str">
        <f t="shared" si="92"/>
        <v>3A Ing sortant,T00000</v>
      </c>
      <c r="B494" t="str">
        <f>"LE GROGNEC"</f>
        <v>LE GROGNEC</v>
      </c>
      <c r="C494" t="str">
        <f>"Lenaig"</f>
        <v>Lenaig</v>
      </c>
      <c r="D494" t="str">
        <f>"021-1925"</f>
        <v>021-1925</v>
      </c>
      <c r="E494" t="str">
        <f>"133117976HB"</f>
        <v>133117976HB</v>
      </c>
      <c r="F494" t="str">
        <f t="shared" si="86"/>
        <v>0352480F</v>
      </c>
      <c r="G494" t="str">
        <f t="shared" si="87"/>
        <v>O</v>
      </c>
      <c r="H494">
        <v>10</v>
      </c>
      <c r="I494">
        <v>2001</v>
      </c>
      <c r="J494">
        <v>2</v>
      </c>
      <c r="K494" t="str">
        <f t="shared" si="93"/>
        <v>S</v>
      </c>
      <c r="L494">
        <v>14</v>
      </c>
      <c r="M494">
        <v>2019</v>
      </c>
      <c r="N494" t="str">
        <f t="shared" si="91"/>
        <v>E</v>
      </c>
      <c r="O494" t="str">
        <f>"D"</f>
        <v>D</v>
      </c>
      <c r="P494">
        <v>0</v>
      </c>
      <c r="Q494">
        <v>100</v>
      </c>
      <c r="R494">
        <v>100</v>
      </c>
      <c r="S494">
        <v>35170</v>
      </c>
      <c r="T494">
        <v>100</v>
      </c>
      <c r="U494">
        <v>35170</v>
      </c>
      <c r="V494" t="str">
        <f>"Linguaskill à l'ENSAI le 31/05/2022: score 175 = niveau B2  TOEIC 2A à l'ENSAI le 09/01/2022 - score 815"</f>
        <v>Linguaskill à l'ENSAI le 31/05/2022: score 175 = niveau B2  TOEIC 2A à l'ENSAI le 09/01/2022 - score 815</v>
      </c>
      <c r="W494">
        <v>43</v>
      </c>
      <c r="X494">
        <v>0</v>
      </c>
      <c r="Y494">
        <v>6000577</v>
      </c>
      <c r="Z494" t="str">
        <f>""</f>
        <v/>
      </c>
      <c r="AA494">
        <v>27</v>
      </c>
      <c r="AB494" t="str">
        <f>""</f>
        <v/>
      </c>
      <c r="AC494" t="str">
        <f>""</f>
        <v/>
      </c>
      <c r="AD494" t="str">
        <f>""</f>
        <v/>
      </c>
      <c r="AE494">
        <v>2019</v>
      </c>
      <c r="AF494">
        <v>2021</v>
      </c>
      <c r="AG494" t="str">
        <f t="shared" ref="AG494:AH496" si="94">"Bruz"</f>
        <v>Bruz</v>
      </c>
      <c r="AH494" t="str">
        <f t="shared" si="94"/>
        <v>Bruz</v>
      </c>
      <c r="AI494" t="str">
        <f>""</f>
        <v/>
      </c>
      <c r="AJ494" t="str">
        <f>""</f>
        <v/>
      </c>
      <c r="AK494" t="str">
        <f>""</f>
        <v/>
      </c>
      <c r="AL494">
        <v>34</v>
      </c>
      <c r="AM494" t="str">
        <f>""</f>
        <v/>
      </c>
      <c r="AN494" t="str">
        <f>""</f>
        <v/>
      </c>
      <c r="AO494" t="str">
        <f>"Lycée Saint Louis"</f>
        <v>Lycée Saint Louis</v>
      </c>
      <c r="AP494" t="str">
        <f>"LORIENT"</f>
        <v>LORIENT</v>
      </c>
      <c r="AQ494" t="str">
        <f>"Rennes"</f>
        <v>Rennes</v>
      </c>
    </row>
    <row r="495" spans="1:43" x14ac:dyDescent="0.25">
      <c r="A495" t="str">
        <f t="shared" si="92"/>
        <v>3A Ing sortant,T00000</v>
      </c>
      <c r="B495" t="str">
        <f>"LEBLOND"</f>
        <v>LEBLOND</v>
      </c>
      <c r="C495" t="str">
        <f>"Tony"</f>
        <v>Tony</v>
      </c>
      <c r="D495" t="str">
        <f>"021-1947"</f>
        <v>021-1947</v>
      </c>
      <c r="E495" t="str">
        <f>"090707272EH"</f>
        <v>090707272EH</v>
      </c>
      <c r="F495" t="str">
        <f t="shared" si="86"/>
        <v>0352480F</v>
      </c>
      <c r="G495" t="str">
        <f t="shared" si="87"/>
        <v>O</v>
      </c>
      <c r="H495">
        <v>10</v>
      </c>
      <c r="I495">
        <v>2000</v>
      </c>
      <c r="J495">
        <v>1</v>
      </c>
      <c r="K495" t="str">
        <f t="shared" si="93"/>
        <v>S</v>
      </c>
      <c r="L495">
        <v>5</v>
      </c>
      <c r="M495">
        <v>2018</v>
      </c>
      <c r="N495" t="str">
        <f t="shared" si="91"/>
        <v>E</v>
      </c>
      <c r="O495" t="str">
        <f>"N"</f>
        <v>N</v>
      </c>
      <c r="P495">
        <v>0</v>
      </c>
      <c r="Q495">
        <v>100</v>
      </c>
      <c r="R495">
        <v>100</v>
      </c>
      <c r="S495">
        <v>35170</v>
      </c>
      <c r="T495">
        <v>100</v>
      </c>
      <c r="U495">
        <v>35170</v>
      </c>
      <c r="V495" t="str">
        <f>"TOEIC 2A à l'ENSAI le 09/01/2023 - score 870"</f>
        <v>TOEIC 2A à l'ENSAI le 09/01/2023 - score 870</v>
      </c>
      <c r="W495">
        <v>48</v>
      </c>
      <c r="X495">
        <v>0</v>
      </c>
      <c r="Y495">
        <v>6000577</v>
      </c>
      <c r="Z495" t="str">
        <f>""</f>
        <v/>
      </c>
      <c r="AA495">
        <v>27</v>
      </c>
      <c r="AB495" t="str">
        <f>""</f>
        <v/>
      </c>
      <c r="AC495" t="str">
        <f>""</f>
        <v/>
      </c>
      <c r="AD495" t="str">
        <f>""</f>
        <v/>
      </c>
      <c r="AE495">
        <v>2018</v>
      </c>
      <c r="AF495">
        <v>2021</v>
      </c>
      <c r="AG495" t="str">
        <f t="shared" si="94"/>
        <v>Bruz</v>
      </c>
      <c r="AH495" t="str">
        <f t="shared" si="94"/>
        <v>Bruz</v>
      </c>
      <c r="AI495" t="str">
        <f>""</f>
        <v/>
      </c>
      <c r="AJ495" t="str">
        <f>""</f>
        <v/>
      </c>
      <c r="AK495" t="str">
        <f>""</f>
        <v/>
      </c>
      <c r="AL495">
        <v>54</v>
      </c>
      <c r="AM495" t="str">
        <f>""</f>
        <v/>
      </c>
      <c r="AN495" t="str">
        <f>""</f>
        <v/>
      </c>
      <c r="AO495" t="str">
        <f>"Henri Cornat"</f>
        <v>Henri Cornat</v>
      </c>
      <c r="AP495" t="str">
        <f>"VALOGNES"</f>
        <v>VALOGNES</v>
      </c>
      <c r="AQ495" t="str">
        <f>"Caen"</f>
        <v>Caen</v>
      </c>
    </row>
    <row r="496" spans="1:43" x14ac:dyDescent="0.25">
      <c r="A496" t="str">
        <f t="shared" si="92"/>
        <v>3A Ing sortant,T00000</v>
      </c>
      <c r="B496" t="str">
        <f>"LEBRUN"</f>
        <v>LEBRUN</v>
      </c>
      <c r="C496" t="str">
        <f>"Justine"</f>
        <v>Justine</v>
      </c>
      <c r="D496" t="str">
        <f>"021-1949"</f>
        <v>021-1949</v>
      </c>
      <c r="E496" t="str">
        <f>"061372161DA"</f>
        <v>061372161DA</v>
      </c>
      <c r="F496" t="str">
        <f t="shared" si="86"/>
        <v>0352480F</v>
      </c>
      <c r="G496" t="str">
        <f t="shared" si="87"/>
        <v>O</v>
      </c>
      <c r="H496">
        <v>10</v>
      </c>
      <c r="I496">
        <v>2000</v>
      </c>
      <c r="J496">
        <v>2</v>
      </c>
      <c r="K496" t="str">
        <f t="shared" si="93"/>
        <v>S</v>
      </c>
      <c r="L496">
        <v>5</v>
      </c>
      <c r="M496">
        <v>2018</v>
      </c>
      <c r="N496" t="str">
        <f t="shared" si="91"/>
        <v>E</v>
      </c>
      <c r="O496" t="str">
        <f>"N"</f>
        <v>N</v>
      </c>
      <c r="P496">
        <v>0</v>
      </c>
      <c r="Q496">
        <v>100</v>
      </c>
      <c r="R496">
        <v>100</v>
      </c>
      <c r="S496">
        <v>35170</v>
      </c>
      <c r="T496">
        <v>100</v>
      </c>
      <c r="U496">
        <v>35170</v>
      </c>
      <c r="V496" t="str">
        <f>"TOEIC à l'ENSAI le 19/05/2022: score 840"</f>
        <v>TOEIC à l'ENSAI le 19/05/2022: score 840</v>
      </c>
      <c r="W496">
        <v>56</v>
      </c>
      <c r="X496">
        <v>0</v>
      </c>
      <c r="Y496">
        <v>6000577</v>
      </c>
      <c r="Z496" t="str">
        <f>""</f>
        <v/>
      </c>
      <c r="AA496">
        <v>27</v>
      </c>
      <c r="AB496" t="str">
        <f>""</f>
        <v/>
      </c>
      <c r="AC496" t="str">
        <f>""</f>
        <v/>
      </c>
      <c r="AD496" t="str">
        <f>""</f>
        <v/>
      </c>
      <c r="AE496">
        <v>2018</v>
      </c>
      <c r="AF496">
        <v>2021</v>
      </c>
      <c r="AG496" t="str">
        <f t="shared" si="94"/>
        <v>Bruz</v>
      </c>
      <c r="AH496" t="str">
        <f t="shared" si="94"/>
        <v>Bruz</v>
      </c>
      <c r="AI496" t="str">
        <f>""</f>
        <v/>
      </c>
      <c r="AJ496" t="str">
        <f>""</f>
        <v/>
      </c>
      <c r="AK496" t="str">
        <f>""</f>
        <v/>
      </c>
      <c r="AL496">
        <v>99</v>
      </c>
      <c r="AM496" t="str">
        <f>""</f>
        <v/>
      </c>
      <c r="AN496" t="str">
        <f>""</f>
        <v/>
      </c>
      <c r="AO496" t="str">
        <f>"Lycée Le Verrier"</f>
        <v>Lycée Le Verrier</v>
      </c>
      <c r="AP496" t="str">
        <f>"SAINT-LÔ"</f>
        <v>SAINT-LÔ</v>
      </c>
      <c r="AQ496" t="str">
        <f>"Caen"</f>
        <v>Caen</v>
      </c>
    </row>
    <row r="497" spans="1:43" x14ac:dyDescent="0.25">
      <c r="A497" t="str">
        <f t="shared" si="92"/>
        <v>3A Ing sortant,T00000</v>
      </c>
      <c r="B497" t="str">
        <f>"LEGRAND"</f>
        <v>LEGRAND</v>
      </c>
      <c r="C497" t="str">
        <f>"Tanguy"</f>
        <v>Tanguy</v>
      </c>
      <c r="D497" t="str">
        <f>"021-2091"</f>
        <v>021-2091</v>
      </c>
      <c r="E497" t="str">
        <f>"080457478EF"</f>
        <v>080457478EF</v>
      </c>
      <c r="F497" t="str">
        <f t="shared" si="86"/>
        <v>0352480F</v>
      </c>
      <c r="G497" t="str">
        <f t="shared" si="87"/>
        <v>O</v>
      </c>
      <c r="H497">
        <v>10</v>
      </c>
      <c r="I497">
        <v>2001</v>
      </c>
      <c r="J497">
        <v>1</v>
      </c>
      <c r="K497" t="str">
        <f t="shared" si="93"/>
        <v>S</v>
      </c>
      <c r="L497">
        <v>14</v>
      </c>
      <c r="M497">
        <v>2019</v>
      </c>
      <c r="N497" t="str">
        <f t="shared" si="91"/>
        <v>E</v>
      </c>
      <c r="O497" t="str">
        <f>"D"</f>
        <v>D</v>
      </c>
      <c r="P497">
        <v>0</v>
      </c>
      <c r="Q497">
        <v>100</v>
      </c>
      <c r="R497">
        <v>100</v>
      </c>
      <c r="S497">
        <v>35500</v>
      </c>
      <c r="T497">
        <v>100</v>
      </c>
      <c r="U497">
        <v>35500</v>
      </c>
      <c r="V497" t="str">
        <f>"TOEIC à l'ENSAI le 17/05/2022: 870"</f>
        <v>TOEIC à l'ENSAI le 17/05/2022: 870</v>
      </c>
      <c r="W497">
        <v>33</v>
      </c>
      <c r="X497">
        <v>0</v>
      </c>
      <c r="Y497">
        <v>6000577</v>
      </c>
      <c r="Z497" t="str">
        <f>""</f>
        <v/>
      </c>
      <c r="AA497">
        <v>27</v>
      </c>
      <c r="AB497" t="str">
        <f>""</f>
        <v/>
      </c>
      <c r="AC497" t="str">
        <f>""</f>
        <v/>
      </c>
      <c r="AD497" t="str">
        <f>""</f>
        <v/>
      </c>
      <c r="AE497">
        <v>2019</v>
      </c>
      <c r="AF497">
        <v>2021</v>
      </c>
      <c r="AG497" t="str">
        <f>"Vitré"</f>
        <v>Vitré</v>
      </c>
      <c r="AH497" t="str">
        <f>"Vitré"</f>
        <v>Vitré</v>
      </c>
      <c r="AI497" t="str">
        <f>""</f>
        <v/>
      </c>
      <c r="AJ497" t="str">
        <f>""</f>
        <v/>
      </c>
      <c r="AK497" t="str">
        <f>""</f>
        <v/>
      </c>
      <c r="AL497">
        <v>38</v>
      </c>
      <c r="AM497" t="str">
        <f>""</f>
        <v/>
      </c>
      <c r="AN497" t="str">
        <f>""</f>
        <v/>
      </c>
      <c r="AO497" t="str">
        <f>"lycée Jeanne D'Arc Vitré"</f>
        <v>lycée Jeanne D'Arc Vitré</v>
      </c>
      <c r="AP497" t="str">
        <f>"VITRÉ"</f>
        <v>VITRÉ</v>
      </c>
      <c r="AQ497" t="str">
        <f>"Rennes"</f>
        <v>Rennes</v>
      </c>
    </row>
    <row r="498" spans="1:43" x14ac:dyDescent="0.25">
      <c r="A498" t="str">
        <f t="shared" si="92"/>
        <v>3A Ing sortant,T00000</v>
      </c>
      <c r="B498" t="str">
        <f>"LETERRIER"</f>
        <v>LETERRIER</v>
      </c>
      <c r="C498" t="str">
        <f>"Laurie"</f>
        <v>Laurie</v>
      </c>
      <c r="D498" t="str">
        <f>"021-1989"</f>
        <v>021-1989</v>
      </c>
      <c r="E498" t="str">
        <f>"081246625KA"</f>
        <v>081246625KA</v>
      </c>
      <c r="F498" t="str">
        <f t="shared" si="86"/>
        <v>0352480F</v>
      </c>
      <c r="G498" t="str">
        <f t="shared" si="87"/>
        <v>O</v>
      </c>
      <c r="H498">
        <v>10</v>
      </c>
      <c r="I498">
        <v>2001</v>
      </c>
      <c r="J498">
        <v>2</v>
      </c>
      <c r="K498" t="str">
        <f t="shared" si="93"/>
        <v>S</v>
      </c>
      <c r="L498">
        <v>18</v>
      </c>
      <c r="M498">
        <v>2019</v>
      </c>
      <c r="N498" t="str">
        <f t="shared" si="91"/>
        <v>E</v>
      </c>
      <c r="O498" t="str">
        <f>"A"</f>
        <v>A</v>
      </c>
      <c r="P498">
        <v>0</v>
      </c>
      <c r="Q498">
        <v>100</v>
      </c>
      <c r="R498">
        <v>100</v>
      </c>
      <c r="S498">
        <v>35170</v>
      </c>
      <c r="T498">
        <v>100</v>
      </c>
      <c r="U498">
        <v>35170</v>
      </c>
      <c r="V498" t="str">
        <f>"TOEIC à l'ENSAI le 19/05/2022: score 875"</f>
        <v>TOEIC à l'ENSAI le 19/05/2022: score 875</v>
      </c>
      <c r="W498">
        <v>76</v>
      </c>
      <c r="X498">
        <v>0</v>
      </c>
      <c r="Y498">
        <v>6000577</v>
      </c>
      <c r="Z498" t="str">
        <f>""</f>
        <v/>
      </c>
      <c r="AA498">
        <v>27</v>
      </c>
      <c r="AB498" t="str">
        <f>""</f>
        <v/>
      </c>
      <c r="AC498" t="str">
        <f>""</f>
        <v/>
      </c>
      <c r="AD498" t="str">
        <f>""</f>
        <v/>
      </c>
      <c r="AE498">
        <v>2019</v>
      </c>
      <c r="AF498">
        <v>2021</v>
      </c>
      <c r="AG498" t="str">
        <f>"Bruz"</f>
        <v>Bruz</v>
      </c>
      <c r="AH498" t="str">
        <f>"Bruz"</f>
        <v>Bruz</v>
      </c>
      <c r="AI498" t="str">
        <f>""</f>
        <v/>
      </c>
      <c r="AJ498" t="str">
        <f>""</f>
        <v/>
      </c>
      <c r="AK498" t="str">
        <f>""</f>
        <v/>
      </c>
      <c r="AL498">
        <v>73</v>
      </c>
      <c r="AM498" t="str">
        <f>""</f>
        <v/>
      </c>
      <c r="AN498" t="str">
        <f>""</f>
        <v/>
      </c>
      <c r="AO498" t="str">
        <f>"Lycée Descartes"</f>
        <v>Lycée Descartes</v>
      </c>
      <c r="AP498" t="str">
        <f>"TOURS"</f>
        <v>TOURS</v>
      </c>
      <c r="AQ498" t="str">
        <f>"Orléans-Tours"</f>
        <v>Orléans-Tours</v>
      </c>
    </row>
    <row r="499" spans="1:43" x14ac:dyDescent="0.25">
      <c r="A499" t="str">
        <f t="shared" si="92"/>
        <v>3A Ing sortant,T00000</v>
      </c>
      <c r="B499" t="str">
        <f>"LOUKILI"</f>
        <v>LOUKILI</v>
      </c>
      <c r="C499" t="str">
        <f>"Ibtissam"</f>
        <v>Ibtissam</v>
      </c>
      <c r="D499" t="str">
        <f>"021-1969"</f>
        <v>021-1969</v>
      </c>
      <c r="E499" t="str">
        <f>"213147125KD"</f>
        <v>213147125KD</v>
      </c>
      <c r="F499" t="str">
        <f t="shared" si="86"/>
        <v>0352480F</v>
      </c>
      <c r="G499" t="str">
        <f t="shared" si="87"/>
        <v>O</v>
      </c>
      <c r="H499">
        <v>10</v>
      </c>
      <c r="I499">
        <v>2001</v>
      </c>
      <c r="J499">
        <v>2</v>
      </c>
      <c r="K499">
        <v>31</v>
      </c>
      <c r="L499">
        <v>0</v>
      </c>
      <c r="M499">
        <v>2018</v>
      </c>
      <c r="N499" t="str">
        <f t="shared" si="91"/>
        <v>E</v>
      </c>
      <c r="O499">
        <v>2</v>
      </c>
      <c r="P499">
        <v>0</v>
      </c>
      <c r="Q499">
        <v>350</v>
      </c>
      <c r="R499">
        <v>100</v>
      </c>
      <c r="S499">
        <v>35170</v>
      </c>
      <c r="T499">
        <v>100</v>
      </c>
      <c r="U499">
        <v>35170</v>
      </c>
      <c r="V499" t="str">
        <f>"TOEIC à l'ENSAI le 19/05/2022: score 875"</f>
        <v>TOEIC à l'ENSAI le 19/05/2022: score 875</v>
      </c>
      <c r="W499">
        <v>31</v>
      </c>
      <c r="X499">
        <v>0</v>
      </c>
      <c r="Y499">
        <v>6000577</v>
      </c>
      <c r="Z499" t="str">
        <f>""</f>
        <v/>
      </c>
      <c r="AA499">
        <v>27</v>
      </c>
      <c r="AB499" t="str">
        <f>""</f>
        <v/>
      </c>
      <c r="AC499" t="str">
        <f>""</f>
        <v/>
      </c>
      <c r="AD499" t="str">
        <f>""</f>
        <v/>
      </c>
      <c r="AE499">
        <v>2021</v>
      </c>
      <c r="AF499">
        <v>2021</v>
      </c>
      <c r="AG499" t="str">
        <f>"Bruz"</f>
        <v>Bruz</v>
      </c>
      <c r="AH499" t="str">
        <f>"Bruz"</f>
        <v>Bruz</v>
      </c>
      <c r="AI499" t="str">
        <f>""</f>
        <v/>
      </c>
      <c r="AJ499" t="str">
        <f>""</f>
        <v/>
      </c>
      <c r="AK499" t="str">
        <f>""</f>
        <v/>
      </c>
      <c r="AL499">
        <v>82</v>
      </c>
      <c r="AM499" t="str">
        <f>""</f>
        <v/>
      </c>
      <c r="AN499" t="str">
        <f>""</f>
        <v/>
      </c>
      <c r="AO499" t="str">
        <f>"Lycée Moulay Ismail"</f>
        <v>Lycée Moulay Ismail</v>
      </c>
      <c r="AP499" t="str">
        <f>"DRIOUCH"</f>
        <v>DRIOUCH</v>
      </c>
      <c r="AQ499" t="str">
        <f>"Etranger"</f>
        <v>Etranger</v>
      </c>
    </row>
    <row r="500" spans="1:43" x14ac:dyDescent="0.25">
      <c r="A500" t="str">
        <f t="shared" si="92"/>
        <v>3A Ing sortant,T00000</v>
      </c>
      <c r="B500" t="str">
        <f>"MANGWA"</f>
        <v>MANGWA</v>
      </c>
      <c r="C500" t="str">
        <f>"Cecyl Larenne"</f>
        <v>Cecyl Larenne</v>
      </c>
      <c r="D500" t="str">
        <f>"022-2165"</f>
        <v>022-2165</v>
      </c>
      <c r="E500" t="str">
        <f>"213466041BG"</f>
        <v>213466041BG</v>
      </c>
      <c r="F500" t="str">
        <f t="shared" si="86"/>
        <v>0352480F</v>
      </c>
      <c r="G500" t="str">
        <f t="shared" si="87"/>
        <v>O</v>
      </c>
      <c r="H500">
        <v>10</v>
      </c>
      <c r="I500">
        <v>2000</v>
      </c>
      <c r="J500">
        <v>2</v>
      </c>
      <c r="K500">
        <v>31</v>
      </c>
      <c r="L500">
        <v>0</v>
      </c>
      <c r="M500">
        <v>2016</v>
      </c>
      <c r="N500" t="str">
        <f t="shared" si="91"/>
        <v>E</v>
      </c>
      <c r="O500">
        <v>2</v>
      </c>
      <c r="P500">
        <v>0</v>
      </c>
      <c r="Q500">
        <v>322</v>
      </c>
      <c r="R500">
        <v>100</v>
      </c>
      <c r="S500">
        <v>35000</v>
      </c>
      <c r="T500">
        <v>100</v>
      </c>
      <c r="U500">
        <v>35000</v>
      </c>
      <c r="V500" t="str">
        <f>"TOEIC 2A à l'ENSAI le 09/01/2023 - score 765"</f>
        <v>TOEIC 2A à l'ENSAI le 09/01/2023 - score 765</v>
      </c>
      <c r="W500">
        <v>0</v>
      </c>
      <c r="X500">
        <v>0</v>
      </c>
      <c r="Y500">
        <v>6000577</v>
      </c>
      <c r="Z500" t="str">
        <f>""</f>
        <v/>
      </c>
      <c r="AA500">
        <v>27</v>
      </c>
      <c r="AB500" t="str">
        <f>""</f>
        <v/>
      </c>
      <c r="AC500" t="str">
        <f>""</f>
        <v/>
      </c>
      <c r="AD500" t="str">
        <f>""</f>
        <v/>
      </c>
      <c r="AE500">
        <v>2022</v>
      </c>
      <c r="AF500">
        <v>2022</v>
      </c>
      <c r="AG500" t="str">
        <f>"Rennes"</f>
        <v>Rennes</v>
      </c>
      <c r="AH500" t="str">
        <f>"Rennes"</f>
        <v>Rennes</v>
      </c>
      <c r="AI500" t="str">
        <f>""</f>
        <v/>
      </c>
      <c r="AJ500" t="str">
        <f>""</f>
        <v/>
      </c>
      <c r="AK500" t="str">
        <f>""</f>
        <v/>
      </c>
      <c r="AL500">
        <v>0</v>
      </c>
      <c r="AM500" t="str">
        <f>""</f>
        <v/>
      </c>
      <c r="AN500" t="str">
        <f>""</f>
        <v/>
      </c>
      <c r="AO500" t="str">
        <f>"Lycée de Nsam Efoulan"</f>
        <v>Lycée de Nsam Efoulan</v>
      </c>
      <c r="AP500" t="str">
        <f>"YAOUNDE"</f>
        <v>YAOUNDE</v>
      </c>
      <c r="AQ500" t="str">
        <f>"Etranger"</f>
        <v>Etranger</v>
      </c>
    </row>
    <row r="501" spans="1:43" x14ac:dyDescent="0.25">
      <c r="A501" t="str">
        <f t="shared" si="92"/>
        <v>3A Ing sortant,T00000</v>
      </c>
      <c r="B501" t="str">
        <f>"MARHFOUL"</f>
        <v>MARHFOUL</v>
      </c>
      <c r="C501" t="str">
        <f>"Oussama"</f>
        <v>Oussama</v>
      </c>
      <c r="D501" t="str">
        <f>"022-2176"</f>
        <v>022-2176</v>
      </c>
      <c r="E501" t="str">
        <f>"213446721DD"</f>
        <v>213446721DD</v>
      </c>
      <c r="F501" t="str">
        <f t="shared" si="86"/>
        <v>0352480F</v>
      </c>
      <c r="G501" t="str">
        <f t="shared" si="87"/>
        <v>O</v>
      </c>
      <c r="H501">
        <v>10</v>
      </c>
      <c r="I501">
        <v>2000</v>
      </c>
      <c r="J501">
        <v>1</v>
      </c>
      <c r="K501">
        <v>31</v>
      </c>
      <c r="L501">
        <v>0</v>
      </c>
      <c r="M501">
        <v>2018</v>
      </c>
      <c r="N501" t="str">
        <f t="shared" si="91"/>
        <v>E</v>
      </c>
      <c r="O501">
        <v>2</v>
      </c>
      <c r="P501">
        <v>0</v>
      </c>
      <c r="Q501">
        <v>350</v>
      </c>
      <c r="R501">
        <v>100</v>
      </c>
      <c r="S501">
        <v>35000</v>
      </c>
      <c r="T501">
        <v>100</v>
      </c>
      <c r="U501">
        <v>35000</v>
      </c>
      <c r="V501" t="str">
        <f>"TOEIC 3A à l'ENSAI le 23-01-2024 : score 865 (B2)"</f>
        <v>TOEIC 3A à l'ENSAI le 23-01-2024 : score 865 (B2)</v>
      </c>
      <c r="W501">
        <v>22</v>
      </c>
      <c r="X501">
        <v>0</v>
      </c>
      <c r="Y501">
        <v>6000577</v>
      </c>
      <c r="Z501" t="str">
        <f>""</f>
        <v/>
      </c>
      <c r="AA501">
        <v>27</v>
      </c>
      <c r="AB501" t="str">
        <f>""</f>
        <v/>
      </c>
      <c r="AC501" t="str">
        <f>""</f>
        <v/>
      </c>
      <c r="AD501" t="str">
        <f>""</f>
        <v/>
      </c>
      <c r="AE501">
        <v>2022</v>
      </c>
      <c r="AF501">
        <v>2022</v>
      </c>
      <c r="AG501" t="str">
        <f>"RENNES"</f>
        <v>RENNES</v>
      </c>
      <c r="AH501" t="str">
        <f>"RENNES"</f>
        <v>RENNES</v>
      </c>
      <c r="AI501" t="str">
        <f>""</f>
        <v/>
      </c>
      <c r="AJ501" t="str">
        <f>""</f>
        <v/>
      </c>
      <c r="AK501" t="str">
        <f>""</f>
        <v/>
      </c>
      <c r="AL501">
        <v>81</v>
      </c>
      <c r="AM501" t="str">
        <f>""</f>
        <v/>
      </c>
      <c r="AN501" t="str">
        <f>""</f>
        <v/>
      </c>
      <c r="AO501" t="str">
        <f>"Lycée technique Mohamed V"</f>
        <v>Lycée technique Mohamed V</v>
      </c>
      <c r="AP501" t="str">
        <f>"BENI MELLAL"</f>
        <v>BENI MELLAL</v>
      </c>
      <c r="AQ501" t="str">
        <f>"Etranger"</f>
        <v>Etranger</v>
      </c>
    </row>
    <row r="502" spans="1:43" x14ac:dyDescent="0.25">
      <c r="A502" t="str">
        <f t="shared" si="92"/>
        <v>3A Ing sortant,T00000</v>
      </c>
      <c r="B502" t="str">
        <f>"MARIAN"</f>
        <v>MARIAN</v>
      </c>
      <c r="C502" t="str">
        <f>"Camille"</f>
        <v>Camille</v>
      </c>
      <c r="D502" t="str">
        <f>"021-2030"</f>
        <v>021-2030</v>
      </c>
      <c r="E502" t="str">
        <f>"070318261EG"</f>
        <v>070318261EG</v>
      </c>
      <c r="F502" t="str">
        <f t="shared" si="86"/>
        <v>0352480F</v>
      </c>
      <c r="G502" t="str">
        <f t="shared" si="87"/>
        <v>O</v>
      </c>
      <c r="H502">
        <v>10</v>
      </c>
      <c r="I502">
        <v>2001</v>
      </c>
      <c r="J502">
        <v>2</v>
      </c>
      <c r="K502" t="str">
        <f>"S"</f>
        <v>S</v>
      </c>
      <c r="L502">
        <v>6</v>
      </c>
      <c r="M502">
        <v>2019</v>
      </c>
      <c r="N502" t="str">
        <f t="shared" si="91"/>
        <v>E</v>
      </c>
      <c r="O502" t="str">
        <f>"A"</f>
        <v>A</v>
      </c>
      <c r="P502">
        <v>0</v>
      </c>
      <c r="Q502">
        <v>100</v>
      </c>
      <c r="R502">
        <v>100</v>
      </c>
      <c r="S502">
        <v>35131</v>
      </c>
      <c r="T502">
        <v>100</v>
      </c>
      <c r="U502">
        <v>35131</v>
      </c>
      <c r="V502" t="str">
        <f>"TOEIC à l'ENSAI le 19/05/2022: score 990"</f>
        <v>TOEIC à l'ENSAI le 19/05/2022: score 990</v>
      </c>
      <c r="W502">
        <v>23</v>
      </c>
      <c r="X502">
        <v>0</v>
      </c>
      <c r="Y502">
        <v>6000577</v>
      </c>
      <c r="Z502" t="str">
        <f>""</f>
        <v/>
      </c>
      <c r="AA502">
        <v>27</v>
      </c>
      <c r="AB502" t="str">
        <f>""</f>
        <v/>
      </c>
      <c r="AC502" t="str">
        <f>""</f>
        <v/>
      </c>
      <c r="AD502" t="str">
        <f>""</f>
        <v/>
      </c>
      <c r="AE502">
        <v>2019</v>
      </c>
      <c r="AF502">
        <v>2021</v>
      </c>
      <c r="AG502" t="str">
        <f>"Chartres de Bretagne"</f>
        <v>Chartres de Bretagne</v>
      </c>
      <c r="AH502" t="str">
        <f>"Chartres de Bretagne"</f>
        <v>Chartres de Bretagne</v>
      </c>
      <c r="AI502" t="str">
        <f>""</f>
        <v/>
      </c>
      <c r="AJ502" t="str">
        <f>""</f>
        <v/>
      </c>
      <c r="AK502" t="str">
        <f>""</f>
        <v/>
      </c>
      <c r="AL502">
        <v>34</v>
      </c>
      <c r="AM502" t="str">
        <f>""</f>
        <v/>
      </c>
      <c r="AN502" t="str">
        <f>""</f>
        <v/>
      </c>
      <c r="AO502" t="str">
        <f>"Lycée Jeanne d'Arc"</f>
        <v>Lycée Jeanne d'Arc</v>
      </c>
      <c r="AP502" t="str">
        <f>"CLERMONT FERRAND"</f>
        <v>CLERMONT FERRAND</v>
      </c>
      <c r="AQ502" t="str">
        <f>"Clermont-Ferrand"</f>
        <v>Clermont-Ferrand</v>
      </c>
    </row>
    <row r="503" spans="1:43" x14ac:dyDescent="0.25">
      <c r="A503" t="str">
        <f t="shared" si="92"/>
        <v>3A Ing sortant,T00000</v>
      </c>
      <c r="B503" t="str">
        <f>"MBAYE"</f>
        <v>MBAYE</v>
      </c>
      <c r="C503" t="str">
        <f>"Ndeye Marieme"</f>
        <v>Ndeye Marieme</v>
      </c>
      <c r="D503" t="str">
        <f>"021-2092"</f>
        <v>021-2092</v>
      </c>
      <c r="E503" t="str">
        <f>"193029287DE"</f>
        <v>193029287DE</v>
      </c>
      <c r="F503" t="str">
        <f t="shared" si="86"/>
        <v>0352480F</v>
      </c>
      <c r="G503" t="str">
        <f t="shared" si="87"/>
        <v>O</v>
      </c>
      <c r="H503">
        <v>10</v>
      </c>
      <c r="I503">
        <v>2001</v>
      </c>
      <c r="J503">
        <v>2</v>
      </c>
      <c r="K503">
        <v>31</v>
      </c>
      <c r="L503">
        <v>0</v>
      </c>
      <c r="M503">
        <v>2019</v>
      </c>
      <c r="N503" t="str">
        <f t="shared" si="91"/>
        <v>E</v>
      </c>
      <c r="O503" t="str">
        <f>"D"</f>
        <v>D</v>
      </c>
      <c r="P503">
        <v>0</v>
      </c>
      <c r="Q503">
        <v>341</v>
      </c>
      <c r="R503">
        <v>100</v>
      </c>
      <c r="S503">
        <v>35170</v>
      </c>
      <c r="T503">
        <v>100</v>
      </c>
      <c r="U503">
        <v>35170</v>
      </c>
      <c r="V503" t="str">
        <f>"TOEIC à l'ENSAI le 19/05/2022: score 960    Bénéficiaire de la bourse d'état pour l'année 2022/2023.  Bénéficiaire de la bourse d'état pour l'année 2023/2024"</f>
        <v>TOEIC à l'ENSAI le 19/05/2022: score 960    Bénéficiaire de la bourse d'état pour l'année 2022/2023.  Bénéficiaire de la bourse d'état pour l'année 2023/2024</v>
      </c>
      <c r="W503">
        <v>0</v>
      </c>
      <c r="X503">
        <v>0</v>
      </c>
      <c r="Y503">
        <v>6000577</v>
      </c>
      <c r="Z503" t="str">
        <f>""</f>
        <v/>
      </c>
      <c r="AA503">
        <v>27</v>
      </c>
      <c r="AB503" t="str">
        <f>""</f>
        <v/>
      </c>
      <c r="AC503" t="str">
        <f>""</f>
        <v/>
      </c>
      <c r="AD503" t="str">
        <f>""</f>
        <v/>
      </c>
      <c r="AE503">
        <v>2019</v>
      </c>
      <c r="AF503">
        <v>2021</v>
      </c>
      <c r="AG503" t="str">
        <f>"Bruz"</f>
        <v>Bruz</v>
      </c>
      <c r="AH503" t="str">
        <f>"Bruz"</f>
        <v>Bruz</v>
      </c>
      <c r="AI503" t="str">
        <f>""</f>
        <v/>
      </c>
      <c r="AJ503" t="str">
        <f>""</f>
        <v/>
      </c>
      <c r="AK503" t="str">
        <f>""</f>
        <v/>
      </c>
      <c r="AL503">
        <v>0</v>
      </c>
      <c r="AM503" t="str">
        <f>""</f>
        <v/>
      </c>
      <c r="AN503" t="str">
        <f>""</f>
        <v/>
      </c>
      <c r="AO503" t="str">
        <f>"Lycee Birago Diop"</f>
        <v>Lycee Birago Diop</v>
      </c>
      <c r="AP503" t="str">
        <f>"DAKAR"</f>
        <v>DAKAR</v>
      </c>
      <c r="AQ503" t="str">
        <f>"Etranger"</f>
        <v>Etranger</v>
      </c>
    </row>
    <row r="504" spans="1:43" x14ac:dyDescent="0.25">
      <c r="A504" t="str">
        <f t="shared" si="92"/>
        <v>3A Ing sortant,T00000</v>
      </c>
      <c r="B504" t="str">
        <f>"MEGRET"</f>
        <v>MEGRET</v>
      </c>
      <c r="C504" t="str">
        <f>"Maud"</f>
        <v>Maud</v>
      </c>
      <c r="D504" t="str">
        <f>"021-1981"</f>
        <v>021-1981</v>
      </c>
      <c r="E504" t="str">
        <f>"081646722CB"</f>
        <v>081646722CB</v>
      </c>
      <c r="F504" t="str">
        <f t="shared" si="86"/>
        <v>0352480F</v>
      </c>
      <c r="G504" t="str">
        <f t="shared" si="87"/>
        <v>O</v>
      </c>
      <c r="H504">
        <v>10</v>
      </c>
      <c r="I504">
        <v>2001</v>
      </c>
      <c r="J504">
        <v>2</v>
      </c>
      <c r="K504" t="str">
        <f>"S"</f>
        <v>S</v>
      </c>
      <c r="L504">
        <v>18</v>
      </c>
      <c r="M504">
        <v>2018</v>
      </c>
      <c r="N504" t="str">
        <f t="shared" si="91"/>
        <v>E</v>
      </c>
      <c r="O504" t="str">
        <f>"D"</f>
        <v>D</v>
      </c>
      <c r="P504">
        <v>0</v>
      </c>
      <c r="Q504">
        <v>100</v>
      </c>
      <c r="R504">
        <v>100</v>
      </c>
      <c r="S504">
        <v>35170</v>
      </c>
      <c r="T504">
        <v>100</v>
      </c>
      <c r="U504">
        <v>35170</v>
      </c>
      <c r="V504" t="str">
        <f>"TOEIC à l'ENSAI le 19/05/2022: score 925"</f>
        <v>TOEIC à l'ENSAI le 19/05/2022: score 925</v>
      </c>
      <c r="W504">
        <v>23</v>
      </c>
      <c r="X504">
        <v>0</v>
      </c>
      <c r="Y504">
        <v>6000577</v>
      </c>
      <c r="Z504" t="str">
        <f>""</f>
        <v/>
      </c>
      <c r="AA504">
        <v>27</v>
      </c>
      <c r="AB504" t="str">
        <f>""</f>
        <v/>
      </c>
      <c r="AC504" t="str">
        <f>""</f>
        <v/>
      </c>
      <c r="AD504" t="str">
        <f>""</f>
        <v/>
      </c>
      <c r="AE504">
        <v>2018</v>
      </c>
      <c r="AF504">
        <v>2021</v>
      </c>
      <c r="AG504" t="str">
        <f>"BRUZ"</f>
        <v>BRUZ</v>
      </c>
      <c r="AH504" t="str">
        <f>"BRUZ"</f>
        <v>BRUZ</v>
      </c>
      <c r="AI504" t="str">
        <f>""</f>
        <v/>
      </c>
      <c r="AJ504" t="str">
        <f>""</f>
        <v/>
      </c>
      <c r="AK504" t="str">
        <f>""</f>
        <v/>
      </c>
      <c r="AL504">
        <v>22</v>
      </c>
      <c r="AM504" t="str">
        <f>""</f>
        <v/>
      </c>
      <c r="AN504" t="str">
        <f>""</f>
        <v/>
      </c>
      <c r="AO504" t="str">
        <f>"Marceau"</f>
        <v>Marceau</v>
      </c>
      <c r="AP504" t="str">
        <f>"CHARTRES"</f>
        <v>CHARTRES</v>
      </c>
      <c r="AQ504" t="str">
        <f>"Orléans-Tours"</f>
        <v>Orléans-Tours</v>
      </c>
    </row>
    <row r="505" spans="1:43" x14ac:dyDescent="0.25">
      <c r="A505" t="str">
        <f t="shared" si="92"/>
        <v>3A Ing sortant,T00000</v>
      </c>
      <c r="B505" t="str">
        <f>"MOHAMED"</f>
        <v>MOHAMED</v>
      </c>
      <c r="C505" t="str">
        <f>"Sania"</f>
        <v>Sania</v>
      </c>
      <c r="D505" t="str">
        <f>"021-2029"</f>
        <v>021-2029</v>
      </c>
      <c r="E505" t="str">
        <f>"153061271HD"</f>
        <v>153061271HD</v>
      </c>
      <c r="F505" t="str">
        <f t="shared" si="86"/>
        <v>0352480F</v>
      </c>
      <c r="G505" t="str">
        <f t="shared" si="87"/>
        <v>O</v>
      </c>
      <c r="H505">
        <v>10</v>
      </c>
      <c r="I505">
        <v>2000</v>
      </c>
      <c r="J505">
        <v>2</v>
      </c>
      <c r="K505" t="str">
        <f>"S"</f>
        <v>S</v>
      </c>
      <c r="L505">
        <v>24</v>
      </c>
      <c r="M505">
        <v>2018</v>
      </c>
      <c r="N505" t="str">
        <f t="shared" si="91"/>
        <v>E</v>
      </c>
      <c r="O505" t="str">
        <f>"D"</f>
        <v>D</v>
      </c>
      <c r="P505">
        <v>0</v>
      </c>
      <c r="Q505">
        <v>100</v>
      </c>
      <c r="R505">
        <v>100</v>
      </c>
      <c r="S505">
        <v>77540</v>
      </c>
      <c r="T505">
        <v>100</v>
      </c>
      <c r="U505">
        <v>77540</v>
      </c>
      <c r="V505" t="str">
        <f>"TOEIC 2A à l'ENSAI le 09/01/2023 - score 875"</f>
        <v>TOEIC 2A à l'ENSAI le 09/01/2023 - score 875</v>
      </c>
      <c r="W505">
        <v>34</v>
      </c>
      <c r="X505">
        <v>0</v>
      </c>
      <c r="Y505">
        <v>6000577</v>
      </c>
      <c r="Z505" t="str">
        <f>""</f>
        <v/>
      </c>
      <c r="AA505">
        <v>27</v>
      </c>
      <c r="AB505" t="str">
        <f>""</f>
        <v/>
      </c>
      <c r="AC505" t="str">
        <f>""</f>
        <v/>
      </c>
      <c r="AD505" t="str">
        <f>""</f>
        <v/>
      </c>
      <c r="AE505">
        <v>2018</v>
      </c>
      <c r="AF505">
        <v>2021</v>
      </c>
      <c r="AG505" t="str">
        <f>"Nesles"</f>
        <v>Nesles</v>
      </c>
      <c r="AH505" t="str">
        <f>"Nesles"</f>
        <v>Nesles</v>
      </c>
      <c r="AI505" t="str">
        <f>""</f>
        <v/>
      </c>
      <c r="AJ505" t="str">
        <f>""</f>
        <v/>
      </c>
      <c r="AK505" t="str">
        <f>""</f>
        <v/>
      </c>
      <c r="AL505">
        <v>37</v>
      </c>
      <c r="AM505" t="str">
        <f>""</f>
        <v/>
      </c>
      <c r="AN505" t="str">
        <f>""</f>
        <v/>
      </c>
      <c r="AO505" t="str">
        <f>"Lycée la Tour des Dames"</f>
        <v>Lycée la Tour des Dames</v>
      </c>
      <c r="AP505" t="str">
        <f>"ROZAY EN BRIE"</f>
        <v>ROZAY EN BRIE</v>
      </c>
      <c r="AQ505" t="str">
        <f>"Créteil"</f>
        <v>Créteil</v>
      </c>
    </row>
    <row r="506" spans="1:43" x14ac:dyDescent="0.25">
      <c r="A506" t="str">
        <f t="shared" si="92"/>
        <v>3A Ing sortant,T00000</v>
      </c>
      <c r="B506" t="str">
        <f>"MONTES"</f>
        <v>MONTES</v>
      </c>
      <c r="C506" t="str">
        <f>"Pierre"</f>
        <v>Pierre</v>
      </c>
      <c r="D506" t="str">
        <f>"020-1863"</f>
        <v>020-1863</v>
      </c>
      <c r="E506" t="str">
        <f>"153335487HG"</f>
        <v>153335487HG</v>
      </c>
      <c r="F506" t="str">
        <f t="shared" si="86"/>
        <v>0352480F</v>
      </c>
      <c r="G506" t="str">
        <f t="shared" si="87"/>
        <v>O</v>
      </c>
      <c r="H506">
        <v>10</v>
      </c>
      <c r="I506">
        <v>2000</v>
      </c>
      <c r="J506">
        <v>1</v>
      </c>
      <c r="K506" t="str">
        <f>"S"</f>
        <v>S</v>
      </c>
      <c r="L506">
        <v>4</v>
      </c>
      <c r="M506">
        <v>2018</v>
      </c>
      <c r="N506" t="str">
        <f t="shared" si="91"/>
        <v>E</v>
      </c>
      <c r="O506" t="str">
        <f>"D"</f>
        <v>D</v>
      </c>
      <c r="P506">
        <v>0</v>
      </c>
      <c r="Q506">
        <v>100</v>
      </c>
      <c r="R506">
        <v>100</v>
      </c>
      <c r="S506" t="str">
        <f>""</f>
        <v/>
      </c>
      <c r="T506">
        <v>100</v>
      </c>
      <c r="U506" t="str">
        <f>""</f>
        <v/>
      </c>
      <c r="V506" t="str">
        <f>"TEFL iBT score 86 = B2 level (passé le 10/11/2021) - équivalent 880 au TOEIC"</f>
        <v>TEFL iBT score 86 = B2 level (passé le 10/11/2021) - équivalent 880 au TOEIC</v>
      </c>
      <c r="W506">
        <v>38</v>
      </c>
      <c r="X506">
        <v>0</v>
      </c>
      <c r="Y506">
        <v>6000577</v>
      </c>
      <c r="Z506" t="str">
        <f>""</f>
        <v/>
      </c>
      <c r="AA506">
        <v>27</v>
      </c>
      <c r="AB506" t="str">
        <f>""</f>
        <v/>
      </c>
      <c r="AC506" t="str">
        <f>""</f>
        <v/>
      </c>
      <c r="AD506" t="str">
        <f>""</f>
        <v/>
      </c>
      <c r="AE506">
        <v>2018</v>
      </c>
      <c r="AF506">
        <v>2020</v>
      </c>
      <c r="AG506" t="str">
        <f>""</f>
        <v/>
      </c>
      <c r="AH506" t="str">
        <f>""</f>
        <v/>
      </c>
      <c r="AI506" t="str">
        <f>""</f>
        <v/>
      </c>
      <c r="AJ506" t="str">
        <f>""</f>
        <v/>
      </c>
      <c r="AK506" t="str">
        <f>""</f>
        <v/>
      </c>
      <c r="AL506">
        <v>34</v>
      </c>
      <c r="AM506" t="str">
        <f>""</f>
        <v/>
      </c>
      <c r="AN506" t="str">
        <f>""</f>
        <v/>
      </c>
      <c r="AO506" t="str">
        <f>"LPO Gustave Eiffel"</f>
        <v>LPO Gustave Eiffel</v>
      </c>
      <c r="AP506" t="str">
        <f>"BORDEAUX"</f>
        <v>BORDEAUX</v>
      </c>
      <c r="AQ506" t="str">
        <f>"Bordeaux"</f>
        <v>Bordeaux</v>
      </c>
    </row>
    <row r="507" spans="1:43" x14ac:dyDescent="0.25">
      <c r="A507" t="str">
        <f t="shared" si="92"/>
        <v>3A Ing sortant,T00000</v>
      </c>
      <c r="B507" t="str">
        <f>"MORVAN"</f>
        <v>MORVAN</v>
      </c>
      <c r="C507" t="str">
        <f>"Thomas"</f>
        <v>Thomas</v>
      </c>
      <c r="D507" t="str">
        <f>"021-1986"</f>
        <v>021-1986</v>
      </c>
      <c r="E507" t="str">
        <f>"080895884HK"</f>
        <v>080895884HK</v>
      </c>
      <c r="F507" t="str">
        <f t="shared" si="86"/>
        <v>0352480F</v>
      </c>
      <c r="G507" t="str">
        <f t="shared" si="87"/>
        <v>O</v>
      </c>
      <c r="H507">
        <v>10</v>
      </c>
      <c r="I507">
        <v>2000</v>
      </c>
      <c r="J507">
        <v>1</v>
      </c>
      <c r="K507" t="str">
        <f>"S"</f>
        <v>S</v>
      </c>
      <c r="L507">
        <v>14</v>
      </c>
      <c r="M507">
        <v>2018</v>
      </c>
      <c r="N507" t="str">
        <f t="shared" si="91"/>
        <v>E</v>
      </c>
      <c r="O507" t="str">
        <f>"A"</f>
        <v>A</v>
      </c>
      <c r="P507">
        <v>0</v>
      </c>
      <c r="Q507">
        <v>100</v>
      </c>
      <c r="R507">
        <v>100</v>
      </c>
      <c r="S507">
        <v>35170</v>
      </c>
      <c r="T507">
        <v>100</v>
      </c>
      <c r="U507">
        <v>35170</v>
      </c>
      <c r="V507" t="str">
        <f>""</f>
        <v/>
      </c>
      <c r="W507">
        <v>66</v>
      </c>
      <c r="X507">
        <v>0</v>
      </c>
      <c r="Y507">
        <v>6000577</v>
      </c>
      <c r="Z507" t="str">
        <f>""</f>
        <v/>
      </c>
      <c r="AA507">
        <v>27</v>
      </c>
      <c r="AB507" t="str">
        <f>""</f>
        <v/>
      </c>
      <c r="AC507" t="str">
        <f>""</f>
        <v/>
      </c>
      <c r="AD507" t="str">
        <f>""</f>
        <v/>
      </c>
      <c r="AE507">
        <v>2018</v>
      </c>
      <c r="AF507">
        <v>2021</v>
      </c>
      <c r="AG507" t="str">
        <f>"BRUZ"</f>
        <v>BRUZ</v>
      </c>
      <c r="AH507" t="str">
        <f>"BRUZ"</f>
        <v>BRUZ</v>
      </c>
      <c r="AI507" t="str">
        <f>""</f>
        <v/>
      </c>
      <c r="AJ507" t="str">
        <f>""</f>
        <v/>
      </c>
      <c r="AK507" t="str">
        <f>""</f>
        <v/>
      </c>
      <c r="AL507">
        <v>37</v>
      </c>
      <c r="AM507" t="str">
        <f>""</f>
        <v/>
      </c>
      <c r="AN507" t="str">
        <f>""</f>
        <v/>
      </c>
      <c r="AO507" t="str">
        <f>"Lycée Charles de Foucauld"</f>
        <v>Lycée Charles de Foucauld</v>
      </c>
      <c r="AP507" t="str">
        <f>"BREST"</f>
        <v>BREST</v>
      </c>
      <c r="AQ507" t="str">
        <f>"Rennes"</f>
        <v>Rennes</v>
      </c>
    </row>
    <row r="508" spans="1:43" x14ac:dyDescent="0.25">
      <c r="A508" t="str">
        <f t="shared" si="92"/>
        <v>3A Ing sortant,T00000</v>
      </c>
      <c r="B508" t="str">
        <f>"NEBANGA KANGA-NZANGA"</f>
        <v>NEBANGA KANGA-NZANGA</v>
      </c>
      <c r="C508" t="str">
        <f>"Cyrille"</f>
        <v>Cyrille</v>
      </c>
      <c r="D508" t="str">
        <f>"021-1970"</f>
        <v>021-1970</v>
      </c>
      <c r="E508" t="str">
        <f>"213147127KB"</f>
        <v>213147127KB</v>
      </c>
      <c r="F508" t="str">
        <f t="shared" si="86"/>
        <v>0352480F</v>
      </c>
      <c r="G508" t="str">
        <f t="shared" si="87"/>
        <v>O</v>
      </c>
      <c r="H508">
        <v>10</v>
      </c>
      <c r="I508">
        <v>1997</v>
      </c>
      <c r="J508">
        <v>1</v>
      </c>
      <c r="K508">
        <v>31</v>
      </c>
      <c r="L508">
        <v>0</v>
      </c>
      <c r="M508">
        <v>2016</v>
      </c>
      <c r="N508" t="str">
        <f t="shared" si="91"/>
        <v>E</v>
      </c>
      <c r="O508">
        <v>2</v>
      </c>
      <c r="P508">
        <v>0</v>
      </c>
      <c r="Q508">
        <v>323</v>
      </c>
      <c r="R508">
        <v>100</v>
      </c>
      <c r="S508">
        <v>35200</v>
      </c>
      <c r="T508">
        <v>100</v>
      </c>
      <c r="U508">
        <v>35200</v>
      </c>
      <c r="V508" t="str">
        <f>"TOEIC à l'ENSAI le 19/05/2022: score 955  Exonération des droits de Scolarité par O. BIAU le 11/10/2022  Exonération des droits de scolarité par la commission des bourses du 3/10/2023"</f>
        <v>TOEIC à l'ENSAI le 19/05/2022: score 955  Exonération des droits de Scolarité par O. BIAU le 11/10/2022  Exonération des droits de scolarité par la commission des bourses du 3/10/2023</v>
      </c>
      <c r="W508">
        <v>34</v>
      </c>
      <c r="X508">
        <v>0</v>
      </c>
      <c r="Y508">
        <v>6000577</v>
      </c>
      <c r="Z508" t="str">
        <f>""</f>
        <v/>
      </c>
      <c r="AA508">
        <v>27</v>
      </c>
      <c r="AB508" t="str">
        <f>""</f>
        <v/>
      </c>
      <c r="AC508" t="str">
        <f>""</f>
        <v/>
      </c>
      <c r="AD508" t="str">
        <f>""</f>
        <v/>
      </c>
      <c r="AE508">
        <v>2021</v>
      </c>
      <c r="AF508">
        <v>2021</v>
      </c>
      <c r="AG508" t="str">
        <f>"Rennes"</f>
        <v>Rennes</v>
      </c>
      <c r="AH508" t="str">
        <f>"Rennes"</f>
        <v>Rennes</v>
      </c>
      <c r="AI508" t="str">
        <f>""</f>
        <v/>
      </c>
      <c r="AJ508" t="str">
        <f>""</f>
        <v/>
      </c>
      <c r="AK508" t="str">
        <f>""</f>
        <v/>
      </c>
      <c r="AL508">
        <v>82</v>
      </c>
      <c r="AM508" t="str">
        <f>""</f>
        <v/>
      </c>
      <c r="AN508" t="str">
        <f>""</f>
        <v/>
      </c>
      <c r="AO508" t="str">
        <f>"LYCEE SCIENTIFIQUE BEN RACHID"</f>
        <v>LYCEE SCIENTIFIQUE BEN RACHID</v>
      </c>
      <c r="AP508" t="str">
        <f>"BANGUI"</f>
        <v>BANGUI</v>
      </c>
      <c r="AQ508" t="str">
        <f>"Etranger"</f>
        <v>Etranger</v>
      </c>
    </row>
    <row r="509" spans="1:43" x14ac:dyDescent="0.25">
      <c r="A509" t="str">
        <f t="shared" si="92"/>
        <v>3A Ing sortant,T00000</v>
      </c>
      <c r="B509" t="str">
        <f>"NOUZILLE"</f>
        <v>NOUZILLE</v>
      </c>
      <c r="C509" t="str">
        <f>"Lorie"</f>
        <v>Lorie</v>
      </c>
      <c r="D509" t="str">
        <f>"021-1930"</f>
        <v>021-1930</v>
      </c>
      <c r="E509" t="str">
        <f>"090667490FK"</f>
        <v>090667490FK</v>
      </c>
      <c r="F509" t="str">
        <f t="shared" si="86"/>
        <v>0352480F</v>
      </c>
      <c r="G509" t="str">
        <f t="shared" si="87"/>
        <v>O</v>
      </c>
      <c r="H509">
        <v>10</v>
      </c>
      <c r="I509">
        <v>2000</v>
      </c>
      <c r="J509">
        <v>2</v>
      </c>
      <c r="K509" t="str">
        <f>"S"</f>
        <v>S</v>
      </c>
      <c r="L509">
        <v>13</v>
      </c>
      <c r="M509">
        <v>2018</v>
      </c>
      <c r="N509" t="str">
        <f t="shared" si="91"/>
        <v>E</v>
      </c>
      <c r="O509" t="str">
        <f>"N"</f>
        <v>N</v>
      </c>
      <c r="P509">
        <v>0</v>
      </c>
      <c r="Q509">
        <v>100</v>
      </c>
      <c r="R509">
        <v>100</v>
      </c>
      <c r="S509">
        <v>35170</v>
      </c>
      <c r="T509">
        <v>100</v>
      </c>
      <c r="U509">
        <v>35170</v>
      </c>
      <c r="V509" t="str">
        <f>"TOEIC 2A à l'ENSAI le 09/01/2023 - score 890"</f>
        <v>TOEIC 2A à l'ENSAI le 09/01/2023 - score 890</v>
      </c>
      <c r="W509">
        <v>61</v>
      </c>
      <c r="X509">
        <v>0</v>
      </c>
      <c r="Y509">
        <v>6000577</v>
      </c>
      <c r="Z509" t="str">
        <f>""</f>
        <v/>
      </c>
      <c r="AA509">
        <v>27</v>
      </c>
      <c r="AB509" t="str">
        <f>""</f>
        <v/>
      </c>
      <c r="AC509" t="str">
        <f>""</f>
        <v/>
      </c>
      <c r="AD509" t="str">
        <f>""</f>
        <v/>
      </c>
      <c r="AE509">
        <v>2018</v>
      </c>
      <c r="AF509">
        <v>2021</v>
      </c>
      <c r="AG509" t="str">
        <f>"BRUZ"</f>
        <v>BRUZ</v>
      </c>
      <c r="AH509" t="str">
        <f>"BRUZ"</f>
        <v>BRUZ</v>
      </c>
      <c r="AI509" t="str">
        <f>""</f>
        <v/>
      </c>
      <c r="AJ509" t="str">
        <f>""</f>
        <v/>
      </c>
      <c r="AK509" t="str">
        <f>""</f>
        <v/>
      </c>
      <c r="AL509">
        <v>55</v>
      </c>
      <c r="AM509" t="str">
        <f>""</f>
        <v/>
      </c>
      <c r="AN509" t="str">
        <f>""</f>
        <v/>
      </c>
      <c r="AO509" t="str">
        <f>"Lycée Polyvalent Saint-André"</f>
        <v>Lycée Polyvalent Saint-André</v>
      </c>
      <c r="AP509" t="str">
        <f>"NIORT"</f>
        <v>NIORT</v>
      </c>
      <c r="AQ509" t="str">
        <f>"Poitiers"</f>
        <v>Poitiers</v>
      </c>
    </row>
    <row r="510" spans="1:43" x14ac:dyDescent="0.25">
      <c r="A510" t="str">
        <f t="shared" si="92"/>
        <v>3A Ing sortant,T00000</v>
      </c>
      <c r="B510" t="str">
        <f>"ONDO ASSOUMOU"</f>
        <v>ONDO ASSOUMOU</v>
      </c>
      <c r="C510" t="str">
        <f>"Samuel"</f>
        <v>Samuel</v>
      </c>
      <c r="D510" t="str">
        <f>"021-2014"</f>
        <v>021-2014</v>
      </c>
      <c r="E510" t="str">
        <f>"081375795CH"</f>
        <v>081375795CH</v>
      </c>
      <c r="F510" t="str">
        <f t="shared" si="86"/>
        <v>0352480F</v>
      </c>
      <c r="G510" t="str">
        <f t="shared" si="87"/>
        <v>O</v>
      </c>
      <c r="H510">
        <v>10</v>
      </c>
      <c r="I510">
        <v>2002</v>
      </c>
      <c r="J510">
        <v>1</v>
      </c>
      <c r="K510" t="str">
        <f>"ES"</f>
        <v>ES</v>
      </c>
      <c r="L510">
        <v>24</v>
      </c>
      <c r="M510">
        <v>2019</v>
      </c>
      <c r="N510" t="str">
        <f t="shared" si="91"/>
        <v>E</v>
      </c>
      <c r="O510" t="str">
        <f>"N"</f>
        <v>N</v>
      </c>
      <c r="P510">
        <v>0</v>
      </c>
      <c r="Q510">
        <v>100</v>
      </c>
      <c r="R510">
        <v>100</v>
      </c>
      <c r="S510">
        <v>35000</v>
      </c>
      <c r="T510">
        <v>100</v>
      </c>
      <c r="U510">
        <v>35000</v>
      </c>
      <c r="V510" t="str">
        <f>"TOEIC à l'ENSAI le 19/05/2022: score 935"</f>
        <v>TOEIC à l'ENSAI le 19/05/2022: score 935</v>
      </c>
      <c r="W510">
        <v>37</v>
      </c>
      <c r="X510">
        <v>0</v>
      </c>
      <c r="Y510">
        <v>6000577</v>
      </c>
      <c r="Z510" t="str">
        <f>""</f>
        <v/>
      </c>
      <c r="AA510">
        <v>27</v>
      </c>
      <c r="AB510" t="str">
        <f>""</f>
        <v/>
      </c>
      <c r="AC510" t="str">
        <f>""</f>
        <v/>
      </c>
      <c r="AD510" t="str">
        <f>""</f>
        <v/>
      </c>
      <c r="AE510">
        <v>2019</v>
      </c>
      <c r="AF510">
        <v>2021</v>
      </c>
      <c r="AG510" t="str">
        <f>"Rennes"</f>
        <v>Rennes</v>
      </c>
      <c r="AH510" t="str">
        <f>"Rennes"</f>
        <v>Rennes</v>
      </c>
      <c r="AI510" t="str">
        <f>""</f>
        <v/>
      </c>
      <c r="AJ510" t="str">
        <f>""</f>
        <v/>
      </c>
      <c r="AK510" t="str">
        <f>""</f>
        <v/>
      </c>
      <c r="AL510">
        <v>34</v>
      </c>
      <c r="AM510" t="str">
        <f>""</f>
        <v/>
      </c>
      <c r="AN510" t="str">
        <f>""</f>
        <v/>
      </c>
      <c r="AO510" t="str">
        <f>"Lycée Henri Wallon"</f>
        <v>Lycée Henri Wallon</v>
      </c>
      <c r="AP510" t="str">
        <f>"AUBERVILLIERS"</f>
        <v>AUBERVILLIERS</v>
      </c>
      <c r="AQ510" t="str">
        <f>"Créteil"</f>
        <v>Créteil</v>
      </c>
    </row>
    <row r="511" spans="1:43" x14ac:dyDescent="0.25">
      <c r="A511" t="str">
        <f t="shared" si="92"/>
        <v>3A Ing sortant,T00000</v>
      </c>
      <c r="B511" t="str">
        <f>"PARENT"</f>
        <v>PARENT</v>
      </c>
      <c r="C511" t="str">
        <f>"Matéo"</f>
        <v>Matéo</v>
      </c>
      <c r="D511" t="str">
        <f>"021-2093"</f>
        <v>021-2093</v>
      </c>
      <c r="E511" t="str">
        <f>"081712056GF"</f>
        <v>081712056GF</v>
      </c>
      <c r="F511" t="str">
        <f t="shared" si="86"/>
        <v>0352480F</v>
      </c>
      <c r="G511" t="str">
        <f t="shared" si="87"/>
        <v>O</v>
      </c>
      <c r="H511">
        <v>10</v>
      </c>
      <c r="I511">
        <v>2001</v>
      </c>
      <c r="J511">
        <v>1</v>
      </c>
      <c r="K511" t="str">
        <f>"S"</f>
        <v>S</v>
      </c>
      <c r="L511">
        <v>4</v>
      </c>
      <c r="M511">
        <v>2018</v>
      </c>
      <c r="N511" t="str">
        <f t="shared" si="91"/>
        <v>E</v>
      </c>
      <c r="O511" t="str">
        <f>"A"</f>
        <v>A</v>
      </c>
      <c r="P511">
        <v>0</v>
      </c>
      <c r="Q511">
        <v>100</v>
      </c>
      <c r="R511">
        <v>100</v>
      </c>
      <c r="S511">
        <v>35200</v>
      </c>
      <c r="T511">
        <v>100</v>
      </c>
      <c r="U511">
        <v>35200</v>
      </c>
      <c r="V511" t="str">
        <f>"TOEIC à l'ENSAI le 19/05/2022: score 950"</f>
        <v>TOEIC à l'ENSAI le 19/05/2022: score 950</v>
      </c>
      <c r="W511">
        <v>31</v>
      </c>
      <c r="X511">
        <v>0</v>
      </c>
      <c r="Y511">
        <v>6000577</v>
      </c>
      <c r="Z511" t="str">
        <f>""</f>
        <v/>
      </c>
      <c r="AA511">
        <v>27</v>
      </c>
      <c r="AB511" t="str">
        <f>""</f>
        <v/>
      </c>
      <c r="AC511" t="str">
        <f>""</f>
        <v/>
      </c>
      <c r="AD511" t="str">
        <f>""</f>
        <v/>
      </c>
      <c r="AE511">
        <v>2018</v>
      </c>
      <c r="AF511">
        <v>2021</v>
      </c>
      <c r="AG511" t="str">
        <f>"Rennes"</f>
        <v>Rennes</v>
      </c>
      <c r="AH511" t="str">
        <f>"Rennes"</f>
        <v>Rennes</v>
      </c>
      <c r="AI511" t="str">
        <f>""</f>
        <v/>
      </c>
      <c r="AJ511" t="str">
        <f>""</f>
        <v/>
      </c>
      <c r="AK511" t="str">
        <f>""</f>
        <v/>
      </c>
      <c r="AL511">
        <v>31</v>
      </c>
      <c r="AM511" t="str">
        <f>""</f>
        <v/>
      </c>
      <c r="AN511" t="str">
        <f>""</f>
        <v/>
      </c>
      <c r="AO511" t="str">
        <f>"Lycée Gaston Fébus"</f>
        <v>Lycée Gaston Fébus</v>
      </c>
      <c r="AP511" t="str">
        <f>"ORTHEZ"</f>
        <v>ORTHEZ</v>
      </c>
      <c r="AQ511" t="str">
        <f>"Bordeaux"</f>
        <v>Bordeaux</v>
      </c>
    </row>
    <row r="512" spans="1:43" x14ac:dyDescent="0.25">
      <c r="A512" t="str">
        <f t="shared" si="92"/>
        <v>3A Ing sortant,T00000</v>
      </c>
      <c r="B512" t="str">
        <f>"PHUNG-NGOC"</f>
        <v>PHUNG-NGOC</v>
      </c>
      <c r="C512" t="str">
        <f>"Clémentine"</f>
        <v>Clémentine</v>
      </c>
      <c r="D512" t="str">
        <f>"021-1950"</f>
        <v>021-1950</v>
      </c>
      <c r="E512" t="str">
        <f>"060976373FJ"</f>
        <v>060976373FJ</v>
      </c>
      <c r="F512" t="str">
        <f t="shared" si="86"/>
        <v>0352480F</v>
      </c>
      <c r="G512" t="str">
        <f t="shared" si="87"/>
        <v>O</v>
      </c>
      <c r="H512">
        <v>10</v>
      </c>
      <c r="I512">
        <v>2001</v>
      </c>
      <c r="J512">
        <v>2</v>
      </c>
      <c r="K512" t="str">
        <f>"S"</f>
        <v>S</v>
      </c>
      <c r="L512">
        <v>14</v>
      </c>
      <c r="M512">
        <v>2018</v>
      </c>
      <c r="N512" t="str">
        <f t="shared" si="91"/>
        <v>E</v>
      </c>
      <c r="O512" t="str">
        <f>"N"</f>
        <v>N</v>
      </c>
      <c r="P512">
        <v>0</v>
      </c>
      <c r="Q512">
        <v>100</v>
      </c>
      <c r="R512">
        <v>100</v>
      </c>
      <c r="S512">
        <v>35132</v>
      </c>
      <c r="T512">
        <v>100</v>
      </c>
      <c r="U512">
        <v>35132</v>
      </c>
      <c r="V512" t="str">
        <f>"TOEIC à l'ENSAI le 19/05/2022: score 990"</f>
        <v>TOEIC à l'ENSAI le 19/05/2022: score 990</v>
      </c>
      <c r="W512">
        <v>38</v>
      </c>
      <c r="X512">
        <v>0</v>
      </c>
      <c r="Y512">
        <v>6000577</v>
      </c>
      <c r="Z512" t="str">
        <f>""</f>
        <v/>
      </c>
      <c r="AA512">
        <v>27</v>
      </c>
      <c r="AB512" t="str">
        <f>""</f>
        <v/>
      </c>
      <c r="AC512" t="str">
        <f>""</f>
        <v/>
      </c>
      <c r="AD512" t="str">
        <f>""</f>
        <v/>
      </c>
      <c r="AE512">
        <v>2018</v>
      </c>
      <c r="AF512">
        <v>2021</v>
      </c>
      <c r="AG512" t="str">
        <f>"VEZIN-LE-COQUET"</f>
        <v>VEZIN-LE-COQUET</v>
      </c>
      <c r="AH512" t="str">
        <f>"VEZIN-LE-COQUET"</f>
        <v>VEZIN-LE-COQUET</v>
      </c>
      <c r="AI512" t="str">
        <f>""</f>
        <v/>
      </c>
      <c r="AJ512" t="str">
        <f>""</f>
        <v/>
      </c>
      <c r="AK512" t="str">
        <f>""</f>
        <v/>
      </c>
      <c r="AL512">
        <v>33</v>
      </c>
      <c r="AM512" t="str">
        <f>""</f>
        <v/>
      </c>
      <c r="AN512" t="str">
        <f>""</f>
        <v/>
      </c>
      <c r="AO512" t="str">
        <f>"LYCEE SAINT MARTIN QUARTIER SAINTE-ANNE"</f>
        <v>LYCEE SAINT MARTIN QUARTIER SAINTE-ANNE</v>
      </c>
      <c r="AP512" t="str">
        <f>"RENNES"</f>
        <v>RENNES</v>
      </c>
      <c r="AQ512" t="str">
        <f>"Rennes"</f>
        <v>Rennes</v>
      </c>
    </row>
    <row r="513" spans="1:43" x14ac:dyDescent="0.25">
      <c r="A513" t="str">
        <f t="shared" si="92"/>
        <v>3A Ing sortant,T00000</v>
      </c>
      <c r="B513" t="str">
        <f>"PLANCHON"</f>
        <v>PLANCHON</v>
      </c>
      <c r="C513" t="str">
        <f>"Julie"</f>
        <v>Julie</v>
      </c>
      <c r="D513" t="str">
        <f>"021-1929"</f>
        <v>021-1929</v>
      </c>
      <c r="E513" t="str">
        <f>"071620127BH"</f>
        <v>071620127BH</v>
      </c>
      <c r="F513" t="str">
        <f t="shared" si="86"/>
        <v>0352480F</v>
      </c>
      <c r="G513" t="str">
        <f t="shared" si="87"/>
        <v>O</v>
      </c>
      <c r="H513">
        <v>10</v>
      </c>
      <c r="I513">
        <v>2000</v>
      </c>
      <c r="J513">
        <v>2</v>
      </c>
      <c r="K513" t="str">
        <f>"S"</f>
        <v>S</v>
      </c>
      <c r="L513">
        <v>13</v>
      </c>
      <c r="M513">
        <v>2018</v>
      </c>
      <c r="N513" t="str">
        <f t="shared" si="91"/>
        <v>E</v>
      </c>
      <c r="O513" t="str">
        <f>"N"</f>
        <v>N</v>
      </c>
      <c r="P513">
        <v>0</v>
      </c>
      <c r="Q513">
        <v>100</v>
      </c>
      <c r="R513">
        <v>100</v>
      </c>
      <c r="S513">
        <v>35170</v>
      </c>
      <c r="T513">
        <v>100</v>
      </c>
      <c r="U513">
        <v>35170</v>
      </c>
      <c r="V513" t="str">
        <f>"TOEIC 2A à l'ENSAI : 755  TOEIC 3A à l'ENSAI le 23-01-2024 : score 785 (B2)"</f>
        <v>TOEIC 2A à l'ENSAI : 755  TOEIC 3A à l'ENSAI le 23-01-2024 : score 785 (B2)</v>
      </c>
      <c r="W513">
        <v>82</v>
      </c>
      <c r="X513">
        <v>0</v>
      </c>
      <c r="Y513">
        <v>6000577</v>
      </c>
      <c r="Z513" t="str">
        <f>""</f>
        <v/>
      </c>
      <c r="AA513">
        <v>27</v>
      </c>
      <c r="AB513" t="str">
        <f>""</f>
        <v/>
      </c>
      <c r="AC513" t="str">
        <f>""</f>
        <v/>
      </c>
      <c r="AD513" t="str">
        <f>""</f>
        <v/>
      </c>
      <c r="AE513">
        <v>2018</v>
      </c>
      <c r="AF513">
        <v>2021</v>
      </c>
      <c r="AG513" t="str">
        <f>"Bruz"</f>
        <v>Bruz</v>
      </c>
      <c r="AH513" t="str">
        <f>"Bruz"</f>
        <v>Bruz</v>
      </c>
      <c r="AI513" t="str">
        <f>""</f>
        <v/>
      </c>
      <c r="AJ513" t="str">
        <f>""</f>
        <v/>
      </c>
      <c r="AK513" t="str">
        <f>""</f>
        <v/>
      </c>
      <c r="AL513">
        <v>52</v>
      </c>
      <c r="AM513" t="str">
        <f>""</f>
        <v/>
      </c>
      <c r="AN513" t="str">
        <f>""</f>
        <v/>
      </c>
      <c r="AO513" t="str">
        <f>"Lycée Général et Technologique de la Venise Verte"</f>
        <v>Lycée Général et Technologique de la Venise Verte</v>
      </c>
      <c r="AP513" t="str">
        <f>"NIORT"</f>
        <v>NIORT</v>
      </c>
      <c r="AQ513" t="str">
        <f>"Poitiers"</f>
        <v>Poitiers</v>
      </c>
    </row>
    <row r="514" spans="1:43" x14ac:dyDescent="0.25">
      <c r="A514" t="str">
        <f t="shared" si="92"/>
        <v>3A Ing sortant,T00000</v>
      </c>
      <c r="B514" t="str">
        <f>"PLAYS"</f>
        <v>PLAYS</v>
      </c>
      <c r="C514" t="str">
        <f>"Calvin"</f>
        <v>Calvin</v>
      </c>
      <c r="D514" t="str">
        <f>"022-2177"</f>
        <v>022-2177</v>
      </c>
      <c r="E514" t="str">
        <f>"070937627CF"</f>
        <v>070937627CF</v>
      </c>
      <c r="F514" t="str">
        <f t="shared" ref="F514:F577" si="95">"0352480F"</f>
        <v>0352480F</v>
      </c>
      <c r="G514" t="str">
        <f t="shared" ref="G514:G577" si="96">"O"</f>
        <v>O</v>
      </c>
      <c r="H514">
        <v>10</v>
      </c>
      <c r="I514">
        <v>2000</v>
      </c>
      <c r="J514">
        <v>1</v>
      </c>
      <c r="K514" t="str">
        <f>"S"</f>
        <v>S</v>
      </c>
      <c r="L514">
        <v>14</v>
      </c>
      <c r="M514">
        <v>2018</v>
      </c>
      <c r="N514" t="str">
        <f t="shared" si="91"/>
        <v>E</v>
      </c>
      <c r="O514" t="str">
        <f>"A"</f>
        <v>A</v>
      </c>
      <c r="P514">
        <v>0</v>
      </c>
      <c r="Q514">
        <v>100</v>
      </c>
      <c r="R514">
        <v>100</v>
      </c>
      <c r="S514">
        <v>35230</v>
      </c>
      <c r="T514">
        <v>100</v>
      </c>
      <c r="U514">
        <v>35230</v>
      </c>
      <c r="V514" t="str">
        <f>"POE : validé, à l'INSA du 28/02 au 17/06/22  TOEIC 2A à l'ENSAI le 09/01/2023 - score 985"</f>
        <v>POE : validé, à l'INSA du 28/02 au 17/06/22  TOEIC 2A à l'ENSAI le 09/01/2023 - score 985</v>
      </c>
      <c r="W514">
        <v>33</v>
      </c>
      <c r="X514">
        <v>0</v>
      </c>
      <c r="Y514">
        <v>6000577</v>
      </c>
      <c r="Z514" t="str">
        <f>""</f>
        <v/>
      </c>
      <c r="AA514">
        <v>27</v>
      </c>
      <c r="AB514" t="str">
        <f>""</f>
        <v/>
      </c>
      <c r="AC514" t="str">
        <f>""</f>
        <v/>
      </c>
      <c r="AD514" t="str">
        <f>""</f>
        <v/>
      </c>
      <c r="AE514">
        <v>2018</v>
      </c>
      <c r="AF514">
        <v>2022</v>
      </c>
      <c r="AG514" t="str">
        <f>"Saint-Armel"</f>
        <v>Saint-Armel</v>
      </c>
      <c r="AH514" t="str">
        <f>"Saint-Armel"</f>
        <v>Saint-Armel</v>
      </c>
      <c r="AI514" t="str">
        <f>""</f>
        <v/>
      </c>
      <c r="AJ514" t="str">
        <f>""</f>
        <v/>
      </c>
      <c r="AK514" t="str">
        <f>""</f>
        <v/>
      </c>
      <c r="AL514">
        <v>38</v>
      </c>
      <c r="AM514" t="str">
        <f>""</f>
        <v/>
      </c>
      <c r="AN514" t="str">
        <f>""</f>
        <v/>
      </c>
      <c r="AO514" t="str">
        <f>"René Descartes"</f>
        <v>René Descartes</v>
      </c>
      <c r="AP514" t="str">
        <f>"RENNES"</f>
        <v>RENNES</v>
      </c>
      <c r="AQ514" t="str">
        <f>"Rennes"</f>
        <v>Rennes</v>
      </c>
    </row>
    <row r="515" spans="1:43" x14ac:dyDescent="0.25">
      <c r="A515" t="str">
        <f t="shared" si="92"/>
        <v>3A Ing sortant,T00000</v>
      </c>
      <c r="B515" t="str">
        <f>"PUCHALSKI"</f>
        <v>PUCHALSKI</v>
      </c>
      <c r="C515" t="str">
        <f>"Eva"</f>
        <v>Eva</v>
      </c>
      <c r="D515" t="str">
        <f>"021-1932"</f>
        <v>021-1932</v>
      </c>
      <c r="E515" t="str">
        <f>"070031765AE"</f>
        <v>070031765AE</v>
      </c>
      <c r="F515" t="str">
        <f t="shared" si="95"/>
        <v>0352480F</v>
      </c>
      <c r="G515" t="str">
        <f t="shared" si="96"/>
        <v>O</v>
      </c>
      <c r="H515">
        <v>10</v>
      </c>
      <c r="I515">
        <v>2000</v>
      </c>
      <c r="J515">
        <v>2</v>
      </c>
      <c r="K515" t="str">
        <f>"S"</f>
        <v>S</v>
      </c>
      <c r="L515">
        <v>5</v>
      </c>
      <c r="M515">
        <v>2018</v>
      </c>
      <c r="N515" t="str">
        <f t="shared" si="91"/>
        <v>E</v>
      </c>
      <c r="O515" t="str">
        <f>"N"</f>
        <v>N</v>
      </c>
      <c r="P515">
        <v>0</v>
      </c>
      <c r="Q515">
        <v>100</v>
      </c>
      <c r="R515">
        <v>100</v>
      </c>
      <c r="S515">
        <v>35170</v>
      </c>
      <c r="T515">
        <v>100</v>
      </c>
      <c r="U515">
        <v>35170</v>
      </c>
      <c r="V515" t="str">
        <f>"TOEIC à l'ENSAI le 19/05/2022: score 925"</f>
        <v>TOEIC à l'ENSAI le 19/05/2022: score 925</v>
      </c>
      <c r="W515">
        <v>33</v>
      </c>
      <c r="X515">
        <v>0</v>
      </c>
      <c r="Y515">
        <v>6000577</v>
      </c>
      <c r="Z515" t="str">
        <f>""</f>
        <v/>
      </c>
      <c r="AA515">
        <v>27</v>
      </c>
      <c r="AB515" t="str">
        <f>""</f>
        <v/>
      </c>
      <c r="AC515" t="str">
        <f>""</f>
        <v/>
      </c>
      <c r="AD515" t="str">
        <f>""</f>
        <v/>
      </c>
      <c r="AE515">
        <v>2018</v>
      </c>
      <c r="AF515">
        <v>2021</v>
      </c>
      <c r="AG515" t="str">
        <f>"BRUZ"</f>
        <v>BRUZ</v>
      </c>
      <c r="AH515" t="str">
        <f>"BRUZ"</f>
        <v>BRUZ</v>
      </c>
      <c r="AI515" t="str">
        <f>""</f>
        <v/>
      </c>
      <c r="AJ515" t="str">
        <f>""</f>
        <v/>
      </c>
      <c r="AK515" t="str">
        <f>""</f>
        <v/>
      </c>
      <c r="AL515">
        <v>33</v>
      </c>
      <c r="AM515" t="str">
        <f>""</f>
        <v/>
      </c>
      <c r="AN515" t="str">
        <f>""</f>
        <v/>
      </c>
      <c r="AO515" t="str">
        <f>"Lycée Général Victor Hugo"</f>
        <v>Lycée Général Victor Hugo</v>
      </c>
      <c r="AP515" t="str">
        <f>"CAEN"</f>
        <v>CAEN</v>
      </c>
      <c r="AQ515" t="str">
        <f>"Caen"</f>
        <v>Caen</v>
      </c>
    </row>
    <row r="516" spans="1:43" x14ac:dyDescent="0.25">
      <c r="A516" t="str">
        <f t="shared" si="92"/>
        <v>3A Ing sortant,T00000</v>
      </c>
      <c r="B516" t="str">
        <f>"RAHALI"</f>
        <v>RAHALI</v>
      </c>
      <c r="C516" t="str">
        <f>"Diaa"</f>
        <v>Diaa</v>
      </c>
      <c r="D516" t="str">
        <f>"021-2007"</f>
        <v>021-2007</v>
      </c>
      <c r="E516" t="str">
        <f>"213147128KA"</f>
        <v>213147128KA</v>
      </c>
      <c r="F516" t="str">
        <f t="shared" si="95"/>
        <v>0352480F</v>
      </c>
      <c r="G516" t="str">
        <f t="shared" si="96"/>
        <v>O</v>
      </c>
      <c r="H516">
        <v>10</v>
      </c>
      <c r="I516">
        <v>2000</v>
      </c>
      <c r="J516">
        <v>2</v>
      </c>
      <c r="K516">
        <v>31</v>
      </c>
      <c r="L516">
        <v>0</v>
      </c>
      <c r="M516">
        <v>2018</v>
      </c>
      <c r="N516" t="str">
        <f t="shared" si="91"/>
        <v>E</v>
      </c>
      <c r="O516">
        <v>2</v>
      </c>
      <c r="P516">
        <v>0</v>
      </c>
      <c r="Q516">
        <v>350</v>
      </c>
      <c r="R516">
        <v>100</v>
      </c>
      <c r="S516">
        <v>35170</v>
      </c>
      <c r="T516">
        <v>100</v>
      </c>
      <c r="U516">
        <v>35170</v>
      </c>
      <c r="V516" t="str">
        <f>"TOEIC 3A à l'ENSAI le 23-01-2024 : score 925 (B2)"</f>
        <v>TOEIC 3A à l'ENSAI le 23-01-2024 : score 925 (B2)</v>
      </c>
      <c r="W516">
        <v>73</v>
      </c>
      <c r="X516">
        <v>0</v>
      </c>
      <c r="Y516">
        <v>6000577</v>
      </c>
      <c r="Z516" t="str">
        <f>""</f>
        <v/>
      </c>
      <c r="AA516">
        <v>27</v>
      </c>
      <c r="AB516" t="str">
        <f>""</f>
        <v/>
      </c>
      <c r="AC516" t="str">
        <f>""</f>
        <v/>
      </c>
      <c r="AD516" t="str">
        <f>""</f>
        <v/>
      </c>
      <c r="AE516">
        <v>2021</v>
      </c>
      <c r="AF516">
        <v>2021</v>
      </c>
      <c r="AG516" t="str">
        <f>"Bruz"</f>
        <v>Bruz</v>
      </c>
      <c r="AH516" t="str">
        <f>"Bruz"</f>
        <v>Bruz</v>
      </c>
      <c r="AI516" t="str">
        <f>""</f>
        <v/>
      </c>
      <c r="AJ516" t="str">
        <f>""</f>
        <v/>
      </c>
      <c r="AK516" t="str">
        <f>""</f>
        <v/>
      </c>
      <c r="AL516">
        <v>33</v>
      </c>
      <c r="AM516" t="str">
        <f>""</f>
        <v/>
      </c>
      <c r="AN516" t="str">
        <f>""</f>
        <v/>
      </c>
      <c r="AO516" t="str">
        <f>"Groupe scolaire Atlas"</f>
        <v>Groupe scolaire Atlas</v>
      </c>
      <c r="AP516" t="str">
        <f>"RABAT"</f>
        <v>RABAT</v>
      </c>
      <c r="AQ516" t="str">
        <f>"Etranger"</f>
        <v>Etranger</v>
      </c>
    </row>
    <row r="517" spans="1:43" x14ac:dyDescent="0.25">
      <c r="A517" t="str">
        <f t="shared" si="92"/>
        <v>3A Ing sortant,T00000</v>
      </c>
      <c r="B517" t="str">
        <f>"REDON"</f>
        <v>REDON</v>
      </c>
      <c r="C517" t="str">
        <f>"Gabrielle"</f>
        <v>Gabrielle</v>
      </c>
      <c r="D517" t="str">
        <f>"021-1995"</f>
        <v>021-1995</v>
      </c>
      <c r="E517" t="str">
        <f>"081377175AF"</f>
        <v>081377175AF</v>
      </c>
      <c r="F517" t="str">
        <f t="shared" si="95"/>
        <v>0352480F</v>
      </c>
      <c r="G517" t="str">
        <f t="shared" si="96"/>
        <v>O</v>
      </c>
      <c r="H517">
        <v>10</v>
      </c>
      <c r="I517">
        <v>2001</v>
      </c>
      <c r="J517">
        <v>2</v>
      </c>
      <c r="K517" t="str">
        <f>"S"</f>
        <v>S</v>
      </c>
      <c r="L517">
        <v>9</v>
      </c>
      <c r="M517">
        <v>2019</v>
      </c>
      <c r="N517" t="str">
        <f t="shared" si="91"/>
        <v>E</v>
      </c>
      <c r="O517" t="str">
        <f>"D"</f>
        <v>D</v>
      </c>
      <c r="P517">
        <v>0</v>
      </c>
      <c r="Q517">
        <v>100</v>
      </c>
      <c r="R517">
        <v>100</v>
      </c>
      <c r="S517">
        <v>35170</v>
      </c>
      <c r="T517">
        <v>100</v>
      </c>
      <c r="U517">
        <v>35170</v>
      </c>
      <c r="V517" t="str">
        <f>"TOEIC à l'ENSAI le 19/05/2022: score 980"</f>
        <v>TOEIC à l'ENSAI le 19/05/2022: score 980</v>
      </c>
      <c r="W517">
        <v>34</v>
      </c>
      <c r="X517">
        <v>0</v>
      </c>
      <c r="Y517">
        <v>6000577</v>
      </c>
      <c r="Z517" t="str">
        <f>""</f>
        <v/>
      </c>
      <c r="AA517">
        <v>27</v>
      </c>
      <c r="AB517" t="str">
        <f>""</f>
        <v/>
      </c>
      <c r="AC517" t="str">
        <f>""</f>
        <v/>
      </c>
      <c r="AD517" t="str">
        <f>""</f>
        <v/>
      </c>
      <c r="AE517">
        <v>2019</v>
      </c>
      <c r="AF517">
        <v>2021</v>
      </c>
      <c r="AG517" t="str">
        <f>"BRUZ"</f>
        <v>BRUZ</v>
      </c>
      <c r="AH517" t="str">
        <f>"BRUZ"</f>
        <v>BRUZ</v>
      </c>
      <c r="AI517" t="str">
        <f>""</f>
        <v/>
      </c>
      <c r="AJ517" t="str">
        <f>""</f>
        <v/>
      </c>
      <c r="AK517" t="str">
        <f>""</f>
        <v/>
      </c>
      <c r="AL517">
        <v>34</v>
      </c>
      <c r="AM517" t="str">
        <f>""</f>
        <v/>
      </c>
      <c r="AN517" t="str">
        <f>""</f>
        <v/>
      </c>
      <c r="AO517" t="str">
        <f>"Fénelon"</f>
        <v>Fénelon</v>
      </c>
      <c r="AP517" t="str">
        <f>"LILLE"</f>
        <v>LILLE</v>
      </c>
      <c r="AQ517" t="str">
        <f>"Lille"</f>
        <v>Lille</v>
      </c>
    </row>
    <row r="518" spans="1:43" x14ac:dyDescent="0.25">
      <c r="A518" t="str">
        <f t="shared" si="92"/>
        <v>3A Ing sortant,T00000</v>
      </c>
      <c r="B518" t="str">
        <f>"RODET"</f>
        <v>RODET</v>
      </c>
      <c r="C518" t="str">
        <f>"Nolwen"</f>
        <v>Nolwen</v>
      </c>
      <c r="D518" t="str">
        <f>"020-1830"</f>
        <v>020-1830</v>
      </c>
      <c r="E518" t="str">
        <f>"072032710HC"</f>
        <v>072032710HC</v>
      </c>
      <c r="F518" t="str">
        <f t="shared" si="95"/>
        <v>0352480F</v>
      </c>
      <c r="G518" t="str">
        <f t="shared" si="96"/>
        <v>O</v>
      </c>
      <c r="H518">
        <v>10</v>
      </c>
      <c r="I518">
        <v>2000</v>
      </c>
      <c r="J518">
        <v>2</v>
      </c>
      <c r="K518" t="str">
        <f>"ES"</f>
        <v>ES</v>
      </c>
      <c r="L518">
        <v>8</v>
      </c>
      <c r="M518">
        <v>2018</v>
      </c>
      <c r="N518" t="str">
        <f t="shared" si="91"/>
        <v>E</v>
      </c>
      <c r="O518" t="str">
        <f>"D"</f>
        <v>D</v>
      </c>
      <c r="P518">
        <v>0</v>
      </c>
      <c r="Q518">
        <v>100</v>
      </c>
      <c r="R518">
        <v>100</v>
      </c>
      <c r="S518">
        <v>35200</v>
      </c>
      <c r="T518">
        <v>100</v>
      </c>
      <c r="U518">
        <v>35200</v>
      </c>
      <c r="V518" t="str">
        <f>"TOEIC 3A à l'ENSAI le 23-01-2024 : score 925 (B2)"</f>
        <v>TOEIC 3A à l'ENSAI le 23-01-2024 : score 925 (B2)</v>
      </c>
      <c r="W518">
        <v>37</v>
      </c>
      <c r="X518">
        <v>0</v>
      </c>
      <c r="Y518">
        <v>6000577</v>
      </c>
      <c r="Z518" t="str">
        <f>""</f>
        <v/>
      </c>
      <c r="AA518">
        <v>27</v>
      </c>
      <c r="AB518" t="str">
        <f>""</f>
        <v/>
      </c>
      <c r="AC518" t="str">
        <f>""</f>
        <v/>
      </c>
      <c r="AD518" t="str">
        <f>""</f>
        <v/>
      </c>
      <c r="AE518">
        <v>2018</v>
      </c>
      <c r="AF518">
        <v>2020</v>
      </c>
      <c r="AG518" t="str">
        <f>"Rennes"</f>
        <v>Rennes</v>
      </c>
      <c r="AH518" t="str">
        <f>"Rennes"</f>
        <v>Rennes</v>
      </c>
      <c r="AI518" t="str">
        <f>""</f>
        <v/>
      </c>
      <c r="AJ518" t="str">
        <f>""</f>
        <v/>
      </c>
      <c r="AK518" t="str">
        <f>""</f>
        <v/>
      </c>
      <c r="AL518">
        <v>21</v>
      </c>
      <c r="AM518" t="str">
        <f>""</f>
        <v/>
      </c>
      <c r="AN518" t="str">
        <f>""</f>
        <v/>
      </c>
      <c r="AO518" t="str">
        <f>"Lycée du Granier"</f>
        <v>Lycée du Granier</v>
      </c>
      <c r="AP518" t="str">
        <f>"LA RAVOIRE"</f>
        <v>LA RAVOIRE</v>
      </c>
      <c r="AQ518" t="str">
        <f>"Grenoble"</f>
        <v>Grenoble</v>
      </c>
    </row>
    <row r="519" spans="1:43" x14ac:dyDescent="0.25">
      <c r="A519" t="str">
        <f t="shared" si="92"/>
        <v>3A Ing sortant,T00000</v>
      </c>
      <c r="B519" t="str">
        <f>"SANDJA"</f>
        <v>SANDJA</v>
      </c>
      <c r="C519" t="str">
        <f>"Nathan"</f>
        <v>Nathan</v>
      </c>
      <c r="D519" t="str">
        <f>"021-2011"</f>
        <v>021-2011</v>
      </c>
      <c r="E519" t="str">
        <f>"081885909DG"</f>
        <v>081885909DG</v>
      </c>
      <c r="F519" t="str">
        <f t="shared" si="95"/>
        <v>0352480F</v>
      </c>
      <c r="G519" t="str">
        <f t="shared" si="96"/>
        <v>O</v>
      </c>
      <c r="H519">
        <v>10</v>
      </c>
      <c r="I519">
        <v>2001</v>
      </c>
      <c r="J519">
        <v>1</v>
      </c>
      <c r="K519" t="str">
        <f>"S"</f>
        <v>S</v>
      </c>
      <c r="L519">
        <v>24</v>
      </c>
      <c r="M519">
        <v>2019</v>
      </c>
      <c r="N519" t="str">
        <f t="shared" si="91"/>
        <v>E</v>
      </c>
      <c r="O519" t="str">
        <f>"D"</f>
        <v>D</v>
      </c>
      <c r="P519">
        <v>0</v>
      </c>
      <c r="Q519">
        <v>100</v>
      </c>
      <c r="R519">
        <v>100</v>
      </c>
      <c r="S519">
        <v>35000</v>
      </c>
      <c r="T519">
        <v>100</v>
      </c>
      <c r="U519">
        <v>35000</v>
      </c>
      <c r="V519" t="str">
        <f>""</f>
        <v/>
      </c>
      <c r="W519">
        <v>66</v>
      </c>
      <c r="X519">
        <v>0</v>
      </c>
      <c r="Y519">
        <v>6000577</v>
      </c>
      <c r="Z519" t="str">
        <f>""</f>
        <v/>
      </c>
      <c r="AA519">
        <v>27</v>
      </c>
      <c r="AB519" t="str">
        <f>""</f>
        <v/>
      </c>
      <c r="AC519" t="str">
        <f>""</f>
        <v/>
      </c>
      <c r="AD519" t="str">
        <f>""</f>
        <v/>
      </c>
      <c r="AE519">
        <v>2019</v>
      </c>
      <c r="AF519">
        <v>2021</v>
      </c>
      <c r="AG519" t="str">
        <f>"Rennes"</f>
        <v>Rennes</v>
      </c>
      <c r="AH519" t="str">
        <f>"Rennes"</f>
        <v>Rennes</v>
      </c>
      <c r="AI519" t="str">
        <f>""</f>
        <v/>
      </c>
      <c r="AJ519" t="str">
        <f>""</f>
        <v/>
      </c>
      <c r="AK519" t="str">
        <f>""</f>
        <v/>
      </c>
      <c r="AL519">
        <v>66</v>
      </c>
      <c r="AM519" t="str">
        <f>""</f>
        <v/>
      </c>
      <c r="AN519" t="str">
        <f>""</f>
        <v/>
      </c>
      <c r="AO519" t="str">
        <f>"Voillaume"</f>
        <v>Voillaume</v>
      </c>
      <c r="AP519" t="str">
        <f>"AULNAY-SOUS-BOIS"</f>
        <v>AULNAY-SOUS-BOIS</v>
      </c>
      <c r="AQ519" t="str">
        <f>"Créteil"</f>
        <v>Créteil</v>
      </c>
    </row>
    <row r="520" spans="1:43" x14ac:dyDescent="0.25">
      <c r="A520" t="str">
        <f t="shared" si="92"/>
        <v>3A Ing sortant,T00000</v>
      </c>
      <c r="B520" t="str">
        <f>"SAWADOGO"</f>
        <v>SAWADOGO</v>
      </c>
      <c r="C520" t="str">
        <f>"Julien"</f>
        <v>Julien</v>
      </c>
      <c r="D520" t="str">
        <f>"022-2167"</f>
        <v>022-2167</v>
      </c>
      <c r="E520" t="str">
        <f>"213435973BE"</f>
        <v>213435973BE</v>
      </c>
      <c r="F520" t="str">
        <f t="shared" si="95"/>
        <v>0352480F</v>
      </c>
      <c r="G520" t="str">
        <f t="shared" si="96"/>
        <v>O</v>
      </c>
      <c r="H520">
        <v>10</v>
      </c>
      <c r="I520">
        <v>1997</v>
      </c>
      <c r="J520">
        <v>1</v>
      </c>
      <c r="K520" t="str">
        <f>"C"</f>
        <v>C</v>
      </c>
      <c r="L520">
        <v>0</v>
      </c>
      <c r="M520">
        <v>2016</v>
      </c>
      <c r="N520" t="str">
        <f t="shared" si="91"/>
        <v>E</v>
      </c>
      <c r="O520">
        <v>2</v>
      </c>
      <c r="P520">
        <v>0</v>
      </c>
      <c r="Q520">
        <v>331</v>
      </c>
      <c r="R520">
        <v>100</v>
      </c>
      <c r="S520">
        <v>35170</v>
      </c>
      <c r="T520">
        <v>100</v>
      </c>
      <c r="U520">
        <v>35170</v>
      </c>
      <c r="V520" t="str">
        <f>"TOEIC 2A à l'ENSAI le 09/01/2023 - score 745"</f>
        <v>TOEIC 2A à l'ENSAI le 09/01/2023 - score 745</v>
      </c>
      <c r="W520">
        <v>81</v>
      </c>
      <c r="X520">
        <v>0</v>
      </c>
      <c r="Y520">
        <v>6000577</v>
      </c>
      <c r="Z520" t="str">
        <f>""</f>
        <v/>
      </c>
      <c r="AA520">
        <v>27</v>
      </c>
      <c r="AB520" t="str">
        <f>""</f>
        <v/>
      </c>
      <c r="AC520" t="str">
        <f>""</f>
        <v/>
      </c>
      <c r="AD520" t="str">
        <f>""</f>
        <v/>
      </c>
      <c r="AE520">
        <v>2022</v>
      </c>
      <c r="AF520">
        <v>2022</v>
      </c>
      <c r="AG520" t="str">
        <f>"BRUZ"</f>
        <v>BRUZ</v>
      </c>
      <c r="AH520" t="str">
        <f>"BRUZ"</f>
        <v>BRUZ</v>
      </c>
      <c r="AI520" t="str">
        <f>""</f>
        <v/>
      </c>
      <c r="AJ520" t="str">
        <f>""</f>
        <v/>
      </c>
      <c r="AK520" t="str">
        <f>""</f>
        <v/>
      </c>
      <c r="AL520">
        <v>99</v>
      </c>
      <c r="AM520" t="str">
        <f>""</f>
        <v/>
      </c>
      <c r="AN520" t="str">
        <f>""</f>
        <v/>
      </c>
      <c r="AO520" t="str">
        <f>"Lycée Moderne Arsène Assouan Usher"</f>
        <v>Lycée Moderne Arsène Assouan Usher</v>
      </c>
      <c r="AP520" t="str">
        <f>"GRAND-LAHOU"</f>
        <v>GRAND-LAHOU</v>
      </c>
      <c r="AQ520" t="str">
        <f>"Etranger"</f>
        <v>Etranger</v>
      </c>
    </row>
    <row r="521" spans="1:43" x14ac:dyDescent="0.25">
      <c r="A521" t="str">
        <f t="shared" si="92"/>
        <v>3A Ing sortant,T00000</v>
      </c>
      <c r="B521" t="str">
        <f>"SCHOPPER"</f>
        <v>SCHOPPER</v>
      </c>
      <c r="C521" t="str">
        <f>"Hélène"</f>
        <v>Hélène</v>
      </c>
      <c r="D521" t="str">
        <f>"021-1968"</f>
        <v>021-1968</v>
      </c>
      <c r="E521" t="str">
        <f>"061095636AJ"</f>
        <v>061095636AJ</v>
      </c>
      <c r="F521" t="str">
        <f t="shared" si="95"/>
        <v>0352480F</v>
      </c>
      <c r="G521" t="str">
        <f t="shared" si="96"/>
        <v>O</v>
      </c>
      <c r="H521">
        <v>10</v>
      </c>
      <c r="I521">
        <v>2001</v>
      </c>
      <c r="J521">
        <v>2</v>
      </c>
      <c r="K521" t="str">
        <f>"S"</f>
        <v>S</v>
      </c>
      <c r="L521">
        <v>18</v>
      </c>
      <c r="M521">
        <v>2019</v>
      </c>
      <c r="N521" t="str">
        <f t="shared" si="91"/>
        <v>E</v>
      </c>
      <c r="O521" t="str">
        <f>"C"</f>
        <v>C</v>
      </c>
      <c r="P521">
        <v>0</v>
      </c>
      <c r="Q521">
        <v>100</v>
      </c>
      <c r="R521">
        <v>100</v>
      </c>
      <c r="S521">
        <v>35170</v>
      </c>
      <c r="T521">
        <v>100</v>
      </c>
      <c r="U521">
        <v>35170</v>
      </c>
      <c r="V521" t="str">
        <f>"TOEIC à l'ENSAI le 19/05/2022: score 900"</f>
        <v>TOEIC à l'ENSAI le 19/05/2022: score 900</v>
      </c>
      <c r="W521">
        <v>33</v>
      </c>
      <c r="X521">
        <v>0</v>
      </c>
      <c r="Y521">
        <v>6000577</v>
      </c>
      <c r="Z521" t="str">
        <f>""</f>
        <v/>
      </c>
      <c r="AA521">
        <v>27</v>
      </c>
      <c r="AB521" t="str">
        <f>""</f>
        <v/>
      </c>
      <c r="AC521" t="str">
        <f>""</f>
        <v/>
      </c>
      <c r="AD521" t="str">
        <f>""</f>
        <v/>
      </c>
      <c r="AE521">
        <v>2019</v>
      </c>
      <c r="AF521">
        <v>2021</v>
      </c>
      <c r="AG521" t="str">
        <f>"Bruz"</f>
        <v>Bruz</v>
      </c>
      <c r="AH521" t="str">
        <f>"Bruz"</f>
        <v>Bruz</v>
      </c>
      <c r="AI521" t="str">
        <f>""</f>
        <v/>
      </c>
      <c r="AJ521" t="str">
        <f>""</f>
        <v/>
      </c>
      <c r="AK521" t="str">
        <f>""</f>
        <v/>
      </c>
      <c r="AL521">
        <v>73</v>
      </c>
      <c r="AM521" t="str">
        <f>""</f>
        <v/>
      </c>
      <c r="AN521" t="str">
        <f>""</f>
        <v/>
      </c>
      <c r="AO521" t="str">
        <f>"Lycée Jean Zay"</f>
        <v>Lycée Jean Zay</v>
      </c>
      <c r="AP521" t="str">
        <f>"ORLÉANS"</f>
        <v>ORLÉANS</v>
      </c>
      <c r="AQ521" t="str">
        <f>"Orléans-Tours"</f>
        <v>Orléans-Tours</v>
      </c>
    </row>
    <row r="522" spans="1:43" x14ac:dyDescent="0.25">
      <c r="A522" t="str">
        <f t="shared" si="92"/>
        <v>3A Ing sortant,T00000</v>
      </c>
      <c r="B522" t="str">
        <f>"SEGARD"</f>
        <v>SEGARD</v>
      </c>
      <c r="C522" t="str">
        <f>"Baptiste"</f>
        <v>Baptiste</v>
      </c>
      <c r="D522" t="str">
        <f>"021-2019"</f>
        <v>021-2019</v>
      </c>
      <c r="E522" t="str">
        <f>"081307827KF"</f>
        <v>081307827KF</v>
      </c>
      <c r="F522" t="str">
        <f t="shared" si="95"/>
        <v>0352480F</v>
      </c>
      <c r="G522" t="str">
        <f t="shared" si="96"/>
        <v>O</v>
      </c>
      <c r="H522">
        <v>10</v>
      </c>
      <c r="I522">
        <v>2001</v>
      </c>
      <c r="J522">
        <v>1</v>
      </c>
      <c r="K522" t="str">
        <f>"S"</f>
        <v>S</v>
      </c>
      <c r="L522">
        <v>9</v>
      </c>
      <c r="M522">
        <v>2019</v>
      </c>
      <c r="N522" t="str">
        <f t="shared" si="91"/>
        <v>E</v>
      </c>
      <c r="O522" t="str">
        <f>"D"</f>
        <v>D</v>
      </c>
      <c r="P522">
        <v>0</v>
      </c>
      <c r="Q522">
        <v>100</v>
      </c>
      <c r="R522">
        <v>100</v>
      </c>
      <c r="S522" t="str">
        <f>""</f>
        <v/>
      </c>
      <c r="T522">
        <v>100</v>
      </c>
      <c r="U522" t="str">
        <f>""</f>
        <v/>
      </c>
      <c r="V522" t="str">
        <f>"TOEIC à l'ENSAI le 17/05/2022 - 790"</f>
        <v>TOEIC à l'ENSAI le 17/05/2022 - 790</v>
      </c>
      <c r="W522">
        <v>42</v>
      </c>
      <c r="X522">
        <v>0</v>
      </c>
      <c r="Y522">
        <v>6000577</v>
      </c>
      <c r="Z522" t="str">
        <f>""</f>
        <v/>
      </c>
      <c r="AA522">
        <v>27</v>
      </c>
      <c r="AB522" t="str">
        <f>""</f>
        <v/>
      </c>
      <c r="AC522" t="str">
        <f>""</f>
        <v/>
      </c>
      <c r="AD522" t="str">
        <f>""</f>
        <v/>
      </c>
      <c r="AE522">
        <v>2019</v>
      </c>
      <c r="AF522">
        <v>2021</v>
      </c>
      <c r="AG522" t="str">
        <f>""</f>
        <v/>
      </c>
      <c r="AH522" t="str">
        <f>""</f>
        <v/>
      </c>
      <c r="AI522" t="str">
        <f>""</f>
        <v/>
      </c>
      <c r="AJ522" t="str">
        <f>""</f>
        <v/>
      </c>
      <c r="AK522" t="str">
        <f>""</f>
        <v/>
      </c>
      <c r="AL522">
        <v>33</v>
      </c>
      <c r="AM522" t="str">
        <f>""</f>
        <v/>
      </c>
      <c r="AN522" t="str">
        <f>""</f>
        <v/>
      </c>
      <c r="AO522" t="str">
        <f>"Lycée Ribot"</f>
        <v>Lycée Ribot</v>
      </c>
      <c r="AP522" t="str">
        <f>"SAINT-OMER"</f>
        <v>SAINT-OMER</v>
      </c>
      <c r="AQ522" t="str">
        <f>"Lille"</f>
        <v>Lille</v>
      </c>
    </row>
    <row r="523" spans="1:43" x14ac:dyDescent="0.25">
      <c r="A523" t="str">
        <f t="shared" si="92"/>
        <v>3A Ing sortant,T00000</v>
      </c>
      <c r="B523" t="str">
        <f>"SEIDOU"</f>
        <v>SEIDOU</v>
      </c>
      <c r="C523" t="str">
        <f>"Horeb"</f>
        <v>Horeb</v>
      </c>
      <c r="D523" t="str">
        <f>"022-2180"</f>
        <v>022-2180</v>
      </c>
      <c r="E523" t="str">
        <f>"213392108DF"</f>
        <v>213392108DF</v>
      </c>
      <c r="F523" t="str">
        <f t="shared" si="95"/>
        <v>0352480F</v>
      </c>
      <c r="G523" t="str">
        <f t="shared" si="96"/>
        <v>O</v>
      </c>
      <c r="H523">
        <v>10</v>
      </c>
      <c r="I523">
        <v>2000</v>
      </c>
      <c r="J523">
        <v>1</v>
      </c>
      <c r="K523">
        <v>31</v>
      </c>
      <c r="L523">
        <v>0</v>
      </c>
      <c r="M523">
        <v>2017</v>
      </c>
      <c r="N523" t="str">
        <f t="shared" ref="N523:N554" si="97">"E"</f>
        <v>E</v>
      </c>
      <c r="O523">
        <v>2</v>
      </c>
      <c r="P523">
        <v>0</v>
      </c>
      <c r="Q523">
        <v>327</v>
      </c>
      <c r="R523">
        <v>100</v>
      </c>
      <c r="S523">
        <v>35170</v>
      </c>
      <c r="T523">
        <v>100</v>
      </c>
      <c r="U523">
        <v>35170</v>
      </c>
      <c r="V523" t="str">
        <f>"TOEIC 2A à l'ENSAI le 09/01/2023 - score 840"</f>
        <v>TOEIC 2A à l'ENSAI le 09/01/2023 - score 840</v>
      </c>
      <c r="W523">
        <v>33</v>
      </c>
      <c r="X523">
        <v>0</v>
      </c>
      <c r="Y523">
        <v>6000577</v>
      </c>
      <c r="Z523" t="str">
        <f>""</f>
        <v/>
      </c>
      <c r="AA523">
        <v>27</v>
      </c>
      <c r="AB523" t="str">
        <f>""</f>
        <v/>
      </c>
      <c r="AC523" t="str">
        <f>""</f>
        <v/>
      </c>
      <c r="AD523" t="str">
        <f>""</f>
        <v/>
      </c>
      <c r="AE523">
        <v>2022</v>
      </c>
      <c r="AF523">
        <v>2022</v>
      </c>
      <c r="AG523" t="str">
        <f t="shared" ref="AG523:AH525" si="98">"Bruz"</f>
        <v>Bruz</v>
      </c>
      <c r="AH523" t="str">
        <f t="shared" si="98"/>
        <v>Bruz</v>
      </c>
      <c r="AI523" t="str">
        <f>""</f>
        <v/>
      </c>
      <c r="AJ523" t="str">
        <f>""</f>
        <v/>
      </c>
      <c r="AK523" t="str">
        <f>""</f>
        <v/>
      </c>
      <c r="AL523">
        <v>82</v>
      </c>
      <c r="AM523" t="str">
        <f>""</f>
        <v/>
      </c>
      <c r="AN523" t="str">
        <f>""</f>
        <v/>
      </c>
      <c r="AO523" t="str">
        <f>"Collège d'Enseignement Générale 1"</f>
        <v>Collège d'Enseignement Générale 1</v>
      </c>
      <c r="AP523" t="str">
        <f>"OUIDAH"</f>
        <v>OUIDAH</v>
      </c>
      <c r="AQ523" t="str">
        <f>"Etranger"</f>
        <v>Etranger</v>
      </c>
    </row>
    <row r="524" spans="1:43" x14ac:dyDescent="0.25">
      <c r="A524" t="str">
        <f t="shared" ref="A524:A539" si="99">"3A Ing sortant,T00000"</f>
        <v>3A Ing sortant,T00000</v>
      </c>
      <c r="B524" t="str">
        <f>"SONOMOU"</f>
        <v>SONOMOU</v>
      </c>
      <c r="C524" t="str">
        <f>"Koliko Daniel"</f>
        <v>Koliko Daniel</v>
      </c>
      <c r="D524" t="str">
        <f>"022-2168"</f>
        <v>022-2168</v>
      </c>
      <c r="E524" t="str">
        <f>"213466068JG"</f>
        <v>213466068JG</v>
      </c>
      <c r="F524" t="str">
        <f t="shared" si="95"/>
        <v>0352480F</v>
      </c>
      <c r="G524" t="str">
        <f t="shared" si="96"/>
        <v>O</v>
      </c>
      <c r="H524">
        <v>10</v>
      </c>
      <c r="I524">
        <v>2000</v>
      </c>
      <c r="J524">
        <v>1</v>
      </c>
      <c r="K524">
        <v>31</v>
      </c>
      <c r="L524">
        <v>0</v>
      </c>
      <c r="M524">
        <v>2017</v>
      </c>
      <c r="N524" t="str">
        <f t="shared" si="97"/>
        <v>E</v>
      </c>
      <c r="O524">
        <v>2</v>
      </c>
      <c r="P524">
        <v>0</v>
      </c>
      <c r="Q524">
        <v>330</v>
      </c>
      <c r="R524">
        <v>100</v>
      </c>
      <c r="S524">
        <v>35170</v>
      </c>
      <c r="T524">
        <v>100</v>
      </c>
      <c r="U524">
        <v>35170</v>
      </c>
      <c r="V524" t="str">
        <f>"TOEIC 3A à l'ENSAI le 23-01-2024 : score 650 (B1)"</f>
        <v>TOEIC 3A à l'ENSAI le 23-01-2024 : score 650 (B1)</v>
      </c>
      <c r="W524">
        <v>34</v>
      </c>
      <c r="X524">
        <v>0</v>
      </c>
      <c r="Y524">
        <v>6000577</v>
      </c>
      <c r="Z524" t="str">
        <f>""</f>
        <v/>
      </c>
      <c r="AA524">
        <v>27</v>
      </c>
      <c r="AB524" t="str">
        <f>""</f>
        <v/>
      </c>
      <c r="AC524" t="str">
        <f>""</f>
        <v/>
      </c>
      <c r="AD524" t="str">
        <f>""</f>
        <v/>
      </c>
      <c r="AE524">
        <v>2022</v>
      </c>
      <c r="AF524">
        <v>2022</v>
      </c>
      <c r="AG524" t="str">
        <f t="shared" si="98"/>
        <v>Bruz</v>
      </c>
      <c r="AH524" t="str">
        <f t="shared" si="98"/>
        <v>Bruz</v>
      </c>
      <c r="AI524" t="str">
        <f>""</f>
        <v/>
      </c>
      <c r="AJ524" t="str">
        <f>""</f>
        <v/>
      </c>
      <c r="AK524" t="str">
        <f>""</f>
        <v/>
      </c>
      <c r="AL524">
        <v>82</v>
      </c>
      <c r="AM524" t="str">
        <f>""</f>
        <v/>
      </c>
      <c r="AN524" t="str">
        <f>""</f>
        <v/>
      </c>
      <c r="AO524" t="str">
        <f>"Groupe Scolaire Le SOUMBOUYAH"</f>
        <v>Groupe Scolaire Le SOUMBOUYAH</v>
      </c>
      <c r="AP524" t="str">
        <f>"CONAKRY"</f>
        <v>CONAKRY</v>
      </c>
      <c r="AQ524" t="str">
        <f>"Etranger"</f>
        <v>Etranger</v>
      </c>
    </row>
    <row r="525" spans="1:43" x14ac:dyDescent="0.25">
      <c r="A525" t="str">
        <f t="shared" si="99"/>
        <v>3A Ing sortant,T00000</v>
      </c>
      <c r="B525" t="str">
        <f>"SYLVESTRE"</f>
        <v>SYLVESTRE</v>
      </c>
      <c r="C525" t="str">
        <f>"Théo"</f>
        <v>Théo</v>
      </c>
      <c r="D525" t="str">
        <f>"021-1982"</f>
        <v>021-1982</v>
      </c>
      <c r="E525" t="str">
        <f>"1811020895Y"</f>
        <v>1811020895Y</v>
      </c>
      <c r="F525" t="str">
        <f t="shared" si="95"/>
        <v>0352480F</v>
      </c>
      <c r="G525" t="str">
        <f t="shared" si="96"/>
        <v>O</v>
      </c>
      <c r="H525">
        <v>10</v>
      </c>
      <c r="I525">
        <v>2000</v>
      </c>
      <c r="J525">
        <v>1</v>
      </c>
      <c r="K525" t="str">
        <f t="shared" ref="K525:K530" si="100">"S"</f>
        <v>S</v>
      </c>
      <c r="L525">
        <v>18</v>
      </c>
      <c r="M525">
        <v>2018</v>
      </c>
      <c r="N525" t="str">
        <f t="shared" si="97"/>
        <v>E</v>
      </c>
      <c r="O525" t="str">
        <f>"A"</f>
        <v>A</v>
      </c>
      <c r="P525">
        <v>0</v>
      </c>
      <c r="Q525">
        <v>100</v>
      </c>
      <c r="R525">
        <v>100</v>
      </c>
      <c r="S525">
        <v>35170</v>
      </c>
      <c r="T525">
        <v>100</v>
      </c>
      <c r="U525">
        <v>35170</v>
      </c>
      <c r="V525" t="str">
        <f>"TOEIC 2A à l'ENSAI le 09/01/2023 - score 875"</f>
        <v>TOEIC 2A à l'ENSAI le 09/01/2023 - score 875</v>
      </c>
      <c r="W525">
        <v>37</v>
      </c>
      <c r="X525">
        <v>0</v>
      </c>
      <c r="Y525">
        <v>6000577</v>
      </c>
      <c r="Z525" t="str">
        <f>""</f>
        <v/>
      </c>
      <c r="AA525">
        <v>27</v>
      </c>
      <c r="AB525" t="str">
        <f>""</f>
        <v/>
      </c>
      <c r="AC525" t="str">
        <f>""</f>
        <v/>
      </c>
      <c r="AD525" t="str">
        <f>""</f>
        <v/>
      </c>
      <c r="AE525">
        <v>2018</v>
      </c>
      <c r="AF525">
        <v>2021</v>
      </c>
      <c r="AG525" t="str">
        <f t="shared" si="98"/>
        <v>Bruz</v>
      </c>
      <c r="AH525" t="str">
        <f t="shared" si="98"/>
        <v>Bruz</v>
      </c>
      <c r="AI525" t="str">
        <f>""</f>
        <v/>
      </c>
      <c r="AJ525" t="str">
        <f>""</f>
        <v/>
      </c>
      <c r="AK525" t="str">
        <f>""</f>
        <v/>
      </c>
      <c r="AL525">
        <v>43</v>
      </c>
      <c r="AM525" t="str">
        <f>""</f>
        <v/>
      </c>
      <c r="AN525" t="str">
        <f>""</f>
        <v/>
      </c>
      <c r="AO525" t="str">
        <f>"Lycée Charles Péguy"</f>
        <v>Lycée Charles Péguy</v>
      </c>
      <c r="AP525" t="str">
        <f>"ORLÉANS"</f>
        <v>ORLÉANS</v>
      </c>
      <c r="AQ525" t="str">
        <f>"Orléans-Tours"</f>
        <v>Orléans-Tours</v>
      </c>
    </row>
    <row r="526" spans="1:43" x14ac:dyDescent="0.25">
      <c r="A526" t="str">
        <f t="shared" si="99"/>
        <v>3A Ing sortant,T00000</v>
      </c>
      <c r="B526" t="str">
        <f>"THIENPONT"</f>
        <v>THIENPONT</v>
      </c>
      <c r="C526" t="str">
        <f>"Maxence"</f>
        <v>Maxence</v>
      </c>
      <c r="D526" t="str">
        <f>"021-2025"</f>
        <v>021-2025</v>
      </c>
      <c r="E526" t="str">
        <f>"101091688GD"</f>
        <v>101091688GD</v>
      </c>
      <c r="F526" t="str">
        <f t="shared" si="95"/>
        <v>0352480F</v>
      </c>
      <c r="G526" t="str">
        <f t="shared" si="96"/>
        <v>O</v>
      </c>
      <c r="H526">
        <v>10</v>
      </c>
      <c r="I526">
        <v>2001</v>
      </c>
      <c r="J526">
        <v>1</v>
      </c>
      <c r="K526" t="str">
        <f t="shared" si="100"/>
        <v>S</v>
      </c>
      <c r="L526">
        <v>9</v>
      </c>
      <c r="M526">
        <v>2019</v>
      </c>
      <c r="N526" t="str">
        <f t="shared" si="97"/>
        <v>E</v>
      </c>
      <c r="O526" t="str">
        <f>"D"</f>
        <v>D</v>
      </c>
      <c r="P526">
        <v>0</v>
      </c>
      <c r="Q526">
        <v>100</v>
      </c>
      <c r="R526">
        <v>100</v>
      </c>
      <c r="S526">
        <v>35200</v>
      </c>
      <c r="T526">
        <v>100</v>
      </c>
      <c r="U526">
        <v>35200</v>
      </c>
      <c r="V526" t="str">
        <f>""</f>
        <v/>
      </c>
      <c r="W526">
        <v>61</v>
      </c>
      <c r="X526">
        <v>0</v>
      </c>
      <c r="Y526">
        <v>6000577</v>
      </c>
      <c r="Z526" t="str">
        <f>""</f>
        <v/>
      </c>
      <c r="AA526">
        <v>27</v>
      </c>
      <c r="AB526" t="str">
        <f>""</f>
        <v/>
      </c>
      <c r="AC526" t="str">
        <f>""</f>
        <v/>
      </c>
      <c r="AD526" t="str">
        <f>""</f>
        <v/>
      </c>
      <c r="AE526">
        <v>2019</v>
      </c>
      <c r="AF526">
        <v>2021</v>
      </c>
      <c r="AG526" t="str">
        <f>"Rennes"</f>
        <v>Rennes</v>
      </c>
      <c r="AH526" t="str">
        <f>"Rennes"</f>
        <v>Rennes</v>
      </c>
      <c r="AI526" t="str">
        <f>""</f>
        <v/>
      </c>
      <c r="AJ526" t="str">
        <f>""</f>
        <v/>
      </c>
      <c r="AK526" t="str">
        <f>""</f>
        <v/>
      </c>
      <c r="AL526">
        <v>43</v>
      </c>
      <c r="AM526" t="str">
        <f>""</f>
        <v/>
      </c>
      <c r="AN526" t="str">
        <f>""</f>
        <v/>
      </c>
      <c r="AO526" t="str">
        <f>"Lycée Lavoisier"</f>
        <v>Lycée Lavoisier</v>
      </c>
      <c r="AP526" t="str">
        <f>"AUCHEL"</f>
        <v>AUCHEL</v>
      </c>
      <c r="AQ526" t="str">
        <f>"Lille"</f>
        <v>Lille</v>
      </c>
    </row>
    <row r="527" spans="1:43" x14ac:dyDescent="0.25">
      <c r="A527" t="str">
        <f t="shared" si="99"/>
        <v>3A Ing sortant,T00000</v>
      </c>
      <c r="B527" t="str">
        <f>"TORRES"</f>
        <v>TORRES</v>
      </c>
      <c r="C527" t="str">
        <f>"Jason"</f>
        <v>Jason</v>
      </c>
      <c r="D527" t="str">
        <f>"021-1999"</f>
        <v>021-1999</v>
      </c>
      <c r="E527" t="str">
        <f>"060314338GJ"</f>
        <v>060314338GJ</v>
      </c>
      <c r="F527" t="str">
        <f t="shared" si="95"/>
        <v>0352480F</v>
      </c>
      <c r="G527" t="str">
        <f t="shared" si="96"/>
        <v>O</v>
      </c>
      <c r="H527">
        <v>10</v>
      </c>
      <c r="I527">
        <v>1999</v>
      </c>
      <c r="J527">
        <v>1</v>
      </c>
      <c r="K527" t="str">
        <f t="shared" si="100"/>
        <v>S</v>
      </c>
      <c r="L527">
        <v>1</v>
      </c>
      <c r="M527">
        <v>2018</v>
      </c>
      <c r="N527" t="str">
        <f t="shared" si="97"/>
        <v>E</v>
      </c>
      <c r="O527" t="str">
        <f>"A"</f>
        <v>A</v>
      </c>
      <c r="P527">
        <v>0</v>
      </c>
      <c r="Q527">
        <v>100</v>
      </c>
      <c r="R527">
        <v>100</v>
      </c>
      <c r="S527">
        <v>35170</v>
      </c>
      <c r="T527">
        <v>100</v>
      </c>
      <c r="U527">
        <v>35170</v>
      </c>
      <c r="V527" t="str">
        <f>""</f>
        <v/>
      </c>
      <c r="W527">
        <v>55</v>
      </c>
      <c r="X527">
        <v>0</v>
      </c>
      <c r="Y527">
        <v>6000577</v>
      </c>
      <c r="Z527" t="str">
        <f>""</f>
        <v/>
      </c>
      <c r="AA527">
        <v>27</v>
      </c>
      <c r="AB527" t="str">
        <f>""</f>
        <v/>
      </c>
      <c r="AC527" t="str">
        <f>""</f>
        <v/>
      </c>
      <c r="AD527" t="str">
        <f>""</f>
        <v/>
      </c>
      <c r="AE527">
        <v>2018</v>
      </c>
      <c r="AF527">
        <v>2021</v>
      </c>
      <c r="AG527" t="str">
        <f>"Bruz"</f>
        <v>Bruz</v>
      </c>
      <c r="AH527" t="str">
        <f>"Bruz"</f>
        <v>Bruz</v>
      </c>
      <c r="AI527" t="str">
        <f>""</f>
        <v/>
      </c>
      <c r="AJ527" t="str">
        <f>""</f>
        <v/>
      </c>
      <c r="AK527" t="str">
        <f>""</f>
        <v/>
      </c>
      <c r="AL527">
        <v>0</v>
      </c>
      <c r="AM527" t="str">
        <f>""</f>
        <v/>
      </c>
      <c r="AN527" t="str">
        <f>""</f>
        <v/>
      </c>
      <c r="AO527" t="str">
        <f>"Lycée Molière"</f>
        <v>Lycée Molière</v>
      </c>
      <c r="AP527" t="str">
        <f>"PARIS"</f>
        <v>PARIS</v>
      </c>
      <c r="AQ527" t="str">
        <f>"Paris"</f>
        <v>Paris</v>
      </c>
    </row>
    <row r="528" spans="1:43" x14ac:dyDescent="0.25">
      <c r="A528" t="str">
        <f t="shared" si="99"/>
        <v>3A Ing sortant,T00000</v>
      </c>
      <c r="B528" t="str">
        <f>"TOUKAL"</f>
        <v>TOUKAL</v>
      </c>
      <c r="C528" t="str">
        <f>"Julia"</f>
        <v>Julia</v>
      </c>
      <c r="D528" t="str">
        <f>"021-2002"</f>
        <v>021-2002</v>
      </c>
      <c r="E528" t="str">
        <f>"071218783HC"</f>
        <v>071218783HC</v>
      </c>
      <c r="F528" t="str">
        <f t="shared" si="95"/>
        <v>0352480F</v>
      </c>
      <c r="G528" t="str">
        <f t="shared" si="96"/>
        <v>O</v>
      </c>
      <c r="H528">
        <v>10</v>
      </c>
      <c r="I528">
        <v>2002</v>
      </c>
      <c r="J528">
        <v>2</v>
      </c>
      <c r="K528" t="str">
        <f t="shared" si="100"/>
        <v>S</v>
      </c>
      <c r="L528">
        <v>25</v>
      </c>
      <c r="M528">
        <v>2019</v>
      </c>
      <c r="N528" t="str">
        <f t="shared" si="97"/>
        <v>E</v>
      </c>
      <c r="O528" t="str">
        <f>"D"</f>
        <v>D</v>
      </c>
      <c r="P528">
        <v>0</v>
      </c>
      <c r="Q528">
        <v>100</v>
      </c>
      <c r="R528">
        <v>100</v>
      </c>
      <c r="S528">
        <v>35170</v>
      </c>
      <c r="T528">
        <v>100</v>
      </c>
      <c r="U528">
        <v>35170</v>
      </c>
      <c r="V528" t="str">
        <f>"TOEIC à l'ENSAI le 19/05/2022: score 975  TOEFL iBT le 31 juillet 2022 : score 100"</f>
        <v>TOEIC à l'ENSAI le 19/05/2022: score 975  TOEFL iBT le 31 juillet 2022 : score 100</v>
      </c>
      <c r="W528">
        <v>45</v>
      </c>
      <c r="X528">
        <v>0</v>
      </c>
      <c r="Y528">
        <v>6000577</v>
      </c>
      <c r="Z528" t="str">
        <f>""</f>
        <v/>
      </c>
      <c r="AA528">
        <v>27</v>
      </c>
      <c r="AB528" t="str">
        <f>""</f>
        <v/>
      </c>
      <c r="AC528" t="str">
        <f>""</f>
        <v/>
      </c>
      <c r="AD528" t="str">
        <f>""</f>
        <v/>
      </c>
      <c r="AE528">
        <v>2019</v>
      </c>
      <c r="AF528">
        <v>2021</v>
      </c>
      <c r="AG528" t="str">
        <f>"Bruz"</f>
        <v>Bruz</v>
      </c>
      <c r="AH528" t="str">
        <f>"Bruz"</f>
        <v>Bruz</v>
      </c>
      <c r="AI528" t="str">
        <f>""</f>
        <v/>
      </c>
      <c r="AJ528" t="str">
        <f>""</f>
        <v/>
      </c>
      <c r="AK528" t="str">
        <f>""</f>
        <v/>
      </c>
      <c r="AL528">
        <v>38</v>
      </c>
      <c r="AM528" t="str">
        <f>""</f>
        <v/>
      </c>
      <c r="AN528" t="str">
        <f>""</f>
        <v/>
      </c>
      <c r="AO528" t="str">
        <f>"Gérard de Nerval"</f>
        <v>Gérard de Nerval</v>
      </c>
      <c r="AP528" t="str">
        <f>"LUZARCHES"</f>
        <v>LUZARCHES</v>
      </c>
      <c r="AQ528" t="str">
        <f>"Versailles"</f>
        <v>Versailles</v>
      </c>
    </row>
    <row r="529" spans="1:43" x14ac:dyDescent="0.25">
      <c r="A529" t="str">
        <f t="shared" si="99"/>
        <v>3A Ing sortant,T00000</v>
      </c>
      <c r="B529" t="str">
        <f>"TOURE"</f>
        <v>TOURE</v>
      </c>
      <c r="C529" t="str">
        <f>"Abdoul-Aziz"</f>
        <v>Abdoul-Aziz</v>
      </c>
      <c r="D529" t="str">
        <f>"021-1993"</f>
        <v>021-1993</v>
      </c>
      <c r="E529" t="str">
        <f>"153079181BB"</f>
        <v>153079181BB</v>
      </c>
      <c r="F529" t="str">
        <f t="shared" si="95"/>
        <v>0352480F</v>
      </c>
      <c r="G529" t="str">
        <f t="shared" si="96"/>
        <v>O</v>
      </c>
      <c r="H529">
        <v>10</v>
      </c>
      <c r="I529">
        <v>1998</v>
      </c>
      <c r="J529">
        <v>1</v>
      </c>
      <c r="K529" t="str">
        <f t="shared" si="100"/>
        <v>S</v>
      </c>
      <c r="L529">
        <v>25</v>
      </c>
      <c r="M529">
        <v>2018</v>
      </c>
      <c r="N529" t="str">
        <f t="shared" si="97"/>
        <v>E</v>
      </c>
      <c r="O529" t="str">
        <f>"D"</f>
        <v>D</v>
      </c>
      <c r="P529">
        <v>0</v>
      </c>
      <c r="Q529">
        <v>100</v>
      </c>
      <c r="R529">
        <v>100</v>
      </c>
      <c r="S529">
        <v>35170</v>
      </c>
      <c r="T529">
        <v>100</v>
      </c>
      <c r="U529">
        <v>35170</v>
      </c>
      <c r="V529" t="str">
        <f>"TOEIC 3A à l'ENSAI le 23-01-2024 : score 565 (B1)  Linguaskill 3A à l'ENSAI le 01-03-2024 : score 127 (A2) = 465"</f>
        <v>TOEIC 3A à l'ENSAI le 23-01-2024 : score 565 (B1)  Linguaskill 3A à l'ENSAI le 01-03-2024 : score 127 (A2) = 465</v>
      </c>
      <c r="W529">
        <v>66</v>
      </c>
      <c r="X529">
        <v>0</v>
      </c>
      <c r="Y529">
        <v>6000577</v>
      </c>
      <c r="Z529" t="str">
        <f>""</f>
        <v/>
      </c>
      <c r="AA529">
        <v>27</v>
      </c>
      <c r="AB529" t="str">
        <f>""</f>
        <v/>
      </c>
      <c r="AC529" t="str">
        <f>""</f>
        <v/>
      </c>
      <c r="AD529" t="str">
        <f>""</f>
        <v/>
      </c>
      <c r="AE529">
        <v>2018</v>
      </c>
      <c r="AF529">
        <v>2021</v>
      </c>
      <c r="AG529" t="str">
        <f>"BRUZ"</f>
        <v>BRUZ</v>
      </c>
      <c r="AH529" t="str">
        <f>"BRUZ"</f>
        <v>BRUZ</v>
      </c>
      <c r="AI529" t="str">
        <f>""</f>
        <v/>
      </c>
      <c r="AJ529" t="str">
        <f>""</f>
        <v/>
      </c>
      <c r="AK529" t="str">
        <f>""</f>
        <v/>
      </c>
      <c r="AL529">
        <v>82</v>
      </c>
      <c r="AM529" t="str">
        <f>""</f>
        <v/>
      </c>
      <c r="AN529" t="str">
        <f>""</f>
        <v/>
      </c>
      <c r="AO529" t="str">
        <f>"Lycée Newton"</f>
        <v>Lycée Newton</v>
      </c>
      <c r="AP529" t="str">
        <f>"CLICHY"</f>
        <v>CLICHY</v>
      </c>
      <c r="AQ529" t="str">
        <f>"Versailles"</f>
        <v>Versailles</v>
      </c>
    </row>
    <row r="530" spans="1:43" x14ac:dyDescent="0.25">
      <c r="A530" t="str">
        <f t="shared" si="99"/>
        <v>3A Ing sortant,T00000</v>
      </c>
      <c r="B530" t="str">
        <f>"TSEITLINE"</f>
        <v>TSEITLINE</v>
      </c>
      <c r="C530" t="str">
        <f>"David"</f>
        <v>David</v>
      </c>
      <c r="D530" t="str">
        <f>"021-2055"</f>
        <v>021-2055</v>
      </c>
      <c r="E530" t="str">
        <f>"100738319GB"</f>
        <v>100738319GB</v>
      </c>
      <c r="F530" t="str">
        <f t="shared" si="95"/>
        <v>0352480F</v>
      </c>
      <c r="G530" t="str">
        <f t="shared" si="96"/>
        <v>O</v>
      </c>
      <c r="H530">
        <v>10</v>
      </c>
      <c r="I530">
        <v>2001</v>
      </c>
      <c r="J530">
        <v>1</v>
      </c>
      <c r="K530" t="str">
        <f t="shared" si="100"/>
        <v>S</v>
      </c>
      <c r="L530">
        <v>25</v>
      </c>
      <c r="M530">
        <v>2018</v>
      </c>
      <c r="N530" t="str">
        <f t="shared" si="97"/>
        <v>E</v>
      </c>
      <c r="O530" t="str">
        <f>"D"</f>
        <v>D</v>
      </c>
      <c r="P530">
        <v>0</v>
      </c>
      <c r="Q530">
        <v>100</v>
      </c>
      <c r="R530">
        <v>100</v>
      </c>
      <c r="S530">
        <v>35000</v>
      </c>
      <c r="T530">
        <v>100</v>
      </c>
      <c r="U530">
        <v>35000</v>
      </c>
      <c r="V530" t="str">
        <f>"TOEIC à l'ENSAI le 19/05/2022: score 990"</f>
        <v>TOEIC à l'ENSAI le 19/05/2022: score 990</v>
      </c>
      <c r="W530">
        <v>82</v>
      </c>
      <c r="X530">
        <v>0</v>
      </c>
      <c r="Y530">
        <v>6000577</v>
      </c>
      <c r="Z530" t="str">
        <f>""</f>
        <v/>
      </c>
      <c r="AA530">
        <v>27</v>
      </c>
      <c r="AB530" t="str">
        <f>""</f>
        <v/>
      </c>
      <c r="AC530" t="str">
        <f>""</f>
        <v/>
      </c>
      <c r="AD530" t="str">
        <f>""</f>
        <v/>
      </c>
      <c r="AE530">
        <v>2018</v>
      </c>
      <c r="AF530">
        <v>2021</v>
      </c>
      <c r="AG530" t="str">
        <f>"Rennes"</f>
        <v>Rennes</v>
      </c>
      <c r="AH530" t="str">
        <f>"Rennes"</f>
        <v>Rennes</v>
      </c>
      <c r="AI530" t="str">
        <f>""</f>
        <v/>
      </c>
      <c r="AJ530" t="str">
        <f>""</f>
        <v/>
      </c>
      <c r="AK530" t="str">
        <f>""</f>
        <v/>
      </c>
      <c r="AL530">
        <v>31</v>
      </c>
      <c r="AM530" t="str">
        <f>""</f>
        <v/>
      </c>
      <c r="AN530" t="str">
        <f>""</f>
        <v/>
      </c>
      <c r="AO530" t="str">
        <f>"Lycee International de Saint Germain-en-Laye"</f>
        <v>Lycee International de Saint Germain-en-Laye</v>
      </c>
      <c r="AP530" t="str">
        <f>"SAINT GERMAIN-EN-LAYE"</f>
        <v>SAINT GERMAIN-EN-LAYE</v>
      </c>
      <c r="AQ530" t="str">
        <f>"Versailles"</f>
        <v>Versailles</v>
      </c>
    </row>
    <row r="531" spans="1:43" x14ac:dyDescent="0.25">
      <c r="A531" t="str">
        <f t="shared" si="99"/>
        <v>3A Ing sortant,T00000</v>
      </c>
      <c r="B531" t="str">
        <f>"VAN ALTVORST"</f>
        <v>VAN ALTVORST</v>
      </c>
      <c r="C531" t="str">
        <f>"Maurits"</f>
        <v>Maurits</v>
      </c>
      <c r="D531" t="str">
        <f>"023-2411"</f>
        <v>023-2411</v>
      </c>
      <c r="E531" t="str">
        <f>"223411861KB"</f>
        <v>223411861KB</v>
      </c>
      <c r="F531" t="str">
        <f t="shared" si="95"/>
        <v>0352480F</v>
      </c>
      <c r="G531" t="str">
        <f t="shared" si="96"/>
        <v>O</v>
      </c>
      <c r="H531">
        <v>10</v>
      </c>
      <c r="I531">
        <v>2002</v>
      </c>
      <c r="J531">
        <v>1</v>
      </c>
      <c r="K531" t="str">
        <f>""</f>
        <v/>
      </c>
      <c r="L531" t="str">
        <f>""</f>
        <v/>
      </c>
      <c r="M531" t="str">
        <f>""</f>
        <v/>
      </c>
      <c r="N531" t="str">
        <f t="shared" si="97"/>
        <v>E</v>
      </c>
      <c r="O531" t="str">
        <f>""</f>
        <v/>
      </c>
      <c r="P531">
        <v>0</v>
      </c>
      <c r="Q531">
        <v>135</v>
      </c>
      <c r="R531">
        <v>100</v>
      </c>
      <c r="S531">
        <v>35000</v>
      </c>
      <c r="T531">
        <v>100</v>
      </c>
      <c r="U531">
        <v>35000</v>
      </c>
      <c r="V531" t="str">
        <f>""</f>
        <v/>
      </c>
      <c r="W531">
        <v>0</v>
      </c>
      <c r="X531">
        <v>0</v>
      </c>
      <c r="Y531">
        <v>6000577</v>
      </c>
      <c r="Z531" t="str">
        <f>""</f>
        <v/>
      </c>
      <c r="AA531">
        <v>27</v>
      </c>
      <c r="AB531" t="str">
        <f>""</f>
        <v/>
      </c>
      <c r="AC531" t="str">
        <f>""</f>
        <v/>
      </c>
      <c r="AD531" t="str">
        <f>""</f>
        <v/>
      </c>
      <c r="AE531" t="str">
        <f>""</f>
        <v/>
      </c>
      <c r="AF531">
        <v>2023</v>
      </c>
      <c r="AG531" t="str">
        <f>"Rennes"</f>
        <v>Rennes</v>
      </c>
      <c r="AH531" t="str">
        <f>"Rennes"</f>
        <v>Rennes</v>
      </c>
      <c r="AI531" t="str">
        <f>""</f>
        <v/>
      </c>
      <c r="AJ531" t="str">
        <f>""</f>
        <v/>
      </c>
      <c r="AK531" t="str">
        <f>""</f>
        <v/>
      </c>
      <c r="AL531">
        <v>0</v>
      </c>
      <c r="AM531" t="str">
        <f>""</f>
        <v/>
      </c>
      <c r="AN531" t="str">
        <f>""</f>
        <v/>
      </c>
      <c r="AO531" t="str">
        <f>""</f>
        <v/>
      </c>
      <c r="AP531" t="str">
        <f>""</f>
        <v/>
      </c>
      <c r="AQ531" t="str">
        <f>""</f>
        <v/>
      </c>
    </row>
    <row r="532" spans="1:43" x14ac:dyDescent="0.25">
      <c r="A532" t="str">
        <f t="shared" si="99"/>
        <v>3A Ing sortant,T00000</v>
      </c>
      <c r="B532" t="str">
        <f>"VERDIN"</f>
        <v>VERDIN</v>
      </c>
      <c r="C532" t="str">
        <f>"Marie-Anaïs"</f>
        <v>Marie-Anaïs</v>
      </c>
      <c r="D532" t="str">
        <f>"021-1954"</f>
        <v>021-1954</v>
      </c>
      <c r="E532" t="str">
        <f>"060822853CH"</f>
        <v>060822853CH</v>
      </c>
      <c r="F532" t="str">
        <f t="shared" si="95"/>
        <v>0352480F</v>
      </c>
      <c r="G532" t="str">
        <f t="shared" si="96"/>
        <v>O</v>
      </c>
      <c r="H532">
        <v>10</v>
      </c>
      <c r="I532">
        <v>2001</v>
      </c>
      <c r="J532">
        <v>2</v>
      </c>
      <c r="K532" t="str">
        <f>"S"</f>
        <v>S</v>
      </c>
      <c r="L532">
        <v>25</v>
      </c>
      <c r="M532">
        <v>2019</v>
      </c>
      <c r="N532" t="str">
        <f t="shared" si="97"/>
        <v>E</v>
      </c>
      <c r="O532" t="str">
        <f>"C"</f>
        <v>C</v>
      </c>
      <c r="P532">
        <v>0</v>
      </c>
      <c r="Q532">
        <v>100</v>
      </c>
      <c r="R532">
        <v>100</v>
      </c>
      <c r="S532">
        <v>35170</v>
      </c>
      <c r="T532">
        <v>100</v>
      </c>
      <c r="U532">
        <v>35170</v>
      </c>
      <c r="V532" t="str">
        <f>"745* = Linguaskill - 06 April 2023 à l'ENSAI - score 155 (niveau B1)  TOEIC à l'ENSAI le 23-01-2024: 720 (niveau B1)  3A Linguaskill à l'ENSAI le 01-03-2024 : score 164 (B2) = 820"</f>
        <v>745* = Linguaskill - 06 April 2023 à l'ENSAI - score 155 (niveau B1)  TOEIC à l'ENSAI le 23-01-2024: 720 (niveau B1)  3A Linguaskill à l'ENSAI le 01-03-2024 : score 164 (B2) = 820</v>
      </c>
      <c r="W532">
        <v>54</v>
      </c>
      <c r="X532">
        <v>0</v>
      </c>
      <c r="Y532">
        <v>6000577</v>
      </c>
      <c r="Z532" t="str">
        <f>""</f>
        <v/>
      </c>
      <c r="AA532">
        <v>27</v>
      </c>
      <c r="AB532" t="str">
        <f>""</f>
        <v/>
      </c>
      <c r="AC532" t="str">
        <f>""</f>
        <v/>
      </c>
      <c r="AD532" t="str">
        <f>""</f>
        <v/>
      </c>
      <c r="AE532">
        <v>2019</v>
      </c>
      <c r="AF532">
        <v>2021</v>
      </c>
      <c r="AG532" t="str">
        <f>"BRUZ"</f>
        <v>BRUZ</v>
      </c>
      <c r="AH532" t="str">
        <f>"BRUZ"</f>
        <v>BRUZ</v>
      </c>
      <c r="AI532" t="str">
        <f>""</f>
        <v/>
      </c>
      <c r="AJ532" t="str">
        <f>""</f>
        <v/>
      </c>
      <c r="AK532" t="str">
        <f>""</f>
        <v/>
      </c>
      <c r="AL532">
        <v>82</v>
      </c>
      <c r="AM532" t="str">
        <f>""</f>
        <v/>
      </c>
      <c r="AN532" t="str">
        <f>""</f>
        <v/>
      </c>
      <c r="AO532" t="str">
        <f>"Louis de Broglie"</f>
        <v>Louis de Broglie</v>
      </c>
      <c r="AP532" t="str">
        <f>"MARLY-LE-ROI"</f>
        <v>MARLY-LE-ROI</v>
      </c>
      <c r="AQ532" t="str">
        <f>"Versailles"</f>
        <v>Versailles</v>
      </c>
    </row>
    <row r="533" spans="1:43" x14ac:dyDescent="0.25">
      <c r="A533" t="str">
        <f t="shared" si="99"/>
        <v>3A Ing sortant,T00000</v>
      </c>
      <c r="B533" t="str">
        <f>"VIERLING"</f>
        <v>VIERLING</v>
      </c>
      <c r="C533" t="str">
        <f>"Marine"</f>
        <v>Marine</v>
      </c>
      <c r="D533" t="str">
        <f>"021-1933"</f>
        <v>021-1933</v>
      </c>
      <c r="E533" t="str">
        <f>"061038019AH"</f>
        <v>061038019AH</v>
      </c>
      <c r="F533" t="str">
        <f t="shared" si="95"/>
        <v>0352480F</v>
      </c>
      <c r="G533" t="str">
        <f t="shared" si="96"/>
        <v>O</v>
      </c>
      <c r="H533">
        <v>10</v>
      </c>
      <c r="I533">
        <v>2000</v>
      </c>
      <c r="J533">
        <v>2</v>
      </c>
      <c r="K533" t="str">
        <f>"S"</f>
        <v>S</v>
      </c>
      <c r="L533">
        <v>15</v>
      </c>
      <c r="M533">
        <v>2018</v>
      </c>
      <c r="N533" t="str">
        <f t="shared" si="97"/>
        <v>E</v>
      </c>
      <c r="O533" t="str">
        <f>"N"</f>
        <v>N</v>
      </c>
      <c r="P533">
        <v>0</v>
      </c>
      <c r="Q533">
        <v>100</v>
      </c>
      <c r="R533">
        <v>100</v>
      </c>
      <c r="S533">
        <v>35170</v>
      </c>
      <c r="T533">
        <v>100</v>
      </c>
      <c r="U533">
        <v>35170</v>
      </c>
      <c r="V533" t="str">
        <f>"TOEIC à l'ENSAI le 19/05/2022: score 870"</f>
        <v>TOEIC à l'ENSAI le 19/05/2022: score 870</v>
      </c>
      <c r="W533">
        <v>45</v>
      </c>
      <c r="X533">
        <v>0</v>
      </c>
      <c r="Y533">
        <v>6000577</v>
      </c>
      <c r="Z533" t="str">
        <f>""</f>
        <v/>
      </c>
      <c r="AA533">
        <v>27</v>
      </c>
      <c r="AB533" t="str">
        <f>""</f>
        <v/>
      </c>
      <c r="AC533" t="str">
        <f>""</f>
        <v/>
      </c>
      <c r="AD533" t="str">
        <f>""</f>
        <v/>
      </c>
      <c r="AE533">
        <v>2018</v>
      </c>
      <c r="AF533">
        <v>2021</v>
      </c>
      <c r="AG533" t="str">
        <f>"Bruz"</f>
        <v>Bruz</v>
      </c>
      <c r="AH533" t="str">
        <f>"Bruz"</f>
        <v>Bruz</v>
      </c>
      <c r="AI533" t="str">
        <f>""</f>
        <v/>
      </c>
      <c r="AJ533" t="str">
        <f>""</f>
        <v/>
      </c>
      <c r="AK533" t="str">
        <f>""</f>
        <v/>
      </c>
      <c r="AL533">
        <v>45</v>
      </c>
      <c r="AM533" t="str">
        <f>""</f>
        <v/>
      </c>
      <c r="AN533" t="str">
        <f>""</f>
        <v/>
      </c>
      <c r="AO533" t="str">
        <f>"Lycée Marc Bloch"</f>
        <v>Lycée Marc Bloch</v>
      </c>
      <c r="AP533" t="str">
        <f>"BISCHHEIM"</f>
        <v>BISCHHEIM</v>
      </c>
      <c r="AQ533" t="str">
        <f>"Strasbourg"</f>
        <v>Strasbourg</v>
      </c>
    </row>
    <row r="534" spans="1:43" x14ac:dyDescent="0.25">
      <c r="A534" t="str">
        <f t="shared" si="99"/>
        <v>3A Ing sortant,T00000</v>
      </c>
      <c r="B534" t="str">
        <f>"VINCENT"</f>
        <v>VINCENT</v>
      </c>
      <c r="C534" t="str">
        <f>"Eva"</f>
        <v>Eva</v>
      </c>
      <c r="D534" t="str">
        <f>"021-1956"</f>
        <v>021-1956</v>
      </c>
      <c r="E534" t="str">
        <f>"072098423CJ"</f>
        <v>072098423CJ</v>
      </c>
      <c r="F534" t="str">
        <f t="shared" si="95"/>
        <v>0352480F</v>
      </c>
      <c r="G534" t="str">
        <f t="shared" si="96"/>
        <v>O</v>
      </c>
      <c r="H534">
        <v>10</v>
      </c>
      <c r="I534">
        <v>2000</v>
      </c>
      <c r="J534">
        <v>2</v>
      </c>
      <c r="K534" t="str">
        <f>"ES"</f>
        <v>ES</v>
      </c>
      <c r="L534">
        <v>25</v>
      </c>
      <c r="M534">
        <v>2018</v>
      </c>
      <c r="N534" t="str">
        <f t="shared" si="97"/>
        <v>E</v>
      </c>
      <c r="O534" t="str">
        <f>"C"</f>
        <v>C</v>
      </c>
      <c r="P534">
        <v>0</v>
      </c>
      <c r="Q534">
        <v>100</v>
      </c>
      <c r="R534">
        <v>100</v>
      </c>
      <c r="S534">
        <v>35170</v>
      </c>
      <c r="T534">
        <v>100</v>
      </c>
      <c r="U534">
        <v>35170</v>
      </c>
      <c r="V534" t="str">
        <f>"TOEIC à l'ENSAI le 19/05/2022: score 975"</f>
        <v>TOEIC à l'ENSAI le 19/05/2022: score 975</v>
      </c>
      <c r="W534">
        <v>38</v>
      </c>
      <c r="X534">
        <v>0</v>
      </c>
      <c r="Y534">
        <v>6000577</v>
      </c>
      <c r="Z534" t="str">
        <f>""</f>
        <v/>
      </c>
      <c r="AA534">
        <v>27</v>
      </c>
      <c r="AB534" t="str">
        <f>""</f>
        <v/>
      </c>
      <c r="AC534" t="str">
        <f>""</f>
        <v/>
      </c>
      <c r="AD534" t="str">
        <f>""</f>
        <v/>
      </c>
      <c r="AE534">
        <v>2018</v>
      </c>
      <c r="AF534">
        <v>2021</v>
      </c>
      <c r="AG534" t="str">
        <f>"Bruz"</f>
        <v>Bruz</v>
      </c>
      <c r="AH534" t="str">
        <f>"Bruz"</f>
        <v>Bruz</v>
      </c>
      <c r="AI534" t="str">
        <f>""</f>
        <v/>
      </c>
      <c r="AJ534" t="str">
        <f>""</f>
        <v/>
      </c>
      <c r="AK534" t="str">
        <f>""</f>
        <v/>
      </c>
      <c r="AL534">
        <v>42</v>
      </c>
      <c r="AM534" t="str">
        <f>""</f>
        <v/>
      </c>
      <c r="AN534" t="str">
        <f>""</f>
        <v/>
      </c>
      <c r="AO534" t="str">
        <f>"Lycée Louis Bascan"</f>
        <v>Lycée Louis Bascan</v>
      </c>
      <c r="AP534" t="str">
        <f>"RAMBOUILLET"</f>
        <v>RAMBOUILLET</v>
      </c>
      <c r="AQ534" t="str">
        <f>"Versailles"</f>
        <v>Versailles</v>
      </c>
    </row>
    <row r="535" spans="1:43" x14ac:dyDescent="0.25">
      <c r="A535" t="str">
        <f t="shared" si="99"/>
        <v>3A Ing sortant,T00000</v>
      </c>
      <c r="B535" t="str">
        <f>"VOLAND"</f>
        <v>VOLAND</v>
      </c>
      <c r="C535" t="str">
        <f>"Gaulthier"</f>
        <v>Gaulthier</v>
      </c>
      <c r="D535" t="str">
        <f>"021-2024"</f>
        <v>021-2024</v>
      </c>
      <c r="E535" t="str">
        <f>"110813898GG"</f>
        <v>110813898GG</v>
      </c>
      <c r="F535" t="str">
        <f t="shared" si="95"/>
        <v>0352480F</v>
      </c>
      <c r="G535" t="str">
        <f t="shared" si="96"/>
        <v>O</v>
      </c>
      <c r="H535">
        <v>10</v>
      </c>
      <c r="I535">
        <v>2001</v>
      </c>
      <c r="J535">
        <v>1</v>
      </c>
      <c r="K535" t="str">
        <f>"S"</f>
        <v>S</v>
      </c>
      <c r="L535">
        <v>25</v>
      </c>
      <c r="M535">
        <v>2019</v>
      </c>
      <c r="N535" t="str">
        <f t="shared" si="97"/>
        <v>E</v>
      </c>
      <c r="O535" t="str">
        <f>"D"</f>
        <v>D</v>
      </c>
      <c r="P535">
        <v>0</v>
      </c>
      <c r="Q535">
        <v>100</v>
      </c>
      <c r="R535">
        <v>100</v>
      </c>
      <c r="S535">
        <v>35000</v>
      </c>
      <c r="T535">
        <v>100</v>
      </c>
      <c r="U535">
        <v>35000</v>
      </c>
      <c r="V535" t="str">
        <f>"Linguaskill à l'ENSAI le 31/05/2022: score 180+ = niveau C1  TOEIC à l'ENSAI le 19/05/2022: score 990"</f>
        <v>Linguaskill à l'ENSAI le 31/05/2022: score 180+ = niveau C1  TOEIC à l'ENSAI le 19/05/2022: score 990</v>
      </c>
      <c r="W535">
        <v>23</v>
      </c>
      <c r="X535">
        <v>0</v>
      </c>
      <c r="Y535">
        <v>6000577</v>
      </c>
      <c r="Z535" t="str">
        <f>""</f>
        <v/>
      </c>
      <c r="AA535">
        <v>27</v>
      </c>
      <c r="AB535" t="str">
        <f>""</f>
        <v/>
      </c>
      <c r="AC535" t="str">
        <f>""</f>
        <v/>
      </c>
      <c r="AD535" t="str">
        <f>""</f>
        <v/>
      </c>
      <c r="AE535">
        <v>2019</v>
      </c>
      <c r="AF535">
        <v>2021</v>
      </c>
      <c r="AG535" t="str">
        <f>"Rennes"</f>
        <v>Rennes</v>
      </c>
      <c r="AH535" t="str">
        <f>"Rennes"</f>
        <v>Rennes</v>
      </c>
      <c r="AI535" t="str">
        <f>""</f>
        <v/>
      </c>
      <c r="AJ535" t="str">
        <f>""</f>
        <v/>
      </c>
      <c r="AK535" t="str">
        <f>""</f>
        <v/>
      </c>
      <c r="AL535">
        <v>31</v>
      </c>
      <c r="AM535" t="str">
        <f>""</f>
        <v/>
      </c>
      <c r="AN535" t="str">
        <f>""</f>
        <v/>
      </c>
      <c r="AO535" t="str">
        <f>"Notre-Dame-de-Boulogne"</f>
        <v>Notre-Dame-de-Boulogne</v>
      </c>
      <c r="AP535" t="str">
        <f>"BOULOGNE-BILLANCOURT"</f>
        <v>BOULOGNE-BILLANCOURT</v>
      </c>
      <c r="AQ535" t="str">
        <f>"Versailles"</f>
        <v>Versailles</v>
      </c>
    </row>
    <row r="536" spans="1:43" x14ac:dyDescent="0.25">
      <c r="A536" t="str">
        <f t="shared" si="99"/>
        <v>3A Ing sortant,T00000</v>
      </c>
      <c r="B536" t="str">
        <f>"WISPELAERE"</f>
        <v>WISPELAERE</v>
      </c>
      <c r="C536" t="str">
        <f>"Hugo"</f>
        <v>Hugo</v>
      </c>
      <c r="D536" t="str">
        <f>"021-1997"</f>
        <v>021-1997</v>
      </c>
      <c r="E536" t="str">
        <f>"070655912FC"</f>
        <v>070655912FC</v>
      </c>
      <c r="F536" t="str">
        <f t="shared" si="95"/>
        <v>0352480F</v>
      </c>
      <c r="G536" t="str">
        <f t="shared" si="96"/>
        <v>O</v>
      </c>
      <c r="H536">
        <v>10</v>
      </c>
      <c r="I536">
        <v>2001</v>
      </c>
      <c r="J536">
        <v>1</v>
      </c>
      <c r="K536" t="str">
        <f>"S"</f>
        <v>S</v>
      </c>
      <c r="L536">
        <v>9</v>
      </c>
      <c r="M536">
        <v>2019</v>
      </c>
      <c r="N536" t="str">
        <f t="shared" si="97"/>
        <v>E</v>
      </c>
      <c r="O536" t="str">
        <f>"D"</f>
        <v>D</v>
      </c>
      <c r="P536">
        <v>0</v>
      </c>
      <c r="Q536">
        <v>100</v>
      </c>
      <c r="R536">
        <v>100</v>
      </c>
      <c r="S536">
        <v>35136</v>
      </c>
      <c r="T536">
        <v>100</v>
      </c>
      <c r="U536">
        <v>35136</v>
      </c>
      <c r="V536" t="str">
        <f>"TOEIC 3A à l'ENSAI le 23-01-2024 : score 885 (B2)"</f>
        <v>TOEIC 3A à l'ENSAI le 23-01-2024 : score 885 (B2)</v>
      </c>
      <c r="W536">
        <v>54</v>
      </c>
      <c r="X536">
        <v>0</v>
      </c>
      <c r="Y536">
        <v>6000577</v>
      </c>
      <c r="Z536" t="str">
        <f>""</f>
        <v/>
      </c>
      <c r="AA536">
        <v>27</v>
      </c>
      <c r="AB536" t="str">
        <f>""</f>
        <v/>
      </c>
      <c r="AC536" t="str">
        <f>""</f>
        <v/>
      </c>
      <c r="AD536" t="str">
        <f>""</f>
        <v/>
      </c>
      <c r="AE536">
        <v>2019</v>
      </c>
      <c r="AF536">
        <v>2021</v>
      </c>
      <c r="AG536" t="str">
        <f>"Saint Jacques de la Lande"</f>
        <v>Saint Jacques de la Lande</v>
      </c>
      <c r="AH536" t="str">
        <f>"Saint Jacques de la Lande"</f>
        <v>Saint Jacques de la Lande</v>
      </c>
      <c r="AI536" t="str">
        <f>""</f>
        <v/>
      </c>
      <c r="AJ536" t="str">
        <f>""</f>
        <v/>
      </c>
      <c r="AK536" t="str">
        <f>""</f>
        <v/>
      </c>
      <c r="AL536">
        <v>99</v>
      </c>
      <c r="AM536" t="str">
        <f>""</f>
        <v/>
      </c>
      <c r="AN536" t="str">
        <f>""</f>
        <v/>
      </c>
      <c r="AO536" t="str">
        <f>"Lycée Sainte Odile"</f>
        <v>Lycée Sainte Odile</v>
      </c>
      <c r="AP536" t="str">
        <f>"LAMBERSART"</f>
        <v>LAMBERSART</v>
      </c>
      <c r="AQ536" t="str">
        <f>"Lille"</f>
        <v>Lille</v>
      </c>
    </row>
    <row r="537" spans="1:43" x14ac:dyDescent="0.25">
      <c r="A537" t="str">
        <f t="shared" si="99"/>
        <v>3A Ing sortant,T00000</v>
      </c>
      <c r="B537" t="str">
        <f>"YOUINOU"</f>
        <v>YOUINOU</v>
      </c>
      <c r="C537" t="str">
        <f>"Maëlle"</f>
        <v>Maëlle</v>
      </c>
      <c r="D537" t="str">
        <f>"021-1948"</f>
        <v>021-1948</v>
      </c>
      <c r="E537" t="str">
        <f>"153280822DD"</f>
        <v>153280822DD</v>
      </c>
      <c r="F537" t="str">
        <f t="shared" si="95"/>
        <v>0352480F</v>
      </c>
      <c r="G537" t="str">
        <f t="shared" si="96"/>
        <v>O</v>
      </c>
      <c r="H537">
        <v>10</v>
      </c>
      <c r="I537">
        <v>2001</v>
      </c>
      <c r="J537">
        <v>2</v>
      </c>
      <c r="K537" t="str">
        <f>"S"</f>
        <v>S</v>
      </c>
      <c r="L537">
        <v>17</v>
      </c>
      <c r="M537">
        <v>2018</v>
      </c>
      <c r="N537" t="str">
        <f t="shared" si="97"/>
        <v>E</v>
      </c>
      <c r="O537" t="str">
        <f>"N"</f>
        <v>N</v>
      </c>
      <c r="P537">
        <v>0</v>
      </c>
      <c r="Q537">
        <v>100</v>
      </c>
      <c r="R537">
        <v>100</v>
      </c>
      <c r="S537">
        <v>35170</v>
      </c>
      <c r="T537">
        <v>100</v>
      </c>
      <c r="U537">
        <v>35170</v>
      </c>
      <c r="V537" t="str">
        <f>"TOEIC à l'ENSAI le 19/05/2022: score 885"</f>
        <v>TOEIC à l'ENSAI le 19/05/2022: score 885</v>
      </c>
      <c r="W537">
        <v>34</v>
      </c>
      <c r="X537">
        <v>0</v>
      </c>
      <c r="Y537">
        <v>6000577</v>
      </c>
      <c r="Z537" t="str">
        <f>""</f>
        <v/>
      </c>
      <c r="AA537">
        <v>27</v>
      </c>
      <c r="AB537" t="str">
        <f>""</f>
        <v/>
      </c>
      <c r="AC537" t="str">
        <f>""</f>
        <v/>
      </c>
      <c r="AD537" t="str">
        <f>""</f>
        <v/>
      </c>
      <c r="AE537">
        <v>2018</v>
      </c>
      <c r="AF537">
        <v>2021</v>
      </c>
      <c r="AG537" t="str">
        <f>"BRUZ"</f>
        <v>BRUZ</v>
      </c>
      <c r="AH537" t="str">
        <f>"BRUZ"</f>
        <v>BRUZ</v>
      </c>
      <c r="AI537" t="str">
        <f>""</f>
        <v/>
      </c>
      <c r="AJ537" t="str">
        <f>""</f>
        <v/>
      </c>
      <c r="AK537" t="str">
        <f>""</f>
        <v/>
      </c>
      <c r="AL537">
        <v>34</v>
      </c>
      <c r="AM537" t="str">
        <f>""</f>
        <v/>
      </c>
      <c r="AN537" t="str">
        <f>""</f>
        <v/>
      </c>
      <c r="AO537" t="str">
        <f>"Lycée Immaculée Conception"</f>
        <v>Lycée Immaculée Conception</v>
      </c>
      <c r="AP537" t="str">
        <f>"LAVAL"</f>
        <v>LAVAL</v>
      </c>
      <c r="AQ537" t="str">
        <f>"Nantes"</f>
        <v>Nantes</v>
      </c>
    </row>
    <row r="538" spans="1:43" x14ac:dyDescent="0.25">
      <c r="A538" t="str">
        <f t="shared" si="99"/>
        <v>3A Ing sortant,T00000</v>
      </c>
      <c r="B538" t="str">
        <f>"ZHANG"</f>
        <v>ZHANG</v>
      </c>
      <c r="C538" t="str">
        <f>"Banruo"</f>
        <v>Banruo</v>
      </c>
      <c r="D538" t="str">
        <f>"021-1955"</f>
        <v>021-1955</v>
      </c>
      <c r="E538" t="str">
        <f>"09G9KT01IH9"</f>
        <v>09G9KT01IH9</v>
      </c>
      <c r="F538" t="str">
        <f t="shared" si="95"/>
        <v>0352480F</v>
      </c>
      <c r="G538" t="str">
        <f t="shared" si="96"/>
        <v>O</v>
      </c>
      <c r="H538">
        <v>10</v>
      </c>
      <c r="I538">
        <v>2000</v>
      </c>
      <c r="J538">
        <v>2</v>
      </c>
      <c r="K538">
        <v>31</v>
      </c>
      <c r="L538">
        <v>0</v>
      </c>
      <c r="M538">
        <v>2018</v>
      </c>
      <c r="N538" t="str">
        <f t="shared" si="97"/>
        <v>E</v>
      </c>
      <c r="O538" t="str">
        <f>"C"</f>
        <v>C</v>
      </c>
      <c r="P538">
        <v>0</v>
      </c>
      <c r="Q538">
        <v>216</v>
      </c>
      <c r="R538">
        <v>100</v>
      </c>
      <c r="S538">
        <v>35170</v>
      </c>
      <c r="T538">
        <v>100</v>
      </c>
      <c r="U538">
        <v>35170</v>
      </c>
      <c r="V538" t="str">
        <f>"Niveau B2 en français (DELF) à Clermont-Ferrand, le 3/2021  TOEIC à l'ENSAI le 19/05/2022: score 865"</f>
        <v>Niveau B2 en français (DELF) à Clermont-Ferrand, le 3/2021  TOEIC à l'ENSAI le 19/05/2022: score 865</v>
      </c>
      <c r="W538">
        <v>99</v>
      </c>
      <c r="X538">
        <v>0</v>
      </c>
      <c r="Y538">
        <v>6000577</v>
      </c>
      <c r="Z538" t="str">
        <f>""</f>
        <v/>
      </c>
      <c r="AA538">
        <v>27</v>
      </c>
      <c r="AB538" t="str">
        <f>""</f>
        <v/>
      </c>
      <c r="AC538" t="str">
        <f>""</f>
        <v/>
      </c>
      <c r="AD538" t="str">
        <f>""</f>
        <v/>
      </c>
      <c r="AE538">
        <v>2019</v>
      </c>
      <c r="AF538">
        <v>2021</v>
      </c>
      <c r="AG538" t="str">
        <f>"Bruz"</f>
        <v>Bruz</v>
      </c>
      <c r="AH538" t="str">
        <f>"Bruz"</f>
        <v>Bruz</v>
      </c>
      <c r="AI538" t="str">
        <f>""</f>
        <v/>
      </c>
      <c r="AJ538" t="str">
        <f>""</f>
        <v/>
      </c>
      <c r="AK538" t="str">
        <f>""</f>
        <v/>
      </c>
      <c r="AL538">
        <v>99</v>
      </c>
      <c r="AM538" t="str">
        <f>""</f>
        <v/>
      </c>
      <c r="AN538" t="str">
        <f>""</f>
        <v/>
      </c>
      <c r="AO538" t="str">
        <f>"l'École Expérimental de l'École No2 de la ville de"</f>
        <v>l'École Expérimental de l'École No2 de la ville de</v>
      </c>
      <c r="AP538" t="str">
        <f>"SHIJIAZHUANG"</f>
        <v>SHIJIAZHUANG</v>
      </c>
      <c r="AQ538" t="str">
        <f>"Etranger"</f>
        <v>Etranger</v>
      </c>
    </row>
    <row r="539" spans="1:43" x14ac:dyDescent="0.25">
      <c r="A539" t="str">
        <f t="shared" si="99"/>
        <v>3A Ing sortant,T00000</v>
      </c>
      <c r="B539" t="str">
        <f>"ZIZI"</f>
        <v>ZIZI</v>
      </c>
      <c r="C539" t="str">
        <f>"Slimane"</f>
        <v>Slimane</v>
      </c>
      <c r="D539" t="str">
        <f>"021-1998"</f>
        <v>021-1998</v>
      </c>
      <c r="E539" t="str">
        <f>"183045087CE"</f>
        <v>183045087CE</v>
      </c>
      <c r="F539" t="str">
        <f t="shared" si="95"/>
        <v>0352480F</v>
      </c>
      <c r="G539" t="str">
        <f t="shared" si="96"/>
        <v>O</v>
      </c>
      <c r="H539">
        <v>10</v>
      </c>
      <c r="I539">
        <v>2000</v>
      </c>
      <c r="J539">
        <v>1</v>
      </c>
      <c r="K539" t="str">
        <f>"S"</f>
        <v>S</v>
      </c>
      <c r="L539" t="str">
        <f>""</f>
        <v/>
      </c>
      <c r="M539">
        <v>2018</v>
      </c>
      <c r="N539" t="str">
        <f t="shared" si="97"/>
        <v>E</v>
      </c>
      <c r="O539" t="str">
        <f>"D"</f>
        <v>D</v>
      </c>
      <c r="P539">
        <v>0</v>
      </c>
      <c r="Q539">
        <v>350</v>
      </c>
      <c r="R539">
        <v>100</v>
      </c>
      <c r="S539">
        <v>35170</v>
      </c>
      <c r="T539">
        <v>100</v>
      </c>
      <c r="U539">
        <v>35170</v>
      </c>
      <c r="V539" t="str">
        <f>"TOEIC à l'ENSAI le 19/05/2022: score 940"</f>
        <v>TOEIC à l'ENSAI le 19/05/2022: score 940</v>
      </c>
      <c r="W539">
        <v>31</v>
      </c>
      <c r="X539">
        <v>0</v>
      </c>
      <c r="Y539">
        <v>6000577</v>
      </c>
      <c r="Z539" t="str">
        <f>""</f>
        <v/>
      </c>
      <c r="AA539">
        <v>27</v>
      </c>
      <c r="AB539" t="str">
        <f>""</f>
        <v/>
      </c>
      <c r="AC539" t="str">
        <f>""</f>
        <v/>
      </c>
      <c r="AD539" t="str">
        <f>""</f>
        <v/>
      </c>
      <c r="AE539">
        <v>2018</v>
      </c>
      <c r="AF539">
        <v>2021</v>
      </c>
      <c r="AG539" t="str">
        <f>"BRUZ"</f>
        <v>BRUZ</v>
      </c>
      <c r="AH539" t="str">
        <f>"BRUZ"</f>
        <v>BRUZ</v>
      </c>
      <c r="AI539" t="str">
        <f>""</f>
        <v/>
      </c>
      <c r="AJ539" t="str">
        <f>""</f>
        <v/>
      </c>
      <c r="AK539" t="str">
        <f>""</f>
        <v/>
      </c>
      <c r="AL539">
        <v>0</v>
      </c>
      <c r="AM539" t="str">
        <f>""</f>
        <v/>
      </c>
      <c r="AN539" t="str">
        <f>""</f>
        <v/>
      </c>
      <c r="AO539" t="str">
        <f>""</f>
        <v/>
      </c>
      <c r="AP539" t="str">
        <f>""</f>
        <v/>
      </c>
      <c r="AQ539" t="str">
        <f>""</f>
        <v/>
      </c>
    </row>
    <row r="540" spans="1:43" x14ac:dyDescent="0.25">
      <c r="A540" t="str">
        <f>"3A,3A GR,OFPR,T00000,3A Ing"</f>
        <v>3A,3A GR,OFPR,T00000,3A Ing</v>
      </c>
      <c r="B540" t="str">
        <f>"ABOULA EDANG"</f>
        <v>ABOULA EDANG</v>
      </c>
      <c r="C540" t="str">
        <f>"Jean Grivo"</f>
        <v>Jean Grivo</v>
      </c>
      <c r="D540" t="str">
        <f>"023-2370"</f>
        <v>023-2370</v>
      </c>
      <c r="E540" t="str">
        <f>"223381195AJ"</f>
        <v>223381195AJ</v>
      </c>
      <c r="F540" t="str">
        <f t="shared" si="95"/>
        <v>0352480F</v>
      </c>
      <c r="G540" t="str">
        <f t="shared" si="96"/>
        <v>O</v>
      </c>
      <c r="H540">
        <v>10</v>
      </c>
      <c r="I540">
        <v>2003</v>
      </c>
      <c r="J540">
        <v>1</v>
      </c>
      <c r="K540" t="str">
        <f>"C"</f>
        <v>C</v>
      </c>
      <c r="L540">
        <v>0</v>
      </c>
      <c r="M540">
        <v>2019</v>
      </c>
      <c r="N540" t="str">
        <f t="shared" si="97"/>
        <v>E</v>
      </c>
      <c r="O540">
        <v>2</v>
      </c>
      <c r="P540">
        <v>0</v>
      </c>
      <c r="Q540">
        <v>328</v>
      </c>
      <c r="R540">
        <v>100</v>
      </c>
      <c r="S540">
        <v>35170</v>
      </c>
      <c r="T540">
        <v>100</v>
      </c>
      <c r="U540">
        <v>35170</v>
      </c>
      <c r="V540" t="str">
        <f>"TOEIC 2A - 11/04/2024 : 840"</f>
        <v>TOEIC 2A - 11/04/2024 : 840</v>
      </c>
      <c r="W540">
        <v>81</v>
      </c>
      <c r="X540">
        <v>0</v>
      </c>
      <c r="Y540">
        <v>6000577</v>
      </c>
      <c r="Z540">
        <v>3</v>
      </c>
      <c r="AA540">
        <v>27</v>
      </c>
      <c r="AB540" t="str">
        <f>""</f>
        <v/>
      </c>
      <c r="AC540" t="str">
        <f>""</f>
        <v/>
      </c>
      <c r="AD540" t="str">
        <f>""</f>
        <v/>
      </c>
      <c r="AE540">
        <v>2019</v>
      </c>
      <c r="AF540">
        <v>2023</v>
      </c>
      <c r="AG540" t="str">
        <f>"Bruz"</f>
        <v>Bruz</v>
      </c>
      <c r="AH540" t="str">
        <f>"Bruz"</f>
        <v>Bruz</v>
      </c>
      <c r="AI540" t="str">
        <f>""</f>
        <v/>
      </c>
      <c r="AJ540" t="str">
        <f>""</f>
        <v/>
      </c>
      <c r="AK540" t="str">
        <f>""</f>
        <v/>
      </c>
      <c r="AL540">
        <v>99</v>
      </c>
      <c r="AM540" t="str">
        <f>""</f>
        <v/>
      </c>
      <c r="AN540" t="str">
        <f>""</f>
        <v/>
      </c>
      <c r="AO540" t="str">
        <f>"LYCEE NATIONAL LEON MBA"</f>
        <v>LYCEE NATIONAL LEON MBA</v>
      </c>
      <c r="AP540" t="str">
        <f>"LIBREVILLE"</f>
        <v>LIBREVILLE</v>
      </c>
      <c r="AQ540" t="str">
        <f>"Etranger"</f>
        <v>Etranger</v>
      </c>
    </row>
    <row r="541" spans="1:43" x14ac:dyDescent="0.25">
      <c r="A541" t="str">
        <f t="shared" ref="A541:A554" si="101">"3A,3A GR,T00000,3A Ing"</f>
        <v>3A,3A GR,T00000,3A Ing</v>
      </c>
      <c r="B541" t="str">
        <f>"AGOSSOU"</f>
        <v>AGOSSOU</v>
      </c>
      <c r="C541" t="str">
        <f>"Fèmi Boris Junios"</f>
        <v>Fèmi Boris Junios</v>
      </c>
      <c r="D541" t="str">
        <f>"023-2373"</f>
        <v>023-2373</v>
      </c>
      <c r="E541" t="str">
        <f>"223348709KG"</f>
        <v>223348709KG</v>
      </c>
      <c r="F541" t="str">
        <f t="shared" si="95"/>
        <v>0352480F</v>
      </c>
      <c r="G541" t="str">
        <f t="shared" si="96"/>
        <v>O</v>
      </c>
      <c r="H541">
        <v>10</v>
      </c>
      <c r="I541">
        <v>1997</v>
      </c>
      <c r="J541">
        <v>1</v>
      </c>
      <c r="K541" t="str">
        <f>"D"</f>
        <v>D</v>
      </c>
      <c r="L541">
        <v>0</v>
      </c>
      <c r="M541">
        <v>2017</v>
      </c>
      <c r="N541" t="str">
        <f t="shared" si="97"/>
        <v>E</v>
      </c>
      <c r="O541" t="str">
        <f>"N"</f>
        <v>N</v>
      </c>
      <c r="P541">
        <v>0</v>
      </c>
      <c r="Q541">
        <v>327</v>
      </c>
      <c r="R541">
        <v>100</v>
      </c>
      <c r="S541">
        <v>35170</v>
      </c>
      <c r="T541">
        <v>100</v>
      </c>
      <c r="U541">
        <v>35170</v>
      </c>
      <c r="V541" t="str">
        <f>"Linguaskill General le 18/04/2024: 142 (niveau B1) = 550 au TOEIC"</f>
        <v>Linguaskill General le 18/04/2024: 142 (niveau B1) = 550 au TOEIC</v>
      </c>
      <c r="W541">
        <v>73</v>
      </c>
      <c r="X541">
        <v>0</v>
      </c>
      <c r="Y541">
        <v>6000577</v>
      </c>
      <c r="Z541">
        <v>3</v>
      </c>
      <c r="AA541">
        <v>27</v>
      </c>
      <c r="AB541" t="str">
        <f>""</f>
        <v/>
      </c>
      <c r="AC541" t="str">
        <f>""</f>
        <v/>
      </c>
      <c r="AD541" t="str">
        <f>""</f>
        <v/>
      </c>
      <c r="AE541">
        <v>2017</v>
      </c>
      <c r="AF541">
        <v>2023</v>
      </c>
      <c r="AG541" t="str">
        <f>"Bruz"</f>
        <v>Bruz</v>
      </c>
      <c r="AH541" t="str">
        <f>"Bruz"</f>
        <v>Bruz</v>
      </c>
      <c r="AI541" t="str">
        <f>""</f>
        <v/>
      </c>
      <c r="AJ541" t="str">
        <f>""</f>
        <v/>
      </c>
      <c r="AK541" t="str">
        <f>""</f>
        <v/>
      </c>
      <c r="AL541">
        <v>22</v>
      </c>
      <c r="AM541" t="str">
        <f>""</f>
        <v/>
      </c>
      <c r="AN541" t="str">
        <f>""</f>
        <v/>
      </c>
      <c r="AO541" t="str">
        <f>"CEG Anavié"</f>
        <v>CEG Anavié</v>
      </c>
      <c r="AP541" t="str">
        <f>"PORTO-NOVO"</f>
        <v>PORTO-NOVO</v>
      </c>
      <c r="AQ541" t="str">
        <f>"Etranger"</f>
        <v>Etranger</v>
      </c>
    </row>
    <row r="542" spans="1:43" x14ac:dyDescent="0.25">
      <c r="A542" t="str">
        <f t="shared" si="101"/>
        <v>3A,3A GR,T00000,3A Ing</v>
      </c>
      <c r="B542" t="str">
        <f>"BOUZAYENE"</f>
        <v>BOUZAYENE</v>
      </c>
      <c r="C542" t="str">
        <f>"Safa"</f>
        <v>Safa</v>
      </c>
      <c r="D542" t="str">
        <f>"023-2406"</f>
        <v>023-2406</v>
      </c>
      <c r="E542" t="str">
        <f>"223391715GB"</f>
        <v>223391715GB</v>
      </c>
      <c r="F542" t="str">
        <f t="shared" si="95"/>
        <v>0352480F</v>
      </c>
      <c r="G542" t="str">
        <f t="shared" si="96"/>
        <v>O</v>
      </c>
      <c r="H542">
        <v>10</v>
      </c>
      <c r="I542">
        <v>2000</v>
      </c>
      <c r="J542">
        <v>2</v>
      </c>
      <c r="K542" t="str">
        <f>""</f>
        <v/>
      </c>
      <c r="L542" t="str">
        <f>""</f>
        <v/>
      </c>
      <c r="M542" t="str">
        <f>""</f>
        <v/>
      </c>
      <c r="N542" t="str">
        <f t="shared" si="97"/>
        <v>E</v>
      </c>
      <c r="O542" t="str">
        <f>""</f>
        <v/>
      </c>
      <c r="P542">
        <v>0</v>
      </c>
      <c r="Q542">
        <v>351</v>
      </c>
      <c r="R542">
        <v>100</v>
      </c>
      <c r="S542" t="str">
        <f>"Bruz"</f>
        <v>Bruz</v>
      </c>
      <c r="T542">
        <v>100</v>
      </c>
      <c r="U542" t="str">
        <f>"Bruz"</f>
        <v>Bruz</v>
      </c>
      <c r="V542" t="str">
        <f>"TOEIC 2A - 11/04/2024 : 890"</f>
        <v>TOEIC 2A - 11/04/2024 : 890</v>
      </c>
      <c r="W542">
        <v>0</v>
      </c>
      <c r="X542">
        <v>0</v>
      </c>
      <c r="Y542">
        <v>6000577</v>
      </c>
      <c r="Z542">
        <v>3</v>
      </c>
      <c r="AA542">
        <v>27</v>
      </c>
      <c r="AB542" t="str">
        <f>""</f>
        <v/>
      </c>
      <c r="AC542" t="str">
        <f>""</f>
        <v/>
      </c>
      <c r="AD542" t="str">
        <f>""</f>
        <v/>
      </c>
      <c r="AE542" t="str">
        <f>""</f>
        <v/>
      </c>
      <c r="AF542">
        <v>2023</v>
      </c>
      <c r="AG542" t="str">
        <f>""</f>
        <v/>
      </c>
      <c r="AH542" t="str">
        <f>""</f>
        <v/>
      </c>
      <c r="AI542" t="str">
        <f>""</f>
        <v/>
      </c>
      <c r="AJ542" t="str">
        <f>""</f>
        <v/>
      </c>
      <c r="AK542" t="str">
        <f>""</f>
        <v/>
      </c>
      <c r="AL542">
        <v>0</v>
      </c>
      <c r="AM542" t="str">
        <f>""</f>
        <v/>
      </c>
      <c r="AN542" t="str">
        <f>""</f>
        <v/>
      </c>
      <c r="AO542" t="str">
        <f>""</f>
        <v/>
      </c>
      <c r="AP542" t="str">
        <f>""</f>
        <v/>
      </c>
      <c r="AQ542" t="str">
        <f>""</f>
        <v/>
      </c>
    </row>
    <row r="543" spans="1:43" x14ac:dyDescent="0.25">
      <c r="A543" t="str">
        <f t="shared" si="101"/>
        <v>3A,3A GR,T00000,3A Ing</v>
      </c>
      <c r="B543" t="str">
        <f>"CHERRAK"</f>
        <v>CHERRAK</v>
      </c>
      <c r="C543" t="str">
        <f>"Sami"</f>
        <v>Sami</v>
      </c>
      <c r="D543" t="str">
        <f>"022-2292"</f>
        <v>022-2292</v>
      </c>
      <c r="E543" t="str">
        <f>"060370137EE"</f>
        <v>060370137EE</v>
      </c>
      <c r="F543" t="str">
        <f t="shared" si="95"/>
        <v>0352480F</v>
      </c>
      <c r="G543" t="str">
        <f t="shared" si="96"/>
        <v>O</v>
      </c>
      <c r="H543">
        <v>10</v>
      </c>
      <c r="I543">
        <v>2002</v>
      </c>
      <c r="J543">
        <v>1</v>
      </c>
      <c r="K543" t="str">
        <f>"S"</f>
        <v>S</v>
      </c>
      <c r="L543">
        <v>25</v>
      </c>
      <c r="M543">
        <v>2020</v>
      </c>
      <c r="N543" t="str">
        <f t="shared" si="97"/>
        <v>E</v>
      </c>
      <c r="O543" t="str">
        <f>"A"</f>
        <v>A</v>
      </c>
      <c r="P543">
        <v>0</v>
      </c>
      <c r="Q543">
        <v>100</v>
      </c>
      <c r="R543">
        <v>100</v>
      </c>
      <c r="S543">
        <v>35000</v>
      </c>
      <c r="T543">
        <v>100</v>
      </c>
      <c r="U543">
        <v>35000</v>
      </c>
      <c r="V543" t="str">
        <f>"TOEIC passé à l'ENSAI le 22/05/2023 : score 940"</f>
        <v>TOEIC passé à l'ENSAI le 22/05/2023 : score 940</v>
      </c>
      <c r="W543">
        <v>23</v>
      </c>
      <c r="X543">
        <v>0</v>
      </c>
      <c r="Y543">
        <v>6000577</v>
      </c>
      <c r="Z543">
        <v>3</v>
      </c>
      <c r="AA543">
        <v>27</v>
      </c>
      <c r="AB543" t="str">
        <f>""</f>
        <v/>
      </c>
      <c r="AC543" t="str">
        <f>""</f>
        <v/>
      </c>
      <c r="AD543" t="str">
        <f>""</f>
        <v/>
      </c>
      <c r="AE543">
        <v>2020</v>
      </c>
      <c r="AF543">
        <v>2022</v>
      </c>
      <c r="AG543" t="str">
        <f>"Rennes"</f>
        <v>Rennes</v>
      </c>
      <c r="AH543" t="str">
        <f>"Rennes"</f>
        <v>Rennes</v>
      </c>
      <c r="AI543" t="str">
        <f>""</f>
        <v/>
      </c>
      <c r="AJ543" t="str">
        <f>""</f>
        <v/>
      </c>
      <c r="AK543" t="str">
        <f>""</f>
        <v/>
      </c>
      <c r="AL543">
        <v>38</v>
      </c>
      <c r="AM543" t="str">
        <f>""</f>
        <v/>
      </c>
      <c r="AN543" t="str">
        <f>""</f>
        <v/>
      </c>
      <c r="AO543" t="str">
        <f>"Lycée Alain"</f>
        <v>Lycée Alain</v>
      </c>
      <c r="AP543" t="str">
        <f>"LE VÉSINET"</f>
        <v>LE VÉSINET</v>
      </c>
      <c r="AQ543" t="str">
        <f>"Versailles"</f>
        <v>Versailles</v>
      </c>
    </row>
    <row r="544" spans="1:43" x14ac:dyDescent="0.25">
      <c r="A544" t="str">
        <f t="shared" si="101"/>
        <v>3A,3A GR,T00000,3A Ing</v>
      </c>
      <c r="B544" t="str">
        <f>"DEBA WANDJI"</f>
        <v>DEBA WANDJI</v>
      </c>
      <c r="C544" t="str">
        <f>"Franck"</f>
        <v>Franck</v>
      </c>
      <c r="D544" t="str">
        <f>"023-2375"</f>
        <v>023-2375</v>
      </c>
      <c r="E544" t="str">
        <f>"223391774AC"</f>
        <v>223391774AC</v>
      </c>
      <c r="F544" t="str">
        <f t="shared" si="95"/>
        <v>0352480F</v>
      </c>
      <c r="G544" t="str">
        <f t="shared" si="96"/>
        <v>O</v>
      </c>
      <c r="H544">
        <v>10</v>
      </c>
      <c r="I544">
        <v>1999</v>
      </c>
      <c r="J544">
        <v>1</v>
      </c>
      <c r="K544" t="str">
        <f>"C"</f>
        <v>C</v>
      </c>
      <c r="L544">
        <v>0</v>
      </c>
      <c r="M544">
        <v>2017</v>
      </c>
      <c r="N544" t="str">
        <f t="shared" si="97"/>
        <v>E</v>
      </c>
      <c r="O544" t="str">
        <f>"N"</f>
        <v>N</v>
      </c>
      <c r="P544">
        <v>0</v>
      </c>
      <c r="Q544">
        <v>322</v>
      </c>
      <c r="R544">
        <v>100</v>
      </c>
      <c r="S544">
        <v>35170</v>
      </c>
      <c r="T544">
        <v>100</v>
      </c>
      <c r="U544">
        <v>35170</v>
      </c>
      <c r="V544" t="str">
        <f>"TOEIC 2A à l'ENSAI 08-01-2024 : 895"</f>
        <v>TOEIC 2A à l'ENSAI 08-01-2024 : 895</v>
      </c>
      <c r="W544">
        <v>99</v>
      </c>
      <c r="X544">
        <v>0</v>
      </c>
      <c r="Y544">
        <v>6000577</v>
      </c>
      <c r="Z544">
        <v>3</v>
      </c>
      <c r="AA544">
        <v>27</v>
      </c>
      <c r="AB544" t="str">
        <f>""</f>
        <v/>
      </c>
      <c r="AC544" t="str">
        <f>""</f>
        <v/>
      </c>
      <c r="AD544" t="str">
        <f>""</f>
        <v/>
      </c>
      <c r="AE544">
        <v>2023</v>
      </c>
      <c r="AF544">
        <v>2023</v>
      </c>
      <c r="AG544" t="str">
        <f>"Bruz"</f>
        <v>Bruz</v>
      </c>
      <c r="AH544" t="str">
        <f>"Bruz"</f>
        <v>Bruz</v>
      </c>
      <c r="AI544" t="str">
        <f>""</f>
        <v/>
      </c>
      <c r="AJ544" t="str">
        <f>""</f>
        <v/>
      </c>
      <c r="AK544" t="str">
        <f>""</f>
        <v/>
      </c>
      <c r="AL544">
        <v>0</v>
      </c>
      <c r="AM544" t="str">
        <f>""</f>
        <v/>
      </c>
      <c r="AN544" t="str">
        <f>""</f>
        <v/>
      </c>
      <c r="AO544" t="str">
        <f>"Lycée Bilingue d'Emana"</f>
        <v>Lycée Bilingue d'Emana</v>
      </c>
      <c r="AP544" t="str">
        <f>"YAOUNDÉ"</f>
        <v>YAOUNDÉ</v>
      </c>
      <c r="AQ544" t="str">
        <f>"Etranger"</f>
        <v>Etranger</v>
      </c>
    </row>
    <row r="545" spans="1:43" x14ac:dyDescent="0.25">
      <c r="A545" t="str">
        <f t="shared" si="101"/>
        <v>3A,3A GR,T00000,3A Ing</v>
      </c>
      <c r="B545" t="str">
        <f>"HARWANIMANA NIYODUSHIMA"</f>
        <v>HARWANIMANA NIYODUSHIMA</v>
      </c>
      <c r="C545" t="str">
        <f>"Jules Christian"</f>
        <v>Jules Christian</v>
      </c>
      <c r="D545" t="str">
        <f>"023-2372"</f>
        <v>023-2372</v>
      </c>
      <c r="E545" t="str">
        <f>"223391809GE"</f>
        <v>223391809GE</v>
      </c>
      <c r="F545" t="str">
        <f t="shared" si="95"/>
        <v>0352480F</v>
      </c>
      <c r="G545" t="str">
        <f t="shared" si="96"/>
        <v>O</v>
      </c>
      <c r="H545">
        <v>10</v>
      </c>
      <c r="I545">
        <v>1999</v>
      </c>
      <c r="J545">
        <v>1</v>
      </c>
      <c r="K545" t="str">
        <f>"C"</f>
        <v>C</v>
      </c>
      <c r="L545">
        <v>0</v>
      </c>
      <c r="M545">
        <v>2017</v>
      </c>
      <c r="N545" t="str">
        <f t="shared" si="97"/>
        <v>E</v>
      </c>
      <c r="O545" t="str">
        <f>"E"</f>
        <v>E</v>
      </c>
      <c r="P545">
        <v>0</v>
      </c>
      <c r="Q545">
        <v>340</v>
      </c>
      <c r="R545">
        <v>100</v>
      </c>
      <c r="S545">
        <v>35170</v>
      </c>
      <c r="T545">
        <v>100</v>
      </c>
      <c r="U545">
        <v>35170</v>
      </c>
      <c r="V545" t="str">
        <f>"Bourse Eiffel - 24 mois (-&amp;gt: 09/2025)  1031EUR/mois  TOEIC 2A à l'ENSAI 08-01-2024 : 805  *Linguaskill 2A à l'ENSAI le 18/04/2024 : 175 (niveau B2) = 905 au TOEIC"</f>
        <v>Bourse Eiffel - 24 mois (-&amp;gt: 09/2025)  1031EUR/mois  TOEIC 2A à l'ENSAI 08-01-2024 : 805  *Linguaskill 2A à l'ENSAI le 18/04/2024 : 175 (niveau B2) = 905 au TOEIC</v>
      </c>
      <c r="W545">
        <v>22</v>
      </c>
      <c r="X545">
        <v>0</v>
      </c>
      <c r="Y545">
        <v>6000577</v>
      </c>
      <c r="Z545">
        <v>3</v>
      </c>
      <c r="AA545">
        <v>27</v>
      </c>
      <c r="AB545" t="str">
        <f>""</f>
        <v/>
      </c>
      <c r="AC545" t="str">
        <f>""</f>
        <v/>
      </c>
      <c r="AD545" t="str">
        <f>""</f>
        <v/>
      </c>
      <c r="AE545">
        <v>2017</v>
      </c>
      <c r="AF545">
        <v>2023</v>
      </c>
      <c r="AG545" t="str">
        <f>"Rennes"</f>
        <v>Rennes</v>
      </c>
      <c r="AH545" t="str">
        <f>"Rennes"</f>
        <v>Rennes</v>
      </c>
      <c r="AI545" t="str">
        <f>""</f>
        <v/>
      </c>
      <c r="AJ545" t="str">
        <f>""</f>
        <v/>
      </c>
      <c r="AK545" t="str">
        <f>""</f>
        <v/>
      </c>
      <c r="AL545">
        <v>22</v>
      </c>
      <c r="AM545" t="str">
        <f>""</f>
        <v/>
      </c>
      <c r="AN545" t="str">
        <f>""</f>
        <v/>
      </c>
      <c r="AO545" t="str">
        <f>"INSTITUT VICTOR HUGO"</f>
        <v>INSTITUT VICTOR HUGO</v>
      </c>
      <c r="AP545" t="str">
        <f>"YAOUNDE"</f>
        <v>YAOUNDE</v>
      </c>
      <c r="AQ545" t="str">
        <f>"Etranger"</f>
        <v>Etranger</v>
      </c>
    </row>
    <row r="546" spans="1:43" x14ac:dyDescent="0.25">
      <c r="A546" t="str">
        <f t="shared" si="101"/>
        <v>3A,3A GR,T00000,3A Ing</v>
      </c>
      <c r="B546" t="str">
        <f>"KOUADIO"</f>
        <v>KOUADIO</v>
      </c>
      <c r="C546" t="str">
        <f>"Cheryl"</f>
        <v>Cheryl</v>
      </c>
      <c r="D546" t="str">
        <f>"022-2144"</f>
        <v>022-2144</v>
      </c>
      <c r="E546" t="str">
        <f>"0G7BCV03D53"</f>
        <v>0G7BCV03D53</v>
      </c>
      <c r="F546" t="str">
        <f t="shared" si="95"/>
        <v>0352480F</v>
      </c>
      <c r="G546" t="str">
        <f t="shared" si="96"/>
        <v>O</v>
      </c>
      <c r="H546">
        <v>10</v>
      </c>
      <c r="I546">
        <v>2003</v>
      </c>
      <c r="J546">
        <v>2</v>
      </c>
      <c r="K546">
        <v>31</v>
      </c>
      <c r="L546">
        <v>0</v>
      </c>
      <c r="M546">
        <v>2020</v>
      </c>
      <c r="N546" t="str">
        <f t="shared" si="97"/>
        <v>E</v>
      </c>
      <c r="O546" t="str">
        <f>"C"</f>
        <v>C</v>
      </c>
      <c r="P546">
        <v>0</v>
      </c>
      <c r="Q546">
        <v>326</v>
      </c>
      <c r="R546">
        <v>100</v>
      </c>
      <c r="S546">
        <v>35170</v>
      </c>
      <c r="T546">
        <v>100</v>
      </c>
      <c r="U546">
        <v>35170</v>
      </c>
      <c r="V546" t="str">
        <f>"TOEIC passé à l'ENSAI le 22/05/2023 : score 910  Exonération des droits de scolarité 23-24 par la commission des bourses du 3/10/23"</f>
        <v>TOEIC passé à l'ENSAI le 22/05/2023 : score 910  Exonération des droits de scolarité 23-24 par la commission des bourses du 3/10/23</v>
      </c>
      <c r="W546">
        <v>31</v>
      </c>
      <c r="X546">
        <v>0</v>
      </c>
      <c r="Y546">
        <v>6000577</v>
      </c>
      <c r="Z546">
        <v>3</v>
      </c>
      <c r="AA546">
        <v>27</v>
      </c>
      <c r="AB546" t="str">
        <f>""</f>
        <v/>
      </c>
      <c r="AC546" t="str">
        <f>""</f>
        <v/>
      </c>
      <c r="AD546" t="str">
        <f>""</f>
        <v/>
      </c>
      <c r="AE546">
        <v>2020</v>
      </c>
      <c r="AF546">
        <v>2022</v>
      </c>
      <c r="AG546" t="str">
        <f>"Bruz"</f>
        <v>Bruz</v>
      </c>
      <c r="AH546" t="str">
        <f>"Bruz"</f>
        <v>Bruz</v>
      </c>
      <c r="AI546" t="str">
        <f>""</f>
        <v/>
      </c>
      <c r="AJ546" t="str">
        <f>""</f>
        <v/>
      </c>
      <c r="AK546" t="str">
        <f>""</f>
        <v/>
      </c>
      <c r="AL546">
        <v>42</v>
      </c>
      <c r="AM546" t="str">
        <f>""</f>
        <v/>
      </c>
      <c r="AN546" t="str">
        <f>""</f>
        <v/>
      </c>
      <c r="AO546" t="str">
        <f>"Lycée international jean mermoz"</f>
        <v>Lycée international jean mermoz</v>
      </c>
      <c r="AP546" t="str">
        <f>"ABIDJAN"</f>
        <v>ABIDJAN</v>
      </c>
      <c r="AQ546" t="str">
        <f>"Etranger"</f>
        <v>Etranger</v>
      </c>
    </row>
    <row r="547" spans="1:43" x14ac:dyDescent="0.25">
      <c r="A547" t="str">
        <f t="shared" si="101"/>
        <v>3A,3A GR,T00000,3A Ing</v>
      </c>
      <c r="B547" t="str">
        <f>"KOUGOUM MOKO MANI"</f>
        <v>KOUGOUM MOKO MANI</v>
      </c>
      <c r="C547" t="str">
        <f>"Marilene"</f>
        <v>Marilene</v>
      </c>
      <c r="D547" t="str">
        <f>"023-2374"</f>
        <v>023-2374</v>
      </c>
      <c r="E547" t="str">
        <f>"223387541GE"</f>
        <v>223387541GE</v>
      </c>
      <c r="F547" t="str">
        <f t="shared" si="95"/>
        <v>0352480F</v>
      </c>
      <c r="G547" t="str">
        <f t="shared" si="96"/>
        <v>O</v>
      </c>
      <c r="H547">
        <v>10</v>
      </c>
      <c r="I547">
        <v>2000</v>
      </c>
      <c r="J547">
        <v>2</v>
      </c>
      <c r="K547" t="str">
        <f>"C"</f>
        <v>C</v>
      </c>
      <c r="L547">
        <v>0</v>
      </c>
      <c r="M547">
        <v>2016</v>
      </c>
      <c r="N547" t="str">
        <f t="shared" si="97"/>
        <v>E</v>
      </c>
      <c r="O547" t="str">
        <f>"Q"</f>
        <v>Q</v>
      </c>
      <c r="P547">
        <v>0</v>
      </c>
      <c r="Q547">
        <v>322</v>
      </c>
      <c r="R547">
        <v>100</v>
      </c>
      <c r="S547" t="str">
        <f>"S/C E"</f>
        <v>S/C E</v>
      </c>
      <c r="T547">
        <v>100</v>
      </c>
      <c r="U547" t="str">
        <f>"S/C E"</f>
        <v>S/C E</v>
      </c>
      <c r="V547" t="str">
        <f>"TOEIC 2A - 11/04/2024 : 835"</f>
        <v>TOEIC 2A - 11/04/2024 : 835</v>
      </c>
      <c r="W547">
        <v>0</v>
      </c>
      <c r="X547">
        <v>0</v>
      </c>
      <c r="Y547">
        <v>6000577</v>
      </c>
      <c r="Z547">
        <v>3</v>
      </c>
      <c r="AA547">
        <v>27</v>
      </c>
      <c r="AB547" t="str">
        <f>""</f>
        <v/>
      </c>
      <c r="AC547" t="str">
        <f>""</f>
        <v/>
      </c>
      <c r="AD547" t="str">
        <f>""</f>
        <v/>
      </c>
      <c r="AE547" t="str">
        <f>""</f>
        <v/>
      </c>
      <c r="AF547">
        <v>2023</v>
      </c>
      <c r="AG547" t="str">
        <f>"SEA 08 BP 03 Abidjan 08"</f>
        <v>SEA 08 BP 03 Abidjan 08</v>
      </c>
      <c r="AH547" t="str">
        <f>"SEA 08 BP 03 Abidjan 08"</f>
        <v>SEA 08 BP 03 Abidjan 08</v>
      </c>
      <c r="AI547" t="str">
        <f>""</f>
        <v/>
      </c>
      <c r="AJ547" t="str">
        <f>""</f>
        <v/>
      </c>
      <c r="AK547" t="str">
        <f>""</f>
        <v/>
      </c>
      <c r="AL547">
        <v>0</v>
      </c>
      <c r="AM547" t="str">
        <f>""</f>
        <v/>
      </c>
      <c r="AN547" t="str">
        <f>""</f>
        <v/>
      </c>
      <c r="AO547" t="str">
        <f>"Lycée bilingue de Gouache"</f>
        <v>Lycée bilingue de Gouache</v>
      </c>
      <c r="AP547" t="str">
        <f>"BAFOUSSAM"</f>
        <v>BAFOUSSAM</v>
      </c>
      <c r="AQ547" t="str">
        <f>"Etranger"</f>
        <v>Etranger</v>
      </c>
    </row>
    <row r="548" spans="1:43" x14ac:dyDescent="0.25">
      <c r="A548" t="str">
        <f t="shared" si="101"/>
        <v>3A,3A GR,T00000,3A Ing</v>
      </c>
      <c r="B548" t="str">
        <f>"MBAIORNOM MBAIHODJI"</f>
        <v>MBAIORNOM MBAIHODJI</v>
      </c>
      <c r="C548" t="str">
        <f>"Fernand"</f>
        <v>Fernand</v>
      </c>
      <c r="D548" t="str">
        <f>"023-2368"</f>
        <v>023-2368</v>
      </c>
      <c r="E548" t="str">
        <f>"223391824EK"</f>
        <v>223391824EK</v>
      </c>
      <c r="F548" t="str">
        <f t="shared" si="95"/>
        <v>0352480F</v>
      </c>
      <c r="G548" t="str">
        <f t="shared" si="96"/>
        <v>O</v>
      </c>
      <c r="H548">
        <v>10</v>
      </c>
      <c r="I548">
        <v>2001</v>
      </c>
      <c r="J548">
        <v>1</v>
      </c>
      <c r="K548" t="str">
        <f>"C"</f>
        <v>C</v>
      </c>
      <c r="L548">
        <v>0</v>
      </c>
      <c r="M548">
        <v>2018</v>
      </c>
      <c r="N548" t="str">
        <f t="shared" si="97"/>
        <v>E</v>
      </c>
      <c r="O548" t="str">
        <f>"E"</f>
        <v>E</v>
      </c>
      <c r="P548">
        <v>0</v>
      </c>
      <c r="Q548">
        <v>344</v>
      </c>
      <c r="R548">
        <v>100</v>
      </c>
      <c r="S548">
        <v>35700</v>
      </c>
      <c r="T548">
        <v>100</v>
      </c>
      <c r="U548">
        <v>35700</v>
      </c>
      <c r="V548" t="str">
        <f>"Bourse Eiffel 24 mois (-&amp;gt: 09/25) : 1031 EUR / mois  TOEIC 2A - 11/04/2024 : 645"</f>
        <v>Bourse Eiffel 24 mois (-&amp;gt: 09/25) : 1031 EUR / mois  TOEIC 2A - 11/04/2024 : 645</v>
      </c>
      <c r="W548">
        <v>34</v>
      </c>
      <c r="X548">
        <v>0</v>
      </c>
      <c r="Y548">
        <v>6000577</v>
      </c>
      <c r="Z548">
        <v>3</v>
      </c>
      <c r="AA548">
        <v>27</v>
      </c>
      <c r="AB548" t="str">
        <f>""</f>
        <v/>
      </c>
      <c r="AC548" t="str">
        <f>""</f>
        <v/>
      </c>
      <c r="AD548" t="str">
        <f>""</f>
        <v/>
      </c>
      <c r="AE548">
        <v>2023</v>
      </c>
      <c r="AF548">
        <v>2023</v>
      </c>
      <c r="AG548" t="str">
        <f>"Rennes"</f>
        <v>Rennes</v>
      </c>
      <c r="AH548" t="str">
        <f>"Rennes"</f>
        <v>Rennes</v>
      </c>
      <c r="AI548" t="str">
        <f>""</f>
        <v/>
      </c>
      <c r="AJ548" t="str">
        <f>""</f>
        <v/>
      </c>
      <c r="AK548" t="str">
        <f>""</f>
        <v/>
      </c>
      <c r="AL548">
        <v>0</v>
      </c>
      <c r="AM548" t="str">
        <f>""</f>
        <v/>
      </c>
      <c r="AN548" t="str">
        <f>""</f>
        <v/>
      </c>
      <c r="AO548" t="str">
        <f>"PADRE PIO"</f>
        <v>PADRE PIO</v>
      </c>
      <c r="AP548" t="str">
        <f>"BEBEDJIA"</f>
        <v>BEBEDJIA</v>
      </c>
      <c r="AQ548" t="str">
        <f>"Etranger"</f>
        <v>Etranger</v>
      </c>
    </row>
    <row r="549" spans="1:43" x14ac:dyDescent="0.25">
      <c r="A549" t="str">
        <f t="shared" si="101"/>
        <v>3A,3A GR,T00000,3A Ing</v>
      </c>
      <c r="B549" t="str">
        <f>"MOBELI"</f>
        <v>MOBELI</v>
      </c>
      <c r="C549" t="str">
        <f>"Jules Murphy Aristote"</f>
        <v>Jules Murphy Aristote</v>
      </c>
      <c r="D549" t="str">
        <f>"022-2166"</f>
        <v>022-2166</v>
      </c>
      <c r="E549" t="str">
        <f>"213466047BA"</f>
        <v>213466047BA</v>
      </c>
      <c r="F549" t="str">
        <f t="shared" si="95"/>
        <v>0352480F</v>
      </c>
      <c r="G549" t="str">
        <f t="shared" si="96"/>
        <v>O</v>
      </c>
      <c r="H549">
        <v>10</v>
      </c>
      <c r="I549">
        <v>2000</v>
      </c>
      <c r="J549">
        <v>1</v>
      </c>
      <c r="K549" t="str">
        <f>""</f>
        <v/>
      </c>
      <c r="L549" t="str">
        <f>""</f>
        <v/>
      </c>
      <c r="M549" t="str">
        <f>""</f>
        <v/>
      </c>
      <c r="N549" t="str">
        <f t="shared" si="97"/>
        <v>E</v>
      </c>
      <c r="O549" t="str">
        <f>""</f>
        <v/>
      </c>
      <c r="P549">
        <v>0</v>
      </c>
      <c r="Q549">
        <v>324</v>
      </c>
      <c r="R549">
        <v>100</v>
      </c>
      <c r="S549">
        <v>35170</v>
      </c>
      <c r="T549">
        <v>100</v>
      </c>
      <c r="U549">
        <v>35170</v>
      </c>
      <c r="V549" t="str">
        <f>"TOEIC 2A - 11/04/2024 : 810"</f>
        <v>TOEIC 2A - 11/04/2024 : 810</v>
      </c>
      <c r="W549">
        <v>0</v>
      </c>
      <c r="X549">
        <v>0</v>
      </c>
      <c r="Y549">
        <v>6000577</v>
      </c>
      <c r="Z549">
        <v>3</v>
      </c>
      <c r="AA549">
        <v>27</v>
      </c>
      <c r="AB549" t="str">
        <f>""</f>
        <v/>
      </c>
      <c r="AC549" t="str">
        <f>""</f>
        <v/>
      </c>
      <c r="AD549" t="str">
        <f>""</f>
        <v/>
      </c>
      <c r="AE549" t="str">
        <f>""</f>
        <v/>
      </c>
      <c r="AF549">
        <v>2022</v>
      </c>
      <c r="AG549" t="str">
        <f>"Rennes"</f>
        <v>Rennes</v>
      </c>
      <c r="AH549" t="str">
        <f>"Rennes"</f>
        <v>Rennes</v>
      </c>
      <c r="AI549" t="str">
        <f>""</f>
        <v/>
      </c>
      <c r="AJ549" t="str">
        <f>""</f>
        <v/>
      </c>
      <c r="AK549" t="str">
        <f>""</f>
        <v/>
      </c>
      <c r="AL549">
        <v>0</v>
      </c>
      <c r="AM549" t="str">
        <f>""</f>
        <v/>
      </c>
      <c r="AN549" t="str">
        <f>""</f>
        <v/>
      </c>
      <c r="AO549" t="str">
        <f>""</f>
        <v/>
      </c>
      <c r="AP549" t="str">
        <f>""</f>
        <v/>
      </c>
      <c r="AQ549" t="str">
        <f>""</f>
        <v/>
      </c>
    </row>
    <row r="550" spans="1:43" x14ac:dyDescent="0.25">
      <c r="A550" t="str">
        <f t="shared" si="101"/>
        <v>3A,3A GR,T00000,3A Ing</v>
      </c>
      <c r="B550" t="str">
        <f>"OUYASSIN"</f>
        <v>OUYASSIN</v>
      </c>
      <c r="C550" t="str">
        <f>"Mariyam"</f>
        <v>Mariyam</v>
      </c>
      <c r="D550" t="str">
        <f>"023-2398"</f>
        <v>023-2398</v>
      </c>
      <c r="E550" t="str">
        <f>"J133347149"</f>
        <v>J133347149</v>
      </c>
      <c r="F550" t="str">
        <f t="shared" si="95"/>
        <v>0352480F</v>
      </c>
      <c r="G550" t="str">
        <f t="shared" si="96"/>
        <v>O</v>
      </c>
      <c r="H550">
        <v>10</v>
      </c>
      <c r="I550">
        <v>2002</v>
      </c>
      <c r="J550">
        <v>2</v>
      </c>
      <c r="K550" t="str">
        <f>"C"</f>
        <v>C</v>
      </c>
      <c r="L550">
        <v>0</v>
      </c>
      <c r="M550">
        <v>2019</v>
      </c>
      <c r="N550" t="str">
        <f t="shared" si="97"/>
        <v>E</v>
      </c>
      <c r="O550" t="str">
        <f>"D"</f>
        <v>D</v>
      </c>
      <c r="P550">
        <v>0</v>
      </c>
      <c r="Q550">
        <v>350</v>
      </c>
      <c r="R550">
        <v>100</v>
      </c>
      <c r="S550">
        <v>35170</v>
      </c>
      <c r="T550">
        <v>100</v>
      </c>
      <c r="U550">
        <v>35170</v>
      </c>
      <c r="V550" t="str">
        <f>"Bénéficiaire de la bourse Campus France d'un montant de 860 EUR/mois du 01/09/2023 au 31/01/2025  TOEIC 2A - 11/04/2024 : 765"</f>
        <v>Bénéficiaire de la bourse Campus France d'un montant de 860 EUR/mois du 01/09/2023 au 31/01/2025  TOEIC 2A - 11/04/2024 : 765</v>
      </c>
      <c r="W550">
        <v>0</v>
      </c>
      <c r="X550">
        <v>0</v>
      </c>
      <c r="Y550">
        <v>6000577</v>
      </c>
      <c r="Z550">
        <v>3</v>
      </c>
      <c r="AA550">
        <v>27</v>
      </c>
      <c r="AB550" t="str">
        <f>""</f>
        <v/>
      </c>
      <c r="AC550" t="str">
        <f>""</f>
        <v/>
      </c>
      <c r="AD550" t="str">
        <f>""</f>
        <v/>
      </c>
      <c r="AE550">
        <v>2023</v>
      </c>
      <c r="AF550">
        <v>2023</v>
      </c>
      <c r="AG550" t="str">
        <f t="shared" ref="AG550:AH554" si="102">"Bruz"</f>
        <v>Bruz</v>
      </c>
      <c r="AH550" t="str">
        <f t="shared" si="102"/>
        <v>Bruz</v>
      </c>
      <c r="AI550" t="str">
        <f>""</f>
        <v/>
      </c>
      <c r="AJ550" t="str">
        <f>""</f>
        <v/>
      </c>
      <c r="AK550" t="str">
        <f>""</f>
        <v/>
      </c>
      <c r="AL550">
        <v>81</v>
      </c>
      <c r="AM550" t="str">
        <f>""</f>
        <v/>
      </c>
      <c r="AN550" t="str">
        <f>""</f>
        <v/>
      </c>
      <c r="AO550" t="str">
        <f>"MOHAMED BELHASSAN EL OUAZZANI"</f>
        <v>MOHAMED BELHASSAN EL OUAZZANI</v>
      </c>
      <c r="AP550" t="str">
        <f>"KHÉMISSET"</f>
        <v>KHÉMISSET</v>
      </c>
      <c r="AQ550" t="str">
        <f>"Etranger"</f>
        <v>Etranger</v>
      </c>
    </row>
    <row r="551" spans="1:43" x14ac:dyDescent="0.25">
      <c r="A551" t="str">
        <f t="shared" si="101"/>
        <v>3A,3A GR,T00000,3A Ing</v>
      </c>
      <c r="B551" t="str">
        <f>"ROGÉE"</f>
        <v>ROGÉE</v>
      </c>
      <c r="C551" t="str">
        <f>"Marius"</f>
        <v>Marius</v>
      </c>
      <c r="D551" t="str">
        <f>"022-2285"</f>
        <v>022-2285</v>
      </c>
      <c r="E551" t="str">
        <f>"080404090JD"</f>
        <v>080404090JD</v>
      </c>
      <c r="F551" t="str">
        <f t="shared" si="95"/>
        <v>0352480F</v>
      </c>
      <c r="G551" t="str">
        <f t="shared" si="96"/>
        <v>O</v>
      </c>
      <c r="H551">
        <v>10</v>
      </c>
      <c r="I551">
        <v>2002</v>
      </c>
      <c r="J551">
        <v>1</v>
      </c>
      <c r="K551" t="str">
        <f>"S"</f>
        <v>S</v>
      </c>
      <c r="L551">
        <v>9</v>
      </c>
      <c r="M551">
        <v>2020</v>
      </c>
      <c r="N551" t="str">
        <f t="shared" si="97"/>
        <v>E</v>
      </c>
      <c r="O551" t="str">
        <f>"D"</f>
        <v>D</v>
      </c>
      <c r="P551">
        <v>0</v>
      </c>
      <c r="Q551">
        <v>100</v>
      </c>
      <c r="R551">
        <v>100</v>
      </c>
      <c r="S551">
        <v>35170</v>
      </c>
      <c r="T551">
        <v>100</v>
      </c>
      <c r="U551">
        <v>35170</v>
      </c>
      <c r="V551" t="str">
        <f>"TOEIC 2A à l'ENSAI 08-01-2024 : 915"</f>
        <v>TOEIC 2A à l'ENSAI 08-01-2024 : 915</v>
      </c>
      <c r="W551">
        <v>52</v>
      </c>
      <c r="X551">
        <v>0</v>
      </c>
      <c r="Y551">
        <v>6000577</v>
      </c>
      <c r="Z551">
        <v>3</v>
      </c>
      <c r="AA551">
        <v>27</v>
      </c>
      <c r="AB551" t="str">
        <f>""</f>
        <v/>
      </c>
      <c r="AC551" t="str">
        <f>""</f>
        <v/>
      </c>
      <c r="AD551" t="str">
        <f>""</f>
        <v/>
      </c>
      <c r="AE551">
        <v>2020</v>
      </c>
      <c r="AF551">
        <v>2022</v>
      </c>
      <c r="AG551" t="str">
        <f t="shared" si="102"/>
        <v>Bruz</v>
      </c>
      <c r="AH551" t="str">
        <f t="shared" si="102"/>
        <v>Bruz</v>
      </c>
      <c r="AI551" t="str">
        <f>""</f>
        <v/>
      </c>
      <c r="AJ551" t="str">
        <f>""</f>
        <v/>
      </c>
      <c r="AK551" t="str">
        <f>""</f>
        <v/>
      </c>
      <c r="AL551">
        <v>52</v>
      </c>
      <c r="AM551" t="str">
        <f>""</f>
        <v/>
      </c>
      <c r="AN551" t="str">
        <f>""</f>
        <v/>
      </c>
      <c r="AO551" t="str">
        <f>"LYCEE JAN LAVEZZARI"</f>
        <v>LYCEE JAN LAVEZZARI</v>
      </c>
      <c r="AP551" t="str">
        <f>"BERCK"</f>
        <v>BERCK</v>
      </c>
      <c r="AQ551" t="str">
        <f>"Lille"</f>
        <v>Lille</v>
      </c>
    </row>
    <row r="552" spans="1:43" x14ac:dyDescent="0.25">
      <c r="A552" t="str">
        <f t="shared" si="101"/>
        <v>3A,3A GR,T00000,3A Ing</v>
      </c>
      <c r="B552" t="str">
        <f>"SEHRINE"</f>
        <v>SEHRINE</v>
      </c>
      <c r="C552" t="str">
        <f>"Tassadit"</f>
        <v>Tassadit</v>
      </c>
      <c r="D552" t="str">
        <f>"022-2288"</f>
        <v>022-2288</v>
      </c>
      <c r="E552" t="str">
        <f>"060449690DB"</f>
        <v>060449690DB</v>
      </c>
      <c r="F552" t="str">
        <f t="shared" si="95"/>
        <v>0352480F</v>
      </c>
      <c r="G552" t="str">
        <f t="shared" si="96"/>
        <v>O</v>
      </c>
      <c r="H552">
        <v>10</v>
      </c>
      <c r="I552">
        <v>2002</v>
      </c>
      <c r="J552">
        <v>2</v>
      </c>
      <c r="K552" t="str">
        <f>"S"</f>
        <v>S</v>
      </c>
      <c r="L552">
        <v>1</v>
      </c>
      <c r="M552">
        <v>2020</v>
      </c>
      <c r="N552" t="str">
        <f t="shared" si="97"/>
        <v>E</v>
      </c>
      <c r="O552" t="str">
        <f>"D"</f>
        <v>D</v>
      </c>
      <c r="P552">
        <v>0</v>
      </c>
      <c r="Q552">
        <v>100</v>
      </c>
      <c r="R552">
        <v>100</v>
      </c>
      <c r="S552">
        <v>35170</v>
      </c>
      <c r="T552">
        <v>100</v>
      </c>
      <c r="U552">
        <v>35170</v>
      </c>
      <c r="V552" t="str">
        <f>"TOEIC passé à l'ENSAI le 22/05/2023 : score 900"</f>
        <v>TOEIC passé à l'ENSAI le 22/05/2023 : score 900</v>
      </c>
      <c r="W552">
        <v>52</v>
      </c>
      <c r="X552">
        <v>0</v>
      </c>
      <c r="Y552">
        <v>6000577</v>
      </c>
      <c r="Z552">
        <v>3</v>
      </c>
      <c r="AA552">
        <v>27</v>
      </c>
      <c r="AB552" t="str">
        <f>""</f>
        <v/>
      </c>
      <c r="AC552" t="str">
        <f>""</f>
        <v/>
      </c>
      <c r="AD552" t="str">
        <f>""</f>
        <v/>
      </c>
      <c r="AE552">
        <v>2020</v>
      </c>
      <c r="AF552">
        <v>2022</v>
      </c>
      <c r="AG552" t="str">
        <f t="shared" si="102"/>
        <v>Bruz</v>
      </c>
      <c r="AH552" t="str">
        <f t="shared" si="102"/>
        <v>Bruz</v>
      </c>
      <c r="AI552" t="str">
        <f>""</f>
        <v/>
      </c>
      <c r="AJ552" t="str">
        <f>""</f>
        <v/>
      </c>
      <c r="AK552" t="str">
        <f>""</f>
        <v/>
      </c>
      <c r="AL552">
        <v>52</v>
      </c>
      <c r="AM552" t="str">
        <f>""</f>
        <v/>
      </c>
      <c r="AN552" t="str">
        <f>""</f>
        <v/>
      </c>
      <c r="AO552" t="str">
        <f>"Charlemagne"</f>
        <v>Charlemagne</v>
      </c>
      <c r="AP552" t="str">
        <f>"PARIS"</f>
        <v>PARIS</v>
      </c>
      <c r="AQ552" t="str">
        <f>"Paris"</f>
        <v>Paris</v>
      </c>
    </row>
    <row r="553" spans="1:43" x14ac:dyDescent="0.25">
      <c r="A553" t="str">
        <f t="shared" si="101"/>
        <v>3A,3A GR,T00000,3A Ing</v>
      </c>
      <c r="B553" t="str">
        <f>"TCHAMDJEU"</f>
        <v>TCHAMDJEU</v>
      </c>
      <c r="C553" t="str">
        <f>"Hervé Freddy"</f>
        <v>Hervé Freddy</v>
      </c>
      <c r="D553" t="str">
        <f>"023-2404"</f>
        <v>023-2404</v>
      </c>
      <c r="E553" t="str">
        <f>"223357295EG"</f>
        <v>223357295EG</v>
      </c>
      <c r="F553" t="str">
        <f t="shared" si="95"/>
        <v>0352480F</v>
      </c>
      <c r="G553" t="str">
        <f t="shared" si="96"/>
        <v>O</v>
      </c>
      <c r="H553">
        <v>10</v>
      </c>
      <c r="I553">
        <v>1998</v>
      </c>
      <c r="J553">
        <v>1</v>
      </c>
      <c r="K553" t="str">
        <f>"S"</f>
        <v>S</v>
      </c>
      <c r="L553">
        <v>0</v>
      </c>
      <c r="M553">
        <v>2014</v>
      </c>
      <c r="N553" t="str">
        <f t="shared" si="97"/>
        <v>E</v>
      </c>
      <c r="O553" t="str">
        <f>""</f>
        <v/>
      </c>
      <c r="P553">
        <v>0</v>
      </c>
      <c r="Q553">
        <v>322</v>
      </c>
      <c r="R553">
        <v>100</v>
      </c>
      <c r="S553">
        <v>35170</v>
      </c>
      <c r="T553">
        <v>100</v>
      </c>
      <c r="U553">
        <v>35170</v>
      </c>
      <c r="V553" t="str">
        <f>"TOEIC 2A - 11/04/2024 : 765"</f>
        <v>TOEIC 2A - 11/04/2024 : 765</v>
      </c>
      <c r="W553">
        <v>43</v>
      </c>
      <c r="X553">
        <v>0</v>
      </c>
      <c r="Y553">
        <v>6000577</v>
      </c>
      <c r="Z553">
        <v>3</v>
      </c>
      <c r="AA553">
        <v>27</v>
      </c>
      <c r="AB553" t="str">
        <f>""</f>
        <v/>
      </c>
      <c r="AC553" t="str">
        <f>""</f>
        <v/>
      </c>
      <c r="AD553" t="str">
        <f>""</f>
        <v/>
      </c>
      <c r="AE553">
        <v>2017</v>
      </c>
      <c r="AF553">
        <v>2023</v>
      </c>
      <c r="AG553" t="str">
        <f t="shared" si="102"/>
        <v>Bruz</v>
      </c>
      <c r="AH553" t="str">
        <f t="shared" si="102"/>
        <v>Bruz</v>
      </c>
      <c r="AI553" t="str">
        <f>""</f>
        <v/>
      </c>
      <c r="AJ553" t="str">
        <f>""</f>
        <v/>
      </c>
      <c r="AK553" t="str">
        <f>""</f>
        <v/>
      </c>
      <c r="AL553">
        <v>82</v>
      </c>
      <c r="AM553" t="str">
        <f>""</f>
        <v/>
      </c>
      <c r="AN553" t="str">
        <f>""</f>
        <v/>
      </c>
      <c r="AO553" t="str">
        <f>"LYCEE DE BANA"</f>
        <v>LYCEE DE BANA</v>
      </c>
      <c r="AP553" t="str">
        <f>"BANA"</f>
        <v>BANA</v>
      </c>
      <c r="AQ553" t="str">
        <f>"Etranger"</f>
        <v>Etranger</v>
      </c>
    </row>
    <row r="554" spans="1:43" x14ac:dyDescent="0.25">
      <c r="A554" t="str">
        <f t="shared" si="101"/>
        <v>3A,3A GR,T00000,3A Ing</v>
      </c>
      <c r="B554" t="str">
        <f>"WANE"</f>
        <v>WANE</v>
      </c>
      <c r="C554" t="str">
        <f>"Mountaga"</f>
        <v>Mountaga</v>
      </c>
      <c r="D554" t="str">
        <f>"023-2366"</f>
        <v>023-2366</v>
      </c>
      <c r="E554" t="str">
        <f>"07I4XU01222"</f>
        <v>07I4XU01222</v>
      </c>
      <c r="F554" t="str">
        <f t="shared" si="95"/>
        <v>0352480F</v>
      </c>
      <c r="G554" t="str">
        <f t="shared" si="96"/>
        <v>O</v>
      </c>
      <c r="H554">
        <v>10</v>
      </c>
      <c r="I554">
        <v>2000</v>
      </c>
      <c r="J554">
        <v>1</v>
      </c>
      <c r="K554" t="str">
        <f>"C"</f>
        <v>C</v>
      </c>
      <c r="L554">
        <v>0</v>
      </c>
      <c r="M554">
        <v>2019</v>
      </c>
      <c r="N554" t="str">
        <f t="shared" si="97"/>
        <v>E</v>
      </c>
      <c r="O554">
        <v>1</v>
      </c>
      <c r="P554">
        <v>0</v>
      </c>
      <c r="Q554">
        <v>341</v>
      </c>
      <c r="R554">
        <v>100</v>
      </c>
      <c r="S554">
        <v>35170</v>
      </c>
      <c r="T554">
        <v>100</v>
      </c>
      <c r="U554">
        <v>35170</v>
      </c>
      <c r="V554" t="str">
        <f>"TOEIC 2A à l'ENSAI 08-01-2024 : 945"</f>
        <v>TOEIC 2A à l'ENSAI 08-01-2024 : 945</v>
      </c>
      <c r="W554">
        <v>0</v>
      </c>
      <c r="X554">
        <v>0</v>
      </c>
      <c r="Y554">
        <v>6000577</v>
      </c>
      <c r="Z554">
        <v>3</v>
      </c>
      <c r="AA554">
        <v>27</v>
      </c>
      <c r="AB554" t="str">
        <f>""</f>
        <v/>
      </c>
      <c r="AC554" t="str">
        <f>""</f>
        <v/>
      </c>
      <c r="AD554" t="str">
        <f>""</f>
        <v/>
      </c>
      <c r="AE554" t="str">
        <f>""</f>
        <v/>
      </c>
      <c r="AF554">
        <v>2023</v>
      </c>
      <c r="AG554" t="str">
        <f t="shared" si="102"/>
        <v>Bruz</v>
      </c>
      <c r="AH554" t="str">
        <f t="shared" si="102"/>
        <v>Bruz</v>
      </c>
      <c r="AI554" t="str">
        <f>""</f>
        <v/>
      </c>
      <c r="AJ554" t="str">
        <f>""</f>
        <v/>
      </c>
      <c r="AK554" t="str">
        <f>""</f>
        <v/>
      </c>
      <c r="AL554">
        <v>0</v>
      </c>
      <c r="AM554" t="str">
        <f>""</f>
        <v/>
      </c>
      <c r="AN554" t="str">
        <f>""</f>
        <v/>
      </c>
      <c r="AO554" t="str">
        <f>"Cours Sacré Coeur"</f>
        <v>Cours Sacré Coeur</v>
      </c>
      <c r="AP554" t="str">
        <f>"DAKAR, SÉNÉGAL"</f>
        <v>DAKAR, SÉNÉGAL</v>
      </c>
      <c r="AQ554" t="str">
        <f>"Etranger"</f>
        <v>Etranger</v>
      </c>
    </row>
    <row r="555" spans="1:43" x14ac:dyDescent="0.25">
      <c r="A555" t="str">
        <f>"3A,3A GR,T01850,3A Ing"</f>
        <v>3A,3A GR,T01850,3A Ing</v>
      </c>
      <c r="B555" t="str">
        <f>"BERGÈS"</f>
        <v>BERGÈS</v>
      </c>
      <c r="C555" t="str">
        <f>"Paul"</f>
        <v>Paul</v>
      </c>
      <c r="D555" t="str">
        <f>"022-2276"</f>
        <v>022-2276</v>
      </c>
      <c r="E555" t="str">
        <f>"060802450GA"</f>
        <v>060802450GA</v>
      </c>
      <c r="F555" t="str">
        <f t="shared" si="95"/>
        <v>0352480F</v>
      </c>
      <c r="G555" t="str">
        <f t="shared" si="96"/>
        <v>O</v>
      </c>
      <c r="H555">
        <v>10</v>
      </c>
      <c r="I555">
        <v>2002</v>
      </c>
      <c r="J555">
        <v>1</v>
      </c>
      <c r="K555" t="str">
        <f t="shared" ref="K555:K560" si="103">"S"</f>
        <v>S</v>
      </c>
      <c r="L555">
        <v>16</v>
      </c>
      <c r="M555">
        <v>2020</v>
      </c>
      <c r="N555" t="str">
        <f t="shared" ref="N555:N586" si="104">"E"</f>
        <v>E</v>
      </c>
      <c r="O555" t="str">
        <f>"D"</f>
        <v>D</v>
      </c>
      <c r="P555">
        <v>0</v>
      </c>
      <c r="Q555">
        <v>100</v>
      </c>
      <c r="R555">
        <v>100</v>
      </c>
      <c r="S555">
        <v>35000</v>
      </c>
      <c r="T555">
        <v>100</v>
      </c>
      <c r="U555">
        <v>35000</v>
      </c>
      <c r="V555" t="str">
        <f>"TOEIC passé à l'ENSAI le 22/05/2023 : score 950"</f>
        <v>TOEIC passé à l'ENSAI le 22/05/2023 : score 950</v>
      </c>
      <c r="W555">
        <v>31</v>
      </c>
      <c r="X555">
        <v>0</v>
      </c>
      <c r="Y555">
        <v>6000577</v>
      </c>
      <c r="Z555">
        <v>3</v>
      </c>
      <c r="AA555">
        <v>27</v>
      </c>
      <c r="AB555" t="str">
        <f>""</f>
        <v/>
      </c>
      <c r="AC555" t="str">
        <f>""</f>
        <v/>
      </c>
      <c r="AD555" t="str">
        <f>""</f>
        <v/>
      </c>
      <c r="AE555">
        <v>2020</v>
      </c>
      <c r="AF555">
        <v>2022</v>
      </c>
      <c r="AG555" t="str">
        <f>"Rennes"</f>
        <v>Rennes</v>
      </c>
      <c r="AH555" t="str">
        <f>"Rennes"</f>
        <v>Rennes</v>
      </c>
      <c r="AI555" t="str">
        <f>""</f>
        <v/>
      </c>
      <c r="AJ555" t="str">
        <f>""</f>
        <v/>
      </c>
      <c r="AK555" t="str">
        <f>""</f>
        <v/>
      </c>
      <c r="AL555">
        <v>38</v>
      </c>
      <c r="AM555" t="str">
        <f>""</f>
        <v/>
      </c>
      <c r="AN555" t="str">
        <f>""</f>
        <v/>
      </c>
      <c r="AO555" t="str">
        <f>"Lycée Bagatelle"</f>
        <v>Lycée Bagatelle</v>
      </c>
      <c r="AP555" t="str">
        <f>"SAINT-GAUDENS"</f>
        <v>SAINT-GAUDENS</v>
      </c>
      <c r="AQ555" t="str">
        <f>"Toulouse"</f>
        <v>Toulouse</v>
      </c>
    </row>
    <row r="556" spans="1:43" x14ac:dyDescent="0.25">
      <c r="A556" t="str">
        <f>"3A,3A GR,T01850,3A Ing"</f>
        <v>3A,3A GR,T01850,3A Ing</v>
      </c>
      <c r="B556" t="str">
        <f>"BOUILLON"</f>
        <v>BOUILLON</v>
      </c>
      <c r="C556" t="str">
        <f>"Mathis"</f>
        <v>Mathis</v>
      </c>
      <c r="D556" t="str">
        <f>"022-2303"</f>
        <v>022-2303</v>
      </c>
      <c r="E556" t="str">
        <f>"071428868JK"</f>
        <v>071428868JK</v>
      </c>
      <c r="F556" t="str">
        <f t="shared" si="95"/>
        <v>0352480F</v>
      </c>
      <c r="G556" t="str">
        <f t="shared" si="96"/>
        <v>O</v>
      </c>
      <c r="H556">
        <v>10</v>
      </c>
      <c r="I556">
        <v>2002</v>
      </c>
      <c r="J556">
        <v>1</v>
      </c>
      <c r="K556" t="str">
        <f t="shared" si="103"/>
        <v>S</v>
      </c>
      <c r="L556">
        <v>24</v>
      </c>
      <c r="M556">
        <v>2020</v>
      </c>
      <c r="N556" t="str">
        <f t="shared" si="104"/>
        <v>E</v>
      </c>
      <c r="O556" t="str">
        <f>"D"</f>
        <v>D</v>
      </c>
      <c r="P556">
        <v>0</v>
      </c>
      <c r="Q556">
        <v>100</v>
      </c>
      <c r="R556">
        <v>100</v>
      </c>
      <c r="S556">
        <v>35890</v>
      </c>
      <c r="T556">
        <v>100</v>
      </c>
      <c r="U556">
        <v>35890</v>
      </c>
      <c r="V556" t="str">
        <f>"TOEIC 2A à l'ENSAI 08-01-2024 : 940"</f>
        <v>TOEIC 2A à l'ENSAI 08-01-2024 : 940</v>
      </c>
      <c r="W556">
        <v>48</v>
      </c>
      <c r="X556">
        <v>0</v>
      </c>
      <c r="Y556">
        <v>6000577</v>
      </c>
      <c r="Z556">
        <v>3</v>
      </c>
      <c r="AA556">
        <v>27</v>
      </c>
      <c r="AB556" t="str">
        <f>""</f>
        <v/>
      </c>
      <c r="AC556" t="str">
        <f>""</f>
        <v/>
      </c>
      <c r="AD556" t="str">
        <f>""</f>
        <v/>
      </c>
      <c r="AE556">
        <v>2020</v>
      </c>
      <c r="AF556">
        <v>2022</v>
      </c>
      <c r="AG556" t="str">
        <f>"Laillé"</f>
        <v>Laillé</v>
      </c>
      <c r="AH556" t="str">
        <f>"Laillé"</f>
        <v>Laillé</v>
      </c>
      <c r="AI556" t="str">
        <f>""</f>
        <v/>
      </c>
      <c r="AJ556" t="str">
        <f>""</f>
        <v/>
      </c>
      <c r="AK556" t="str">
        <f>""</f>
        <v/>
      </c>
      <c r="AL556">
        <v>48</v>
      </c>
      <c r="AM556" t="str">
        <f>""</f>
        <v/>
      </c>
      <c r="AN556" t="str">
        <f>""</f>
        <v/>
      </c>
      <c r="AO556" t="str">
        <f>"Blaise Pascal"</f>
        <v>Blaise Pascal</v>
      </c>
      <c r="AP556" t="str">
        <f>"BRIE-COMTE-ROBERT"</f>
        <v>BRIE-COMTE-ROBERT</v>
      </c>
      <c r="AQ556" t="str">
        <f>"Créteil"</f>
        <v>Créteil</v>
      </c>
    </row>
    <row r="557" spans="1:43" x14ac:dyDescent="0.25">
      <c r="A557" t="str">
        <f>"3A,3A GR,T01850,3A Ing"</f>
        <v>3A,3A GR,T01850,3A Ing</v>
      </c>
      <c r="B557" t="str">
        <f>"MARTHELY"</f>
        <v>MARTHELY</v>
      </c>
      <c r="C557" t="str">
        <f>"Samuel"</f>
        <v>Samuel</v>
      </c>
      <c r="D557" t="str">
        <f>"022-2271"</f>
        <v>022-2271</v>
      </c>
      <c r="E557" t="str">
        <f>"081369166GA"</f>
        <v>081369166GA</v>
      </c>
      <c r="F557" t="str">
        <f t="shared" si="95"/>
        <v>0352480F</v>
      </c>
      <c r="G557" t="str">
        <f t="shared" si="96"/>
        <v>O</v>
      </c>
      <c r="H557">
        <v>10</v>
      </c>
      <c r="I557">
        <v>2002</v>
      </c>
      <c r="J557">
        <v>1</v>
      </c>
      <c r="K557" t="str">
        <f t="shared" si="103"/>
        <v>S</v>
      </c>
      <c r="L557">
        <v>31</v>
      </c>
      <c r="M557">
        <v>2019</v>
      </c>
      <c r="N557" t="str">
        <f t="shared" si="104"/>
        <v>E</v>
      </c>
      <c r="O557" t="str">
        <f>"D"</f>
        <v>D</v>
      </c>
      <c r="P557">
        <v>0</v>
      </c>
      <c r="Q557">
        <v>100</v>
      </c>
      <c r="R557">
        <v>100</v>
      </c>
      <c r="S557" t="str">
        <f>""</f>
        <v/>
      </c>
      <c r="T557">
        <v>100</v>
      </c>
      <c r="U557" t="str">
        <f>""</f>
        <v/>
      </c>
      <c r="V557" t="str">
        <f>"TOEIC passé à l'ENSAI le 22/05/2023 : score 870"</f>
        <v>TOEIC passé à l'ENSAI le 22/05/2023 : score 870</v>
      </c>
      <c r="W557">
        <v>46</v>
      </c>
      <c r="X557">
        <v>0</v>
      </c>
      <c r="Y557">
        <v>6000577</v>
      </c>
      <c r="Z557">
        <v>3</v>
      </c>
      <c r="AA557">
        <v>27</v>
      </c>
      <c r="AB557" t="str">
        <f>""</f>
        <v/>
      </c>
      <c r="AC557" t="str">
        <f>""</f>
        <v/>
      </c>
      <c r="AD557" t="str">
        <f>""</f>
        <v/>
      </c>
      <c r="AE557">
        <v>2019</v>
      </c>
      <c r="AF557">
        <v>2022</v>
      </c>
      <c r="AG557" t="str">
        <f>""</f>
        <v/>
      </c>
      <c r="AH557" t="str">
        <f>""</f>
        <v/>
      </c>
      <c r="AI557" t="str">
        <f>""</f>
        <v/>
      </c>
      <c r="AJ557" t="str">
        <f>""</f>
        <v/>
      </c>
      <c r="AK557" t="str">
        <f>""</f>
        <v/>
      </c>
      <c r="AL557">
        <v>43</v>
      </c>
      <c r="AM557" t="str">
        <f>""</f>
        <v/>
      </c>
      <c r="AN557" t="str">
        <f>""</f>
        <v/>
      </c>
      <c r="AO557" t="str">
        <f>"Lycée Centre Sud"</f>
        <v>Lycée Centre Sud</v>
      </c>
      <c r="AP557" t="str">
        <f>"DUCOS"</f>
        <v>DUCOS</v>
      </c>
      <c r="AQ557" t="str">
        <f>"Martinique"</f>
        <v>Martinique</v>
      </c>
    </row>
    <row r="558" spans="1:43" x14ac:dyDescent="0.25">
      <c r="A558" t="str">
        <f>"3A,3A GR,T01850,3A Ing"</f>
        <v>3A,3A GR,T01850,3A Ing</v>
      </c>
      <c r="B558" t="str">
        <f>"MOREAU"</f>
        <v>MOREAU</v>
      </c>
      <c r="C558" t="str">
        <f>"Evan"</f>
        <v>Evan</v>
      </c>
      <c r="D558" t="str">
        <f>"022-2247"</f>
        <v>022-2247</v>
      </c>
      <c r="E558" t="str">
        <f>"070945041JA"</f>
        <v>070945041JA</v>
      </c>
      <c r="F558" t="str">
        <f t="shared" si="95"/>
        <v>0352480F</v>
      </c>
      <c r="G558" t="str">
        <f t="shared" si="96"/>
        <v>O</v>
      </c>
      <c r="H558">
        <v>10</v>
      </c>
      <c r="I558">
        <v>2002</v>
      </c>
      <c r="J558">
        <v>1</v>
      </c>
      <c r="K558" t="str">
        <f t="shared" si="103"/>
        <v>S</v>
      </c>
      <c r="L558">
        <v>18</v>
      </c>
      <c r="M558">
        <v>2020</v>
      </c>
      <c r="N558" t="str">
        <f t="shared" si="104"/>
        <v>E</v>
      </c>
      <c r="O558" t="str">
        <f>"D"</f>
        <v>D</v>
      </c>
      <c r="P558">
        <v>0</v>
      </c>
      <c r="Q558">
        <v>100</v>
      </c>
      <c r="R558">
        <v>100</v>
      </c>
      <c r="S558">
        <v>35170</v>
      </c>
      <c r="T558">
        <v>100</v>
      </c>
      <c r="U558">
        <v>35170</v>
      </c>
      <c r="V558" t="str">
        <f>"TOEIC 2A à l'ENSAI 08-01-2024 : 760"</f>
        <v>TOEIC 2A à l'ENSAI 08-01-2024 : 760</v>
      </c>
      <c r="W558">
        <v>47</v>
      </c>
      <c r="X558">
        <v>0</v>
      </c>
      <c r="Y558">
        <v>6000577</v>
      </c>
      <c r="Z558">
        <v>3</v>
      </c>
      <c r="AA558">
        <v>27</v>
      </c>
      <c r="AB558" t="str">
        <f>""</f>
        <v/>
      </c>
      <c r="AC558" t="str">
        <f>""</f>
        <v/>
      </c>
      <c r="AD558" t="str">
        <f>""</f>
        <v/>
      </c>
      <c r="AE558">
        <v>2020</v>
      </c>
      <c r="AF558">
        <v>2022</v>
      </c>
      <c r="AG558" t="str">
        <f>"BRUZ"</f>
        <v>BRUZ</v>
      </c>
      <c r="AH558" t="str">
        <f>"BRUZ"</f>
        <v>BRUZ</v>
      </c>
      <c r="AI558" t="str">
        <f>""</f>
        <v/>
      </c>
      <c r="AJ558" t="str">
        <f>""</f>
        <v/>
      </c>
      <c r="AK558" t="str">
        <f>""</f>
        <v/>
      </c>
      <c r="AL558">
        <v>47</v>
      </c>
      <c r="AM558" t="str">
        <f>""</f>
        <v/>
      </c>
      <c r="AN558" t="str">
        <f>""</f>
        <v/>
      </c>
      <c r="AO558" t="str">
        <f>"Lycée Grandmont"</f>
        <v>Lycée Grandmont</v>
      </c>
      <c r="AP558" t="str">
        <f>"TOURS"</f>
        <v>TOURS</v>
      </c>
      <c r="AQ558" t="str">
        <f>"Orléans-Tours"</f>
        <v>Orléans-Tours</v>
      </c>
    </row>
    <row r="559" spans="1:43" x14ac:dyDescent="0.25">
      <c r="A559" t="str">
        <f>"3A,3A GR,T02650,3A Ing"</f>
        <v>3A,3A GR,T02650,3A Ing</v>
      </c>
      <c r="B559" t="str">
        <f>"POLLIER"</f>
        <v>POLLIER</v>
      </c>
      <c r="C559" t="str">
        <f>"Fausto"</f>
        <v>Fausto</v>
      </c>
      <c r="D559" t="str">
        <f>"022-2160"</f>
        <v>022-2160</v>
      </c>
      <c r="E559" t="str">
        <f>"070371442CB"</f>
        <v>070371442CB</v>
      </c>
      <c r="F559" t="str">
        <f t="shared" si="95"/>
        <v>0352480F</v>
      </c>
      <c r="G559" t="str">
        <f t="shared" si="96"/>
        <v>O</v>
      </c>
      <c r="H559">
        <v>10</v>
      </c>
      <c r="I559">
        <v>2001</v>
      </c>
      <c r="J559">
        <v>1</v>
      </c>
      <c r="K559" t="str">
        <f t="shared" si="103"/>
        <v>S</v>
      </c>
      <c r="L559">
        <v>12</v>
      </c>
      <c r="M559">
        <v>2019</v>
      </c>
      <c r="N559" t="str">
        <f t="shared" si="104"/>
        <v>E</v>
      </c>
      <c r="O559" t="str">
        <f>"N"</f>
        <v>N</v>
      </c>
      <c r="P559">
        <v>0</v>
      </c>
      <c r="Q559">
        <v>100</v>
      </c>
      <c r="R559">
        <v>100</v>
      </c>
      <c r="S559">
        <v>35000</v>
      </c>
      <c r="T559">
        <v>100</v>
      </c>
      <c r="U559">
        <v>35000</v>
      </c>
      <c r="V559" t="str">
        <f>"TOEIC 2A - 11/04/2024 : 750"</f>
        <v>TOEIC 2A - 11/04/2024 : 750</v>
      </c>
      <c r="W559">
        <v>43</v>
      </c>
      <c r="X559">
        <v>0</v>
      </c>
      <c r="Y559">
        <v>6000577</v>
      </c>
      <c r="Z559">
        <v>3</v>
      </c>
      <c r="AA559">
        <v>27</v>
      </c>
      <c r="AB559" t="str">
        <f>""</f>
        <v/>
      </c>
      <c r="AC559" t="str">
        <f>""</f>
        <v/>
      </c>
      <c r="AD559" t="str">
        <f>""</f>
        <v/>
      </c>
      <c r="AE559">
        <v>2019</v>
      </c>
      <c r="AF559">
        <v>2022</v>
      </c>
      <c r="AG559" t="str">
        <f>"Rennes"</f>
        <v>Rennes</v>
      </c>
      <c r="AH559" t="str">
        <f>"Rennes"</f>
        <v>Rennes</v>
      </c>
      <c r="AI559" t="str">
        <f>""</f>
        <v/>
      </c>
      <c r="AJ559" t="str">
        <f>""</f>
        <v/>
      </c>
      <c r="AK559" t="str">
        <f>""</f>
        <v/>
      </c>
      <c r="AL559">
        <v>33</v>
      </c>
      <c r="AM559" t="str">
        <f>""</f>
        <v/>
      </c>
      <c r="AN559" t="str">
        <f>""</f>
        <v/>
      </c>
      <c r="AO559" t="str">
        <f>"Lycée Stanislas"</f>
        <v>Lycée Stanislas</v>
      </c>
      <c r="AP559" t="str">
        <f>"VILLERS-LÈS-NANCY"</f>
        <v>VILLERS-LÈS-NANCY</v>
      </c>
      <c r="AQ559" t="str">
        <f>"Nancy-Metz"</f>
        <v>Nancy-Metz</v>
      </c>
    </row>
    <row r="560" spans="1:43" x14ac:dyDescent="0.25">
      <c r="A560" t="str">
        <f t="shared" ref="A560:A571" si="105">"3A,3A GS,T00000,3A Ing"</f>
        <v>3A,3A GS,T00000,3A Ing</v>
      </c>
      <c r="B560" t="str">
        <f>"BONNEFOY"</f>
        <v>BONNEFOY</v>
      </c>
      <c r="C560" t="str">
        <f>"Victor"</f>
        <v>Victor</v>
      </c>
      <c r="D560" t="str">
        <f>"022-2252"</f>
        <v>022-2252</v>
      </c>
      <c r="E560" t="str">
        <f>"071833906CG"</f>
        <v>071833906CG</v>
      </c>
      <c r="F560" t="str">
        <f t="shared" si="95"/>
        <v>0352480F</v>
      </c>
      <c r="G560" t="str">
        <f t="shared" si="96"/>
        <v>O</v>
      </c>
      <c r="H560">
        <v>10</v>
      </c>
      <c r="I560">
        <v>2001</v>
      </c>
      <c r="J560">
        <v>1</v>
      </c>
      <c r="K560" t="str">
        <f t="shared" si="103"/>
        <v>S</v>
      </c>
      <c r="L560">
        <v>25</v>
      </c>
      <c r="M560">
        <v>2019</v>
      </c>
      <c r="N560" t="str">
        <f t="shared" si="104"/>
        <v>E</v>
      </c>
      <c r="O560" t="str">
        <f>"D"</f>
        <v>D</v>
      </c>
      <c r="P560">
        <v>0</v>
      </c>
      <c r="Q560">
        <v>100</v>
      </c>
      <c r="R560">
        <v>100</v>
      </c>
      <c r="S560">
        <v>35136</v>
      </c>
      <c r="T560">
        <v>100</v>
      </c>
      <c r="U560">
        <v>35136</v>
      </c>
      <c r="V560" t="str">
        <f>"TOEIC passé à l'ENSAI le 22/05/2023 : score 805  TOEIC 2A - 11/04/2024 : 850"</f>
        <v>TOEIC passé à l'ENSAI le 22/05/2023 : score 805  TOEIC 2A - 11/04/2024 : 850</v>
      </c>
      <c r="W560">
        <v>54</v>
      </c>
      <c r="X560">
        <v>0</v>
      </c>
      <c r="Y560">
        <v>6000577</v>
      </c>
      <c r="Z560">
        <v>3</v>
      </c>
      <c r="AA560">
        <v>27</v>
      </c>
      <c r="AB560" t="str">
        <f>""</f>
        <v/>
      </c>
      <c r="AC560" t="str">
        <f>""</f>
        <v/>
      </c>
      <c r="AD560" t="str">
        <f>""</f>
        <v/>
      </c>
      <c r="AE560">
        <v>2019</v>
      </c>
      <c r="AF560">
        <v>2022</v>
      </c>
      <c r="AG560" t="str">
        <f>"Saint Jacques de La Lande"</f>
        <v>Saint Jacques de La Lande</v>
      </c>
      <c r="AH560" t="str">
        <f>"Saint Jacques de La Lande"</f>
        <v>Saint Jacques de La Lande</v>
      </c>
      <c r="AI560" t="str">
        <f>""</f>
        <v/>
      </c>
      <c r="AJ560" t="str">
        <f>""</f>
        <v/>
      </c>
      <c r="AK560" t="str">
        <f>""</f>
        <v/>
      </c>
      <c r="AL560">
        <v>52</v>
      </c>
      <c r="AM560" t="str">
        <f>""</f>
        <v/>
      </c>
      <c r="AN560" t="str">
        <f>""</f>
        <v/>
      </c>
      <c r="AO560" t="str">
        <f>"Lycée Jacques Monod"</f>
        <v>Lycée Jacques Monod</v>
      </c>
      <c r="AP560" t="str">
        <f>"CLAMART 92140"</f>
        <v>CLAMART 92140</v>
      </c>
      <c r="AQ560" t="str">
        <f>"Versailles"</f>
        <v>Versailles</v>
      </c>
    </row>
    <row r="561" spans="1:43" x14ac:dyDescent="0.25">
      <c r="A561" t="str">
        <f t="shared" si="105"/>
        <v>3A,3A GS,T00000,3A Ing</v>
      </c>
      <c r="B561" t="str">
        <f>"BOUKRANI"</f>
        <v>BOUKRANI</v>
      </c>
      <c r="C561" t="str">
        <f>"Mohamed"</f>
        <v>Mohamed</v>
      </c>
      <c r="D561" t="str">
        <f>"023-2377"</f>
        <v>023-2377</v>
      </c>
      <c r="E561" t="str">
        <f>"223391767AK"</f>
        <v>223391767AK</v>
      </c>
      <c r="F561" t="str">
        <f t="shared" si="95"/>
        <v>0352480F</v>
      </c>
      <c r="G561" t="str">
        <f t="shared" si="96"/>
        <v>O</v>
      </c>
      <c r="H561">
        <v>10</v>
      </c>
      <c r="I561">
        <v>2001</v>
      </c>
      <c r="J561">
        <v>1</v>
      </c>
      <c r="K561" t="str">
        <f>""</f>
        <v/>
      </c>
      <c r="L561" t="str">
        <f>""</f>
        <v/>
      </c>
      <c r="M561" t="str">
        <f>""</f>
        <v/>
      </c>
      <c r="N561" t="str">
        <f t="shared" si="104"/>
        <v>E</v>
      </c>
      <c r="O561" t="str">
        <f>""</f>
        <v/>
      </c>
      <c r="P561">
        <v>0</v>
      </c>
      <c r="Q561" t="str">
        <f>""</f>
        <v/>
      </c>
      <c r="R561">
        <v>100</v>
      </c>
      <c r="S561" t="str">
        <f>""</f>
        <v/>
      </c>
      <c r="T561">
        <v>100</v>
      </c>
      <c r="U561" t="str">
        <f>""</f>
        <v/>
      </c>
      <c r="V561" t="str">
        <f>"TOEIC 2A - 11/04/2024 : 765"</f>
        <v>TOEIC 2A - 11/04/2024 : 765</v>
      </c>
      <c r="W561">
        <v>0</v>
      </c>
      <c r="X561">
        <v>0</v>
      </c>
      <c r="Y561">
        <v>6000577</v>
      </c>
      <c r="Z561">
        <v>3</v>
      </c>
      <c r="AA561">
        <v>27</v>
      </c>
      <c r="AB561" t="str">
        <f>""</f>
        <v/>
      </c>
      <c r="AC561" t="str">
        <f>""</f>
        <v/>
      </c>
      <c r="AD561" t="str">
        <f>""</f>
        <v/>
      </c>
      <c r="AE561" t="str">
        <f>""</f>
        <v/>
      </c>
      <c r="AF561">
        <v>2023</v>
      </c>
      <c r="AG561" t="str">
        <f>""</f>
        <v/>
      </c>
      <c r="AH561" t="str">
        <f>""</f>
        <v/>
      </c>
      <c r="AI561" t="str">
        <f>""</f>
        <v/>
      </c>
      <c r="AJ561" t="str">
        <f>""</f>
        <v/>
      </c>
      <c r="AK561" t="str">
        <f>""</f>
        <v/>
      </c>
      <c r="AL561">
        <v>0</v>
      </c>
      <c r="AM561" t="str">
        <f>""</f>
        <v/>
      </c>
      <c r="AN561" t="str">
        <f>""</f>
        <v/>
      </c>
      <c r="AO561" t="str">
        <f>""</f>
        <v/>
      </c>
      <c r="AP561" t="str">
        <f>""</f>
        <v/>
      </c>
      <c r="AQ561" t="str">
        <f>""</f>
        <v/>
      </c>
    </row>
    <row r="562" spans="1:43" x14ac:dyDescent="0.25">
      <c r="A562" t="str">
        <f t="shared" si="105"/>
        <v>3A,3A GS,T00000,3A Ing</v>
      </c>
      <c r="B562" t="str">
        <f>"BREMOND"</f>
        <v>BREMOND</v>
      </c>
      <c r="C562" t="str">
        <f>"Abel"</f>
        <v>Abel</v>
      </c>
      <c r="D562" t="str">
        <f>"021-1958"</f>
        <v>021-1958</v>
      </c>
      <c r="E562" t="str">
        <f>"0609004644V"</f>
        <v>0609004644V</v>
      </c>
      <c r="F562" t="str">
        <f t="shared" si="95"/>
        <v>0352480F</v>
      </c>
      <c r="G562" t="str">
        <f t="shared" si="96"/>
        <v>O</v>
      </c>
      <c r="H562">
        <v>10</v>
      </c>
      <c r="I562">
        <v>2000</v>
      </c>
      <c r="J562">
        <v>1</v>
      </c>
      <c r="K562" t="str">
        <f>"S"</f>
        <v>S</v>
      </c>
      <c r="L562">
        <v>6</v>
      </c>
      <c r="M562">
        <v>2016</v>
      </c>
      <c r="N562" t="str">
        <f t="shared" si="104"/>
        <v>E</v>
      </c>
      <c r="O562" t="str">
        <f>"C"</f>
        <v>C</v>
      </c>
      <c r="P562">
        <v>0</v>
      </c>
      <c r="Q562">
        <v>100</v>
      </c>
      <c r="R562">
        <v>100</v>
      </c>
      <c r="S562">
        <v>35170</v>
      </c>
      <c r="T562">
        <v>100</v>
      </c>
      <c r="U562">
        <v>35170</v>
      </c>
      <c r="V562" t="str">
        <f>"TOEIC à l'ENSAI le 19/05/2022: score 980"</f>
        <v>TOEIC à l'ENSAI le 19/05/2022: score 980</v>
      </c>
      <c r="W562">
        <v>31</v>
      </c>
      <c r="X562">
        <v>0</v>
      </c>
      <c r="Y562">
        <v>6000577</v>
      </c>
      <c r="Z562">
        <v>3</v>
      </c>
      <c r="AA562">
        <v>27</v>
      </c>
      <c r="AB562" t="str">
        <f>""</f>
        <v/>
      </c>
      <c r="AC562" t="str">
        <f>""</f>
        <v/>
      </c>
      <c r="AD562" t="str">
        <f>""</f>
        <v/>
      </c>
      <c r="AE562">
        <v>2016</v>
      </c>
      <c r="AF562">
        <v>2021</v>
      </c>
      <c r="AG562" t="str">
        <f t="shared" ref="AG562:AH564" si="106">"Bruz"</f>
        <v>Bruz</v>
      </c>
      <c r="AH562" t="str">
        <f t="shared" si="106"/>
        <v>Bruz</v>
      </c>
      <c r="AI562" t="str">
        <f>""</f>
        <v/>
      </c>
      <c r="AJ562" t="str">
        <f>""</f>
        <v/>
      </c>
      <c r="AK562" t="str">
        <f>""</f>
        <v/>
      </c>
      <c r="AL562">
        <v>99</v>
      </c>
      <c r="AM562" t="str">
        <f>""</f>
        <v/>
      </c>
      <c r="AN562" t="str">
        <f>""</f>
        <v/>
      </c>
      <c r="AO562" t="str">
        <f>"Jeanne d'Arc"</f>
        <v>Jeanne d'Arc</v>
      </c>
      <c r="AP562" t="str">
        <f>"CLERMONT-FERRAND"</f>
        <v>CLERMONT-FERRAND</v>
      </c>
      <c r="AQ562" t="str">
        <f>"Clermont-Ferrand"</f>
        <v>Clermont-Ferrand</v>
      </c>
    </row>
    <row r="563" spans="1:43" x14ac:dyDescent="0.25">
      <c r="A563" t="str">
        <f t="shared" si="105"/>
        <v>3A,3A GS,T00000,3A Ing</v>
      </c>
      <c r="B563" t="str">
        <f>"CHEBIL"</f>
        <v>CHEBIL</v>
      </c>
      <c r="C563" t="str">
        <f>"Kenza"</f>
        <v>Kenza</v>
      </c>
      <c r="D563" t="str">
        <f>"022-2182"</f>
        <v>022-2182</v>
      </c>
      <c r="E563" t="str">
        <f>"213422440GE"</f>
        <v>213422440GE</v>
      </c>
      <c r="F563" t="str">
        <f t="shared" si="95"/>
        <v>0352480F</v>
      </c>
      <c r="G563" t="str">
        <f t="shared" si="96"/>
        <v>O</v>
      </c>
      <c r="H563">
        <v>10</v>
      </c>
      <c r="I563">
        <v>1999</v>
      </c>
      <c r="J563">
        <v>2</v>
      </c>
      <c r="K563">
        <v>31</v>
      </c>
      <c r="L563">
        <v>0</v>
      </c>
      <c r="M563">
        <v>2018</v>
      </c>
      <c r="N563" t="str">
        <f t="shared" si="104"/>
        <v>E</v>
      </c>
      <c r="O563">
        <v>2</v>
      </c>
      <c r="P563">
        <v>0</v>
      </c>
      <c r="Q563">
        <v>351</v>
      </c>
      <c r="R563">
        <v>100</v>
      </c>
      <c r="S563">
        <v>35170</v>
      </c>
      <c r="T563">
        <v>100</v>
      </c>
      <c r="U563">
        <v>35170</v>
      </c>
      <c r="V563" t="s">
        <v>1</v>
      </c>
      <c r="W563">
        <v>37</v>
      </c>
      <c r="X563">
        <v>0</v>
      </c>
      <c r="Y563">
        <v>6000577</v>
      </c>
      <c r="Z563">
        <v>3</v>
      </c>
      <c r="AA563">
        <v>27</v>
      </c>
      <c r="AB563" t="str">
        <f>""</f>
        <v/>
      </c>
      <c r="AC563" t="str">
        <f>""</f>
        <v/>
      </c>
      <c r="AD563" t="str">
        <f>""</f>
        <v/>
      </c>
      <c r="AE563">
        <v>2022</v>
      </c>
      <c r="AF563">
        <v>2022</v>
      </c>
      <c r="AG563" t="str">
        <f t="shared" si="106"/>
        <v>Bruz</v>
      </c>
      <c r="AH563" t="str">
        <f t="shared" si="106"/>
        <v>Bruz</v>
      </c>
      <c r="AI563" t="str">
        <f>""</f>
        <v/>
      </c>
      <c r="AJ563" t="str">
        <f>""</f>
        <v/>
      </c>
      <c r="AK563" t="str">
        <f>""</f>
        <v/>
      </c>
      <c r="AL563">
        <v>82</v>
      </c>
      <c r="AM563" t="str">
        <f>""</f>
        <v/>
      </c>
      <c r="AN563" t="str">
        <f>""</f>
        <v/>
      </c>
      <c r="AO563" t="str">
        <f>"lycée les pères blanc"</f>
        <v>lycée les pères blanc</v>
      </c>
      <c r="AP563" t="str">
        <f>"TUNIS"</f>
        <v>TUNIS</v>
      </c>
      <c r="AQ563" t="str">
        <f>"Etranger"</f>
        <v>Etranger</v>
      </c>
    </row>
    <row r="564" spans="1:43" x14ac:dyDescent="0.25">
      <c r="A564" t="str">
        <f t="shared" si="105"/>
        <v>3A,3A GS,T00000,3A Ing</v>
      </c>
      <c r="B564" t="str">
        <f>"DIAW"</f>
        <v>DIAW</v>
      </c>
      <c r="C564" t="str">
        <f>"Mouhamed"</f>
        <v>Mouhamed</v>
      </c>
      <c r="D564" t="str">
        <f>"022-2267"</f>
        <v>022-2267</v>
      </c>
      <c r="E564" t="str">
        <f>"193036528GJ"</f>
        <v>193036528GJ</v>
      </c>
      <c r="F564" t="str">
        <f t="shared" si="95"/>
        <v>0352480F</v>
      </c>
      <c r="G564" t="str">
        <f t="shared" si="96"/>
        <v>O</v>
      </c>
      <c r="H564">
        <v>10</v>
      </c>
      <c r="I564">
        <v>1999</v>
      </c>
      <c r="J564">
        <v>1</v>
      </c>
      <c r="K564">
        <v>31</v>
      </c>
      <c r="L564">
        <v>0</v>
      </c>
      <c r="M564">
        <v>2019</v>
      </c>
      <c r="N564" t="str">
        <f t="shared" si="104"/>
        <v>E</v>
      </c>
      <c r="O564" t="str">
        <f>"D"</f>
        <v>D</v>
      </c>
      <c r="P564">
        <v>0</v>
      </c>
      <c r="Q564">
        <v>341</v>
      </c>
      <c r="R564">
        <v>100</v>
      </c>
      <c r="S564">
        <v>35170</v>
      </c>
      <c r="T564">
        <v>100</v>
      </c>
      <c r="U564">
        <v>35170</v>
      </c>
      <c r="V564" t="str">
        <f>"TOEIC 2A - 11/04/2024 : 695"</f>
        <v>TOEIC 2A - 11/04/2024 : 695</v>
      </c>
      <c r="W564">
        <v>22</v>
      </c>
      <c r="X564">
        <v>0</v>
      </c>
      <c r="Y564">
        <v>6000577</v>
      </c>
      <c r="Z564">
        <v>3</v>
      </c>
      <c r="AA564">
        <v>27</v>
      </c>
      <c r="AB564" t="str">
        <f>""</f>
        <v/>
      </c>
      <c r="AC564" t="str">
        <f>""</f>
        <v/>
      </c>
      <c r="AD564" t="str">
        <f>""</f>
        <v/>
      </c>
      <c r="AE564">
        <v>2019</v>
      </c>
      <c r="AF564">
        <v>2022</v>
      </c>
      <c r="AG564" t="str">
        <f t="shared" si="106"/>
        <v>Bruz</v>
      </c>
      <c r="AH564" t="str">
        <f t="shared" si="106"/>
        <v>Bruz</v>
      </c>
      <c r="AI564" t="str">
        <f>""</f>
        <v/>
      </c>
      <c r="AJ564" t="str">
        <f>""</f>
        <v/>
      </c>
      <c r="AK564" t="str">
        <f>""</f>
        <v/>
      </c>
      <c r="AL564">
        <v>72</v>
      </c>
      <c r="AM564" t="str">
        <f>""</f>
        <v/>
      </c>
      <c r="AN564" t="str">
        <f>""</f>
        <v/>
      </c>
      <c r="AO564" t="str">
        <f>"Mouhamed Diaw"</f>
        <v>Mouhamed Diaw</v>
      </c>
      <c r="AP564" t="str">
        <f>"DIOURBEL (SÉNÉGAL)"</f>
        <v>DIOURBEL (SÉNÉGAL)</v>
      </c>
      <c r="AQ564" t="str">
        <f>"Etranger"</f>
        <v>Etranger</v>
      </c>
    </row>
    <row r="565" spans="1:43" x14ac:dyDescent="0.25">
      <c r="A565" t="str">
        <f t="shared" si="105"/>
        <v>3A,3A GS,T00000,3A Ing</v>
      </c>
      <c r="B565" t="str">
        <f>"EL BASRAOUI"</f>
        <v>EL BASRAOUI</v>
      </c>
      <c r="C565" t="str">
        <f>"Anass"</f>
        <v>Anass</v>
      </c>
      <c r="D565" t="str">
        <f>"023-2378"</f>
        <v>023-2378</v>
      </c>
      <c r="E565" t="str">
        <f>"223334330CC"</f>
        <v>223334330CC</v>
      </c>
      <c r="F565" t="str">
        <f t="shared" si="95"/>
        <v>0352480F</v>
      </c>
      <c r="G565" t="str">
        <f t="shared" si="96"/>
        <v>O</v>
      </c>
      <c r="H565">
        <v>10</v>
      </c>
      <c r="I565">
        <v>2002</v>
      </c>
      <c r="J565">
        <v>1</v>
      </c>
      <c r="K565" t="str">
        <f>"S"</f>
        <v>S</v>
      </c>
      <c r="L565">
        <v>0</v>
      </c>
      <c r="M565">
        <v>2019</v>
      </c>
      <c r="N565" t="str">
        <f t="shared" si="104"/>
        <v>E</v>
      </c>
      <c r="O565" t="str">
        <f>"D"</f>
        <v>D</v>
      </c>
      <c r="P565">
        <v>0</v>
      </c>
      <c r="Q565">
        <v>350</v>
      </c>
      <c r="R565">
        <v>100</v>
      </c>
      <c r="S565" t="str">
        <f>""</f>
        <v/>
      </c>
      <c r="T565">
        <v>100</v>
      </c>
      <c r="U565" t="str">
        <f>""</f>
        <v/>
      </c>
      <c r="V565" t="str">
        <f>"Service de coopération culturel de l'ambassade de France au Maroc 860 EUR /mois pendant 17 mois  TOEIC 2A - 11/04/2024 : 690"</f>
        <v>Service de coopération culturel de l'ambassade de France au Maroc 860 EUR /mois pendant 17 mois  TOEIC 2A - 11/04/2024 : 690</v>
      </c>
      <c r="W565">
        <v>0</v>
      </c>
      <c r="X565">
        <v>0</v>
      </c>
      <c r="Y565">
        <v>6000577</v>
      </c>
      <c r="Z565">
        <v>3</v>
      </c>
      <c r="AA565">
        <v>27</v>
      </c>
      <c r="AB565" t="str">
        <f>""</f>
        <v/>
      </c>
      <c r="AC565" t="str">
        <f>""</f>
        <v/>
      </c>
      <c r="AD565" t="str">
        <f>""</f>
        <v/>
      </c>
      <c r="AE565">
        <v>2023</v>
      </c>
      <c r="AF565">
        <v>2023</v>
      </c>
      <c r="AG565" t="str">
        <f>""</f>
        <v/>
      </c>
      <c r="AH565" t="str">
        <f>""</f>
        <v/>
      </c>
      <c r="AI565" t="str">
        <f>""</f>
        <v/>
      </c>
      <c r="AJ565" t="str">
        <f>""</f>
        <v/>
      </c>
      <c r="AK565" t="str">
        <f>""</f>
        <v/>
      </c>
      <c r="AL565">
        <v>99</v>
      </c>
      <c r="AM565" t="str">
        <f>""</f>
        <v/>
      </c>
      <c r="AN565" t="str">
        <f>""</f>
        <v/>
      </c>
      <c r="AO565" t="str">
        <f>"BAJJA"</f>
        <v>BAJJA</v>
      </c>
      <c r="AP565" t="str">
        <f>"BEN AHMED"</f>
        <v>BEN AHMED</v>
      </c>
      <c r="AQ565" t="str">
        <f>"Etranger"</f>
        <v>Etranger</v>
      </c>
    </row>
    <row r="566" spans="1:43" x14ac:dyDescent="0.25">
      <c r="A566" t="str">
        <f t="shared" si="105"/>
        <v>3A,3A GS,T00000,3A Ing</v>
      </c>
      <c r="B566" t="str">
        <f>"JARRY"</f>
        <v>JARRY</v>
      </c>
      <c r="C566" t="str">
        <f>"Antoine"</f>
        <v>Antoine</v>
      </c>
      <c r="D566" t="str">
        <f>"023-2353"</f>
        <v>023-2353</v>
      </c>
      <c r="E566" t="str">
        <f>"071097656EG"</f>
        <v>071097656EG</v>
      </c>
      <c r="F566" t="str">
        <f t="shared" si="95"/>
        <v>0352480F</v>
      </c>
      <c r="G566" t="str">
        <f t="shared" si="96"/>
        <v>O</v>
      </c>
      <c r="H566">
        <v>10</v>
      </c>
      <c r="I566">
        <v>2001</v>
      </c>
      <c r="J566">
        <v>1</v>
      </c>
      <c r="K566" t="str">
        <f>"ES"</f>
        <v>ES</v>
      </c>
      <c r="L566">
        <v>5</v>
      </c>
      <c r="M566">
        <v>2019</v>
      </c>
      <c r="N566" t="str">
        <f t="shared" si="104"/>
        <v>E</v>
      </c>
      <c r="O566" t="str">
        <f>"Q"</f>
        <v>Q</v>
      </c>
      <c r="P566">
        <v>0</v>
      </c>
      <c r="Q566">
        <v>100</v>
      </c>
      <c r="R566">
        <v>100</v>
      </c>
      <c r="S566">
        <v>35170</v>
      </c>
      <c r="T566">
        <v>100</v>
      </c>
      <c r="U566">
        <v>35170</v>
      </c>
      <c r="V566" t="str">
        <f>"TOEIC 2A - 11/04/2024 : 595"</f>
        <v>TOEIC 2A - 11/04/2024 : 595</v>
      </c>
      <c r="W566">
        <v>55</v>
      </c>
      <c r="X566">
        <v>0</v>
      </c>
      <c r="Y566">
        <v>6000577</v>
      </c>
      <c r="Z566">
        <v>3</v>
      </c>
      <c r="AA566">
        <v>27</v>
      </c>
      <c r="AB566" t="str">
        <f>""</f>
        <v/>
      </c>
      <c r="AC566" t="str">
        <f>""</f>
        <v/>
      </c>
      <c r="AD566" t="str">
        <f>""</f>
        <v/>
      </c>
      <c r="AE566">
        <v>2019</v>
      </c>
      <c r="AF566">
        <v>2023</v>
      </c>
      <c r="AG566" t="str">
        <f>"BRUZ"</f>
        <v>BRUZ</v>
      </c>
      <c r="AH566" t="str">
        <f>"BRUZ"</f>
        <v>BRUZ</v>
      </c>
      <c r="AI566" t="str">
        <f>""</f>
        <v/>
      </c>
      <c r="AJ566" t="str">
        <f>""</f>
        <v/>
      </c>
      <c r="AK566" t="str">
        <f>""</f>
        <v/>
      </c>
      <c r="AL566">
        <v>52</v>
      </c>
      <c r="AM566" t="str">
        <f>""</f>
        <v/>
      </c>
      <c r="AN566" t="str">
        <f>""</f>
        <v/>
      </c>
      <c r="AO566" t="str">
        <f>"Lycée Marguerite de Navarre"</f>
        <v>Lycée Marguerite de Navarre</v>
      </c>
      <c r="AP566" t="str">
        <f>"ALENÇON"</f>
        <v>ALENÇON</v>
      </c>
      <c r="AQ566" t="str">
        <f>"Caen"</f>
        <v>Caen</v>
      </c>
    </row>
    <row r="567" spans="1:43" x14ac:dyDescent="0.25">
      <c r="A567" t="str">
        <f t="shared" si="105"/>
        <v>3A,3A GS,T00000,3A Ing</v>
      </c>
      <c r="B567" t="str">
        <f>"LE BOT"</f>
        <v>LE BOT</v>
      </c>
      <c r="C567" t="str">
        <f>"Marceau"</f>
        <v>Marceau</v>
      </c>
      <c r="D567" t="str">
        <f>"022-2261"</f>
        <v>022-2261</v>
      </c>
      <c r="E567" t="str">
        <f>"111067660FG"</f>
        <v>111067660FG</v>
      </c>
      <c r="F567" t="str">
        <f t="shared" si="95"/>
        <v>0352480F</v>
      </c>
      <c r="G567" t="str">
        <f t="shared" si="96"/>
        <v>O</v>
      </c>
      <c r="H567">
        <v>10</v>
      </c>
      <c r="I567">
        <v>2003</v>
      </c>
      <c r="J567">
        <v>1</v>
      </c>
      <c r="K567" t="str">
        <f>"S"</f>
        <v>S</v>
      </c>
      <c r="L567">
        <v>14</v>
      </c>
      <c r="M567">
        <v>2020</v>
      </c>
      <c r="N567" t="str">
        <f t="shared" si="104"/>
        <v>E</v>
      </c>
      <c r="O567" t="str">
        <f>"D"</f>
        <v>D</v>
      </c>
      <c r="P567">
        <v>0</v>
      </c>
      <c r="Q567">
        <v>100</v>
      </c>
      <c r="R567">
        <v>100</v>
      </c>
      <c r="S567">
        <v>56200</v>
      </c>
      <c r="T567">
        <v>100</v>
      </c>
      <c r="U567">
        <v>56200</v>
      </c>
      <c r="V567" t="str">
        <f>""</f>
        <v/>
      </c>
      <c r="W567">
        <v>0</v>
      </c>
      <c r="X567">
        <v>0</v>
      </c>
      <c r="Y567">
        <v>6000577</v>
      </c>
      <c r="Z567">
        <v>3</v>
      </c>
      <c r="AA567">
        <v>27</v>
      </c>
      <c r="AB567" t="str">
        <f>""</f>
        <v/>
      </c>
      <c r="AC567" t="str">
        <f>""</f>
        <v/>
      </c>
      <c r="AD567" t="str">
        <f>""</f>
        <v/>
      </c>
      <c r="AE567">
        <v>2020</v>
      </c>
      <c r="AF567">
        <v>2022</v>
      </c>
      <c r="AG567" t="str">
        <f>"Saint-Martin-Sur-Oust"</f>
        <v>Saint-Martin-Sur-Oust</v>
      </c>
      <c r="AH567" t="str">
        <f>"Saint-Martin-Sur-Oust"</f>
        <v>Saint-Martin-Sur-Oust</v>
      </c>
      <c r="AI567" t="str">
        <f>""</f>
        <v/>
      </c>
      <c r="AJ567" t="str">
        <f>""</f>
        <v/>
      </c>
      <c r="AK567" t="str">
        <f>""</f>
        <v/>
      </c>
      <c r="AL567">
        <v>55</v>
      </c>
      <c r="AM567" t="str">
        <f>""</f>
        <v/>
      </c>
      <c r="AN567" t="str">
        <f>""</f>
        <v/>
      </c>
      <c r="AO567" t="str">
        <f>"Beaumont"</f>
        <v>Beaumont</v>
      </c>
      <c r="AP567" t="str">
        <f>"REDON"</f>
        <v>REDON</v>
      </c>
      <c r="AQ567" t="str">
        <f>"Rennes"</f>
        <v>Rennes</v>
      </c>
    </row>
    <row r="568" spans="1:43" x14ac:dyDescent="0.25">
      <c r="A568" t="str">
        <f t="shared" si="105"/>
        <v>3A,3A GS,T00000,3A Ing</v>
      </c>
      <c r="B568" t="str">
        <f>"MAGHAMES"</f>
        <v>MAGHAMES</v>
      </c>
      <c r="C568" t="str">
        <f>"Alexandre"</f>
        <v>Alexandre</v>
      </c>
      <c r="D568" t="str">
        <f>"022-2275"</f>
        <v>022-2275</v>
      </c>
      <c r="E568" t="str">
        <f>"050079565JA"</f>
        <v>050079565JA</v>
      </c>
      <c r="F568" t="str">
        <f t="shared" si="95"/>
        <v>0352480F</v>
      </c>
      <c r="G568" t="str">
        <f t="shared" si="96"/>
        <v>O</v>
      </c>
      <c r="H568">
        <v>10</v>
      </c>
      <c r="I568">
        <v>2002</v>
      </c>
      <c r="J568">
        <v>1</v>
      </c>
      <c r="K568" t="str">
        <f>"S"</f>
        <v>S</v>
      </c>
      <c r="L568">
        <v>25</v>
      </c>
      <c r="M568">
        <v>2020</v>
      </c>
      <c r="N568" t="str">
        <f t="shared" si="104"/>
        <v>E</v>
      </c>
      <c r="O568" t="str">
        <f>"D"</f>
        <v>D</v>
      </c>
      <c r="P568">
        <v>0</v>
      </c>
      <c r="Q568">
        <v>100</v>
      </c>
      <c r="R568">
        <v>100</v>
      </c>
      <c r="S568">
        <v>35000</v>
      </c>
      <c r="T568">
        <v>100</v>
      </c>
      <c r="U568">
        <v>35000</v>
      </c>
      <c r="V568" t="str">
        <f>"Club Ensa'Litt  TOEIC 2A - 11/04/2024 : 900"</f>
        <v>Club Ensa'Litt  TOEIC 2A - 11/04/2024 : 900</v>
      </c>
      <c r="W568">
        <v>52</v>
      </c>
      <c r="X568">
        <v>0</v>
      </c>
      <c r="Y568">
        <v>6000577</v>
      </c>
      <c r="Z568">
        <v>3</v>
      </c>
      <c r="AA568">
        <v>27</v>
      </c>
      <c r="AB568" t="str">
        <f>""</f>
        <v/>
      </c>
      <c r="AC568" t="str">
        <f>""</f>
        <v/>
      </c>
      <c r="AD568" t="str">
        <f>""</f>
        <v/>
      </c>
      <c r="AE568">
        <v>2020</v>
      </c>
      <c r="AF568">
        <v>2022</v>
      </c>
      <c r="AG568" t="str">
        <f>"Rennes"</f>
        <v>Rennes</v>
      </c>
      <c r="AH568" t="str">
        <f>"Rennes"</f>
        <v>Rennes</v>
      </c>
      <c r="AI568" t="str">
        <f>""</f>
        <v/>
      </c>
      <c r="AJ568" t="str">
        <f>""</f>
        <v/>
      </c>
      <c r="AK568" t="str">
        <f>""</f>
        <v/>
      </c>
      <c r="AL568">
        <v>52</v>
      </c>
      <c r="AM568" t="str">
        <f>""</f>
        <v/>
      </c>
      <c r="AN568" t="str">
        <f>""</f>
        <v/>
      </c>
      <c r="AO568" t="str">
        <f>"Lycée Georges Brassens"</f>
        <v>Lycée Georges Brassens</v>
      </c>
      <c r="AP568" t="str">
        <f>"COURCOURONNES"</f>
        <v>COURCOURONNES</v>
      </c>
      <c r="AQ568" t="str">
        <f>"Versailles"</f>
        <v>Versailles</v>
      </c>
    </row>
    <row r="569" spans="1:43" x14ac:dyDescent="0.25">
      <c r="A569" t="str">
        <f t="shared" si="105"/>
        <v>3A,3A GS,T00000,3A Ing</v>
      </c>
      <c r="B569" t="str">
        <f>"MARINONI"</f>
        <v>MARINONI</v>
      </c>
      <c r="C569" t="str">
        <f>"Erwan"</f>
        <v>Erwan</v>
      </c>
      <c r="D569" t="str">
        <f>"022-2158"</f>
        <v>022-2158</v>
      </c>
      <c r="E569" t="str">
        <f>"070063706HD"</f>
        <v>070063706HD</v>
      </c>
      <c r="F569" t="str">
        <f t="shared" si="95"/>
        <v>0352480F</v>
      </c>
      <c r="G569" t="str">
        <f t="shared" si="96"/>
        <v>O</v>
      </c>
      <c r="H569">
        <v>10</v>
      </c>
      <c r="I569">
        <v>2001</v>
      </c>
      <c r="J569">
        <v>1</v>
      </c>
      <c r="K569" t="str">
        <f>"S"</f>
        <v>S</v>
      </c>
      <c r="L569">
        <v>14</v>
      </c>
      <c r="M569">
        <v>2019</v>
      </c>
      <c r="N569" t="str">
        <f t="shared" si="104"/>
        <v>E</v>
      </c>
      <c r="O569" t="str">
        <f>"N"</f>
        <v>N</v>
      </c>
      <c r="P569">
        <v>0</v>
      </c>
      <c r="Q569">
        <v>100</v>
      </c>
      <c r="R569">
        <v>100</v>
      </c>
      <c r="S569">
        <v>35170</v>
      </c>
      <c r="T569">
        <v>100</v>
      </c>
      <c r="U569">
        <v>35170</v>
      </c>
      <c r="V569" t="str">
        <f>""</f>
        <v/>
      </c>
      <c r="W569">
        <v>34</v>
      </c>
      <c r="X569">
        <v>0</v>
      </c>
      <c r="Y569">
        <v>6000577</v>
      </c>
      <c r="Z569">
        <v>3</v>
      </c>
      <c r="AA569">
        <v>27</v>
      </c>
      <c r="AB569" t="str">
        <f>""</f>
        <v/>
      </c>
      <c r="AC569" t="str">
        <f>""</f>
        <v/>
      </c>
      <c r="AD569" t="str">
        <f>""</f>
        <v/>
      </c>
      <c r="AE569">
        <v>2019</v>
      </c>
      <c r="AF569">
        <v>2022</v>
      </c>
      <c r="AG569" t="str">
        <f>"BRUZ"</f>
        <v>BRUZ</v>
      </c>
      <c r="AH569" t="str">
        <f>"BRUZ"</f>
        <v>BRUZ</v>
      </c>
      <c r="AI569" t="str">
        <f>""</f>
        <v/>
      </c>
      <c r="AJ569" t="str">
        <f>""</f>
        <v/>
      </c>
      <c r="AK569" t="str">
        <f>""</f>
        <v/>
      </c>
      <c r="AL569">
        <v>34</v>
      </c>
      <c r="AM569" t="str">
        <f>""</f>
        <v/>
      </c>
      <c r="AN569" t="str">
        <f>""</f>
        <v/>
      </c>
      <c r="AO569" t="str">
        <f>"JEAN BRITO"</f>
        <v>JEAN BRITO</v>
      </c>
      <c r="AP569" t="str">
        <f>"BAIN DE BRETAGNE"</f>
        <v>BAIN DE BRETAGNE</v>
      </c>
      <c r="AQ569" t="str">
        <f>"Rennes"</f>
        <v>Rennes</v>
      </c>
    </row>
    <row r="570" spans="1:43" x14ac:dyDescent="0.25">
      <c r="A570" t="str">
        <f t="shared" si="105"/>
        <v>3A,3A GS,T00000,3A Ing</v>
      </c>
      <c r="B570" t="str">
        <f>"SORO"</f>
        <v>SORO</v>
      </c>
      <c r="C570" t="str">
        <f>"Sonokoli"</f>
        <v>Sonokoli</v>
      </c>
      <c r="D570" t="str">
        <f>"022-2229"</f>
        <v>022-2229</v>
      </c>
      <c r="E570" t="str">
        <f>"0G411U02WM8"</f>
        <v>0G411U02WM8</v>
      </c>
      <c r="F570" t="str">
        <f t="shared" si="95"/>
        <v>0352480F</v>
      </c>
      <c r="G570" t="str">
        <f t="shared" si="96"/>
        <v>O</v>
      </c>
      <c r="H570">
        <v>10</v>
      </c>
      <c r="I570">
        <v>2002</v>
      </c>
      <c r="J570">
        <v>1</v>
      </c>
      <c r="K570">
        <v>31</v>
      </c>
      <c r="L570">
        <v>0</v>
      </c>
      <c r="M570">
        <v>2019</v>
      </c>
      <c r="N570" t="str">
        <f t="shared" si="104"/>
        <v>E</v>
      </c>
      <c r="O570" t="str">
        <f>"N"</f>
        <v>N</v>
      </c>
      <c r="P570">
        <v>0</v>
      </c>
      <c r="Q570">
        <v>326</v>
      </c>
      <c r="R570">
        <v>100</v>
      </c>
      <c r="S570">
        <v>35200</v>
      </c>
      <c r="T570">
        <v>100</v>
      </c>
      <c r="U570">
        <v>35200</v>
      </c>
      <c r="V570" t="str">
        <f>""</f>
        <v/>
      </c>
      <c r="W570">
        <v>0</v>
      </c>
      <c r="X570">
        <v>0</v>
      </c>
      <c r="Y570">
        <v>6000577</v>
      </c>
      <c r="Z570">
        <v>3</v>
      </c>
      <c r="AA570">
        <v>27</v>
      </c>
      <c r="AB570" t="str">
        <f>""</f>
        <v/>
      </c>
      <c r="AC570" t="str">
        <f>""</f>
        <v/>
      </c>
      <c r="AD570" t="str">
        <f>""</f>
        <v/>
      </c>
      <c r="AE570">
        <v>2019</v>
      </c>
      <c r="AF570">
        <v>2022</v>
      </c>
      <c r="AG570" t="str">
        <f>"Rennes"</f>
        <v>Rennes</v>
      </c>
      <c r="AH570" t="str">
        <f>"Rennes"</f>
        <v>Rennes</v>
      </c>
      <c r="AI570" t="str">
        <f>""</f>
        <v/>
      </c>
      <c r="AJ570" t="str">
        <f>""</f>
        <v/>
      </c>
      <c r="AK570" t="str">
        <f>""</f>
        <v/>
      </c>
      <c r="AL570">
        <v>0</v>
      </c>
      <c r="AM570" t="str">
        <f>""</f>
        <v/>
      </c>
      <c r="AN570" t="str">
        <f>""</f>
        <v/>
      </c>
      <c r="AO570" t="str">
        <f>"Lycée Scientifique de Yamoussoukro"</f>
        <v>Lycée Scientifique de Yamoussoukro</v>
      </c>
      <c r="AP570" t="str">
        <f>"YAMOUSSOUKRO (CÔTE D'IVOIRE)"</f>
        <v>YAMOUSSOUKRO (CÔTE D'IVOIRE)</v>
      </c>
      <c r="AQ570" t="str">
        <f>"Etranger"</f>
        <v>Etranger</v>
      </c>
    </row>
    <row r="571" spans="1:43" x14ac:dyDescent="0.25">
      <c r="A571" t="str">
        <f t="shared" si="105"/>
        <v>3A,3A GS,T00000,3A Ing</v>
      </c>
      <c r="B571" t="str">
        <f>"TARCHOUNA"</f>
        <v>TARCHOUNA</v>
      </c>
      <c r="C571" t="str">
        <f>"Yasmine"</f>
        <v>Yasmine</v>
      </c>
      <c r="D571" t="str">
        <f>"023-2408"</f>
        <v>023-2408</v>
      </c>
      <c r="E571" t="str">
        <f>"223391703HD"</f>
        <v>223391703HD</v>
      </c>
      <c r="F571" t="str">
        <f t="shared" si="95"/>
        <v>0352480F</v>
      </c>
      <c r="G571" t="str">
        <f t="shared" si="96"/>
        <v>O</v>
      </c>
      <c r="H571">
        <v>10</v>
      </c>
      <c r="I571">
        <v>2001</v>
      </c>
      <c r="J571">
        <v>2</v>
      </c>
      <c r="K571" t="str">
        <f>""</f>
        <v/>
      </c>
      <c r="L571">
        <v>0</v>
      </c>
      <c r="M571">
        <v>2019</v>
      </c>
      <c r="N571" t="str">
        <f t="shared" si="104"/>
        <v>E</v>
      </c>
      <c r="O571" t="str">
        <f>""</f>
        <v/>
      </c>
      <c r="P571">
        <v>0</v>
      </c>
      <c r="Q571">
        <v>351</v>
      </c>
      <c r="R571">
        <v>100</v>
      </c>
      <c r="S571">
        <v>35170</v>
      </c>
      <c r="T571">
        <v>100</v>
      </c>
      <c r="U571">
        <v>35170</v>
      </c>
      <c r="V571" t="str">
        <f>"TOEIC 2A à l'ENSAI 08-01-2024 : 975"</f>
        <v>TOEIC 2A à l'ENSAI 08-01-2024 : 975</v>
      </c>
      <c r="W571">
        <v>34</v>
      </c>
      <c r="X571">
        <v>0</v>
      </c>
      <c r="Y571">
        <v>6000577</v>
      </c>
      <c r="Z571">
        <v>3</v>
      </c>
      <c r="AA571">
        <v>27</v>
      </c>
      <c r="AB571" t="str">
        <f>""</f>
        <v/>
      </c>
      <c r="AC571" t="str">
        <f>""</f>
        <v/>
      </c>
      <c r="AD571" t="str">
        <f>""</f>
        <v/>
      </c>
      <c r="AE571">
        <v>2023</v>
      </c>
      <c r="AF571">
        <v>2023</v>
      </c>
      <c r="AG571" t="str">
        <f>"Bruz"</f>
        <v>Bruz</v>
      </c>
      <c r="AH571" t="str">
        <f>"Bruz"</f>
        <v>Bruz</v>
      </c>
      <c r="AI571" t="str">
        <f>""</f>
        <v/>
      </c>
      <c r="AJ571" t="str">
        <f>""</f>
        <v/>
      </c>
      <c r="AK571" t="str">
        <f>""</f>
        <v/>
      </c>
      <c r="AL571">
        <v>0</v>
      </c>
      <c r="AM571" t="str">
        <f>""</f>
        <v/>
      </c>
      <c r="AN571" t="str">
        <f>""</f>
        <v/>
      </c>
      <c r="AO571" t="str">
        <f>"Lycée pilote de l'Ariana"</f>
        <v>Lycée pilote de l'Ariana</v>
      </c>
      <c r="AP571" t="str">
        <f>"ARIANA (TUNISIE)"</f>
        <v>ARIANA (TUNISIE)</v>
      </c>
      <c r="AQ571" t="str">
        <f>"Etranger"</f>
        <v>Etranger</v>
      </c>
    </row>
    <row r="572" spans="1:43" x14ac:dyDescent="0.25">
      <c r="A572" t="str">
        <f t="shared" ref="A572:A580" si="107">"3A,3A GS,T01850,3A Ing"</f>
        <v>3A,3A GS,T01850,3A Ing</v>
      </c>
      <c r="B572" t="str">
        <f>"BLYAU"</f>
        <v>BLYAU</v>
      </c>
      <c r="C572" t="str">
        <f>"Chloe"</f>
        <v>Chloe</v>
      </c>
      <c r="D572" t="str">
        <f>"022-2287"</f>
        <v>022-2287</v>
      </c>
      <c r="E572" t="str">
        <f>"101069220CH"</f>
        <v>101069220CH</v>
      </c>
      <c r="F572" t="str">
        <f t="shared" si="95"/>
        <v>0352480F</v>
      </c>
      <c r="G572" t="str">
        <f t="shared" si="96"/>
        <v>O</v>
      </c>
      <c r="H572">
        <v>10</v>
      </c>
      <c r="I572">
        <v>2003</v>
      </c>
      <c r="J572">
        <v>2</v>
      </c>
      <c r="K572" t="str">
        <f t="shared" ref="K572:K578" si="108">"S"</f>
        <v>S</v>
      </c>
      <c r="L572">
        <v>9</v>
      </c>
      <c r="M572">
        <v>2020</v>
      </c>
      <c r="N572" t="str">
        <f t="shared" si="104"/>
        <v>E</v>
      </c>
      <c r="O572" t="str">
        <f>"D"</f>
        <v>D</v>
      </c>
      <c r="P572">
        <v>0</v>
      </c>
      <c r="Q572">
        <v>100</v>
      </c>
      <c r="R572">
        <v>100</v>
      </c>
      <c r="S572">
        <v>35170</v>
      </c>
      <c r="T572">
        <v>100</v>
      </c>
      <c r="U572">
        <v>35170</v>
      </c>
      <c r="V572" t="str">
        <f>"TOEIC passé à l'ENSAI le 22/05/2023 : score 965"</f>
        <v>TOEIC passé à l'ENSAI le 22/05/2023 : score 965</v>
      </c>
      <c r="W572">
        <v>47</v>
      </c>
      <c r="X572">
        <v>0</v>
      </c>
      <c r="Y572">
        <v>6000577</v>
      </c>
      <c r="Z572">
        <v>3</v>
      </c>
      <c r="AA572">
        <v>27</v>
      </c>
      <c r="AB572" t="str">
        <f>""</f>
        <v/>
      </c>
      <c r="AC572" t="str">
        <f>""</f>
        <v/>
      </c>
      <c r="AD572" t="str">
        <f>""</f>
        <v/>
      </c>
      <c r="AE572">
        <v>2020</v>
      </c>
      <c r="AF572">
        <v>2022</v>
      </c>
      <c r="AG572" t="str">
        <f>"Bruz"</f>
        <v>Bruz</v>
      </c>
      <c r="AH572" t="str">
        <f>"Bruz"</f>
        <v>Bruz</v>
      </c>
      <c r="AI572" t="str">
        <f>""</f>
        <v/>
      </c>
      <c r="AJ572" t="str">
        <f>""</f>
        <v/>
      </c>
      <c r="AK572" t="str">
        <f>""</f>
        <v/>
      </c>
      <c r="AL572">
        <v>34</v>
      </c>
      <c r="AM572" t="str">
        <f>""</f>
        <v/>
      </c>
      <c r="AN572" t="str">
        <f>""</f>
        <v/>
      </c>
      <c r="AO572" t="str">
        <f>"Notre Dame de Grâce"</f>
        <v>Notre Dame de Grâce</v>
      </c>
      <c r="AP572" t="str">
        <f>"MAUBEUGE"</f>
        <v>MAUBEUGE</v>
      </c>
      <c r="AQ572" t="str">
        <f>"Lille"</f>
        <v>Lille</v>
      </c>
    </row>
    <row r="573" spans="1:43" x14ac:dyDescent="0.25">
      <c r="A573" t="str">
        <f t="shared" si="107"/>
        <v>3A,3A GS,T01850,3A Ing</v>
      </c>
      <c r="B573" t="str">
        <f>"BRAULT"</f>
        <v>BRAULT</v>
      </c>
      <c r="C573" t="str">
        <f>"Tom"</f>
        <v>Tom</v>
      </c>
      <c r="D573" t="str">
        <f>"022-2244"</f>
        <v>022-2244</v>
      </c>
      <c r="E573" t="str">
        <f>"060834326KH"</f>
        <v>060834326KH</v>
      </c>
      <c r="F573" t="str">
        <f t="shared" si="95"/>
        <v>0352480F</v>
      </c>
      <c r="G573" t="str">
        <f t="shared" si="96"/>
        <v>O</v>
      </c>
      <c r="H573">
        <v>10</v>
      </c>
      <c r="I573">
        <v>2002</v>
      </c>
      <c r="J573">
        <v>1</v>
      </c>
      <c r="K573" t="str">
        <f t="shared" si="108"/>
        <v>S</v>
      </c>
      <c r="L573">
        <v>8</v>
      </c>
      <c r="M573">
        <v>2020</v>
      </c>
      <c r="N573" t="str">
        <f t="shared" si="104"/>
        <v>E</v>
      </c>
      <c r="O573" t="str">
        <f>"D"</f>
        <v>D</v>
      </c>
      <c r="P573">
        <v>0</v>
      </c>
      <c r="Q573">
        <v>100</v>
      </c>
      <c r="R573">
        <v>100</v>
      </c>
      <c r="S573">
        <v>35170</v>
      </c>
      <c r="T573">
        <v>100</v>
      </c>
      <c r="U573">
        <v>35170</v>
      </c>
      <c r="V573" t="str">
        <f>"TOEIC passé à l'ENSAI le 22/05/2023 : score 970"</f>
        <v>TOEIC passé à l'ENSAI le 22/05/2023 : score 970</v>
      </c>
      <c r="W573">
        <v>38</v>
      </c>
      <c r="X573">
        <v>0</v>
      </c>
      <c r="Y573">
        <v>6000577</v>
      </c>
      <c r="Z573">
        <v>3</v>
      </c>
      <c r="AA573">
        <v>27</v>
      </c>
      <c r="AB573" t="str">
        <f>""</f>
        <v/>
      </c>
      <c r="AC573" t="str">
        <f>""</f>
        <v/>
      </c>
      <c r="AD573" t="str">
        <f>""</f>
        <v/>
      </c>
      <c r="AE573">
        <v>2020</v>
      </c>
      <c r="AF573">
        <v>2022</v>
      </c>
      <c r="AG573" t="str">
        <f>"BRUZ"</f>
        <v>BRUZ</v>
      </c>
      <c r="AH573" t="str">
        <f>"BRUZ"</f>
        <v>BRUZ</v>
      </c>
      <c r="AI573" t="str">
        <f>""</f>
        <v/>
      </c>
      <c r="AJ573" t="str">
        <f>""</f>
        <v/>
      </c>
      <c r="AK573" t="str">
        <f>""</f>
        <v/>
      </c>
      <c r="AL573">
        <v>37</v>
      </c>
      <c r="AM573" t="str">
        <f>""</f>
        <v/>
      </c>
      <c r="AN573" t="str">
        <f>""</f>
        <v/>
      </c>
      <c r="AO573" t="str">
        <f>"Lycée Léonard de Vinci"</f>
        <v>Lycée Léonard de Vinci</v>
      </c>
      <c r="AP573" t="str">
        <f>"VILLEFONTAINE"</f>
        <v>VILLEFONTAINE</v>
      </c>
      <c r="AQ573" t="str">
        <f>"Grenoble"</f>
        <v>Grenoble</v>
      </c>
    </row>
    <row r="574" spans="1:43" x14ac:dyDescent="0.25">
      <c r="A574" t="str">
        <f t="shared" si="107"/>
        <v>3A,3A GS,T01850,3A Ing</v>
      </c>
      <c r="B574" t="str">
        <f>"DE CAMPIGNEULLES"</f>
        <v>DE CAMPIGNEULLES</v>
      </c>
      <c r="C574" t="str">
        <f>"Charles"</f>
        <v>Charles</v>
      </c>
      <c r="D574" t="str">
        <f>"021-1987"</f>
        <v>021-1987</v>
      </c>
      <c r="E574" t="str">
        <f>"153076507GG"</f>
        <v>153076507GG</v>
      </c>
      <c r="F574" t="str">
        <f t="shared" si="95"/>
        <v>0352480F</v>
      </c>
      <c r="G574" t="str">
        <f t="shared" si="96"/>
        <v>O</v>
      </c>
      <c r="H574">
        <v>10</v>
      </c>
      <c r="I574">
        <v>2000</v>
      </c>
      <c r="J574">
        <v>1</v>
      </c>
      <c r="K574" t="str">
        <f t="shared" si="108"/>
        <v>S</v>
      </c>
      <c r="L574">
        <v>1</v>
      </c>
      <c r="M574">
        <v>2018</v>
      </c>
      <c r="N574" t="str">
        <f t="shared" si="104"/>
        <v>E</v>
      </c>
      <c r="O574" t="str">
        <f>"A"</f>
        <v>A</v>
      </c>
      <c r="P574">
        <v>0</v>
      </c>
      <c r="Q574">
        <v>100</v>
      </c>
      <c r="R574">
        <v>100</v>
      </c>
      <c r="S574">
        <v>35170</v>
      </c>
      <c r="T574">
        <v>100</v>
      </c>
      <c r="U574">
        <v>35170</v>
      </c>
      <c r="V574" t="str">
        <f>"TOEIC 2A à l'ENSAI 08-01-2024 : 930"</f>
        <v>TOEIC 2A à l'ENSAI 08-01-2024 : 930</v>
      </c>
      <c r="W574">
        <v>38</v>
      </c>
      <c r="X574">
        <v>0</v>
      </c>
      <c r="Y574">
        <v>6000577</v>
      </c>
      <c r="Z574">
        <v>3</v>
      </c>
      <c r="AA574">
        <v>27</v>
      </c>
      <c r="AB574" t="str">
        <f>""</f>
        <v/>
      </c>
      <c r="AC574" t="str">
        <f>""</f>
        <v/>
      </c>
      <c r="AD574" t="str">
        <f>""</f>
        <v/>
      </c>
      <c r="AE574">
        <v>2019</v>
      </c>
      <c r="AF574">
        <v>2021</v>
      </c>
      <c r="AG574" t="str">
        <f>"Bruz"</f>
        <v>Bruz</v>
      </c>
      <c r="AH574" t="str">
        <f>"Bruz"</f>
        <v>Bruz</v>
      </c>
      <c r="AI574" t="str">
        <f>""</f>
        <v/>
      </c>
      <c r="AJ574" t="str">
        <f>""</f>
        <v/>
      </c>
      <c r="AK574" t="str">
        <f>""</f>
        <v/>
      </c>
      <c r="AL574">
        <v>38</v>
      </c>
      <c r="AM574" t="str">
        <f>""</f>
        <v/>
      </c>
      <c r="AN574" t="str">
        <f>""</f>
        <v/>
      </c>
      <c r="AO574" t="str">
        <f>"Saint Jean de Passy"</f>
        <v>Saint Jean de Passy</v>
      </c>
      <c r="AP574" t="str">
        <f>"PARIS"</f>
        <v>PARIS</v>
      </c>
      <c r="AQ574" t="str">
        <f>"Paris"</f>
        <v>Paris</v>
      </c>
    </row>
    <row r="575" spans="1:43" x14ac:dyDescent="0.25">
      <c r="A575" t="str">
        <f t="shared" si="107"/>
        <v>3A,3A GS,T01850,3A Ing</v>
      </c>
      <c r="B575" t="str">
        <f>"GINGUENÉ"</f>
        <v>GINGUENÉ</v>
      </c>
      <c r="C575" t="str">
        <f>"Maël"</f>
        <v>Maël</v>
      </c>
      <c r="D575" t="str">
        <f>"022-2205"</f>
        <v>022-2205</v>
      </c>
      <c r="E575" t="str">
        <f>"070576903AG"</f>
        <v>070576903AG</v>
      </c>
      <c r="F575" t="str">
        <f t="shared" si="95"/>
        <v>0352480F</v>
      </c>
      <c r="G575" t="str">
        <f t="shared" si="96"/>
        <v>O</v>
      </c>
      <c r="H575">
        <v>10</v>
      </c>
      <c r="I575">
        <v>2002</v>
      </c>
      <c r="J575">
        <v>1</v>
      </c>
      <c r="K575" t="str">
        <f t="shared" si="108"/>
        <v>S</v>
      </c>
      <c r="L575">
        <v>14</v>
      </c>
      <c r="M575">
        <v>2020</v>
      </c>
      <c r="N575" t="str">
        <f t="shared" si="104"/>
        <v>E</v>
      </c>
      <c r="O575" t="str">
        <f t="shared" ref="O575:O580" si="109">"D"</f>
        <v>D</v>
      </c>
      <c r="P575">
        <v>0</v>
      </c>
      <c r="Q575">
        <v>100</v>
      </c>
      <c r="R575">
        <v>100</v>
      </c>
      <c r="S575">
        <v>35700</v>
      </c>
      <c r="T575">
        <v>100</v>
      </c>
      <c r="U575">
        <v>35700</v>
      </c>
      <c r="V575" t="str">
        <f>"TOEIC passé à l'ENSAI le 22/05/2023 : score 970"</f>
        <v>TOEIC passé à l'ENSAI le 22/05/2023 : score 970</v>
      </c>
      <c r="W575">
        <v>38</v>
      </c>
      <c r="X575">
        <v>0</v>
      </c>
      <c r="Y575">
        <v>6000577</v>
      </c>
      <c r="Z575">
        <v>3</v>
      </c>
      <c r="AA575">
        <v>27</v>
      </c>
      <c r="AB575" t="str">
        <f>""</f>
        <v/>
      </c>
      <c r="AC575" t="str">
        <f>""</f>
        <v/>
      </c>
      <c r="AD575" t="str">
        <f>""</f>
        <v/>
      </c>
      <c r="AE575">
        <v>2020</v>
      </c>
      <c r="AF575">
        <v>2022</v>
      </c>
      <c r="AG575" t="str">
        <f>"Rennes"</f>
        <v>Rennes</v>
      </c>
      <c r="AH575" t="str">
        <f>"Rennes"</f>
        <v>Rennes</v>
      </c>
      <c r="AI575" t="str">
        <f>""</f>
        <v/>
      </c>
      <c r="AJ575" t="str">
        <f>""</f>
        <v/>
      </c>
      <c r="AK575" t="str">
        <f>""</f>
        <v/>
      </c>
      <c r="AL575">
        <v>37</v>
      </c>
      <c r="AM575" t="str">
        <f>""</f>
        <v/>
      </c>
      <c r="AN575" t="str">
        <f>""</f>
        <v/>
      </c>
      <c r="AO575" t="str">
        <f>"Lycée Chateaubriand"</f>
        <v>Lycée Chateaubriand</v>
      </c>
      <c r="AP575" t="str">
        <f>"RENNES"</f>
        <v>RENNES</v>
      </c>
      <c r="AQ575" t="str">
        <f>"Rennes"</f>
        <v>Rennes</v>
      </c>
    </row>
    <row r="576" spans="1:43" x14ac:dyDescent="0.25">
      <c r="A576" t="str">
        <f t="shared" si="107"/>
        <v>3A,3A GS,T01850,3A Ing</v>
      </c>
      <c r="B576" t="str">
        <f>"GUÉRAUD"</f>
        <v>GUÉRAUD</v>
      </c>
      <c r="C576" t="str">
        <f>"Benjamin"</f>
        <v>Benjamin</v>
      </c>
      <c r="D576" t="str">
        <f>"022-2230"</f>
        <v>022-2230</v>
      </c>
      <c r="E576" t="str">
        <f>"121063538CJ"</f>
        <v>121063538CJ</v>
      </c>
      <c r="F576" t="str">
        <f t="shared" si="95"/>
        <v>0352480F</v>
      </c>
      <c r="G576" t="str">
        <f t="shared" si="96"/>
        <v>O</v>
      </c>
      <c r="H576">
        <v>10</v>
      </c>
      <c r="I576">
        <v>2003</v>
      </c>
      <c r="J576">
        <v>1</v>
      </c>
      <c r="K576" t="str">
        <f t="shared" si="108"/>
        <v>S</v>
      </c>
      <c r="L576">
        <v>17</v>
      </c>
      <c r="M576">
        <v>2020</v>
      </c>
      <c r="N576" t="str">
        <f t="shared" si="104"/>
        <v>E</v>
      </c>
      <c r="O576" t="str">
        <f t="shared" si="109"/>
        <v>D</v>
      </c>
      <c r="P576">
        <v>0</v>
      </c>
      <c r="Q576">
        <v>100</v>
      </c>
      <c r="R576">
        <v>100</v>
      </c>
      <c r="S576">
        <v>44800</v>
      </c>
      <c r="T576">
        <v>100</v>
      </c>
      <c r="U576">
        <v>44800</v>
      </c>
      <c r="V576" t="str">
        <f>"TOEIC passé à l'ENSAI le 22/05/2023 : score 945"</f>
        <v>TOEIC passé à l'ENSAI le 22/05/2023 : score 945</v>
      </c>
      <c r="W576">
        <v>82</v>
      </c>
      <c r="X576">
        <v>0</v>
      </c>
      <c r="Y576">
        <v>6000577</v>
      </c>
      <c r="Z576">
        <v>3</v>
      </c>
      <c r="AA576">
        <v>27</v>
      </c>
      <c r="AB576" t="str">
        <f>""</f>
        <v/>
      </c>
      <c r="AC576" t="str">
        <f>""</f>
        <v/>
      </c>
      <c r="AD576" t="str">
        <f>""</f>
        <v/>
      </c>
      <c r="AE576">
        <v>2020</v>
      </c>
      <c r="AF576">
        <v>2022</v>
      </c>
      <c r="AG576" t="str">
        <f>"Saint Herblain"</f>
        <v>Saint Herblain</v>
      </c>
      <c r="AH576" t="str">
        <f>"Saint Herblain"</f>
        <v>Saint Herblain</v>
      </c>
      <c r="AI576" t="str">
        <f>""</f>
        <v/>
      </c>
      <c r="AJ576" t="str">
        <f>""</f>
        <v/>
      </c>
      <c r="AK576" t="str">
        <f>""</f>
        <v/>
      </c>
      <c r="AL576">
        <v>38</v>
      </c>
      <c r="AM576" t="str">
        <f>""</f>
        <v/>
      </c>
      <c r="AN576" t="str">
        <f>""</f>
        <v/>
      </c>
      <c r="AO576" t="str">
        <f>"Guist'hau"</f>
        <v>Guist'hau</v>
      </c>
      <c r="AP576" t="str">
        <f>"NANTES"</f>
        <v>NANTES</v>
      </c>
      <c r="AQ576" t="str">
        <f>"Nantes"</f>
        <v>Nantes</v>
      </c>
    </row>
    <row r="577" spans="1:43" x14ac:dyDescent="0.25">
      <c r="A577" t="str">
        <f t="shared" si="107"/>
        <v>3A,3A GS,T01850,3A Ing</v>
      </c>
      <c r="B577" t="str">
        <f>"MALLICK"</f>
        <v>MALLICK</v>
      </c>
      <c r="C577" t="str">
        <f>"Gaël"</f>
        <v>Gaël</v>
      </c>
      <c r="D577" t="str">
        <f>"021-1979"</f>
        <v>021-1979</v>
      </c>
      <c r="E577" t="str">
        <f>"071433203CC"</f>
        <v>071433203CC</v>
      </c>
      <c r="F577" t="str">
        <f t="shared" si="95"/>
        <v>0352480F</v>
      </c>
      <c r="G577" t="str">
        <f t="shared" si="96"/>
        <v>O</v>
      </c>
      <c r="H577">
        <v>10</v>
      </c>
      <c r="I577">
        <v>2002</v>
      </c>
      <c r="J577">
        <v>1</v>
      </c>
      <c r="K577" t="str">
        <f t="shared" si="108"/>
        <v>S</v>
      </c>
      <c r="L577">
        <v>12</v>
      </c>
      <c r="M577">
        <v>2019</v>
      </c>
      <c r="N577" t="str">
        <f t="shared" si="104"/>
        <v>E</v>
      </c>
      <c r="O577" t="str">
        <f t="shared" si="109"/>
        <v>D</v>
      </c>
      <c r="P577">
        <v>0</v>
      </c>
      <c r="Q577">
        <v>100</v>
      </c>
      <c r="R577">
        <v>100</v>
      </c>
      <c r="S577">
        <v>35000</v>
      </c>
      <c r="T577">
        <v>100</v>
      </c>
      <c r="U577">
        <v>35000</v>
      </c>
      <c r="V577" t="str">
        <f>"Linguaskill à l'ENSAI le 31/05/2022: score 180+ = niveau C1  TOEIC à l'ENSAI le 19/05/2022: score 980"</f>
        <v>Linguaskill à l'ENSAI le 31/05/2022: score 180+ = niveau C1  TOEIC à l'ENSAI le 19/05/2022: score 980</v>
      </c>
      <c r="W577">
        <v>31</v>
      </c>
      <c r="X577">
        <v>0</v>
      </c>
      <c r="Y577">
        <v>6000577</v>
      </c>
      <c r="Z577">
        <v>3</v>
      </c>
      <c r="AA577">
        <v>27</v>
      </c>
      <c r="AB577" t="str">
        <f>""</f>
        <v/>
      </c>
      <c r="AC577" t="str">
        <f>""</f>
        <v/>
      </c>
      <c r="AD577" t="str">
        <f>""</f>
        <v/>
      </c>
      <c r="AE577">
        <v>2019</v>
      </c>
      <c r="AF577">
        <v>2021</v>
      </c>
      <c r="AG577" t="str">
        <f>"Rennes"</f>
        <v>Rennes</v>
      </c>
      <c r="AH577" t="str">
        <f>"Rennes"</f>
        <v>Rennes</v>
      </c>
      <c r="AI577" t="str">
        <f>""</f>
        <v/>
      </c>
      <c r="AJ577" t="str">
        <f>""</f>
        <v/>
      </c>
      <c r="AK577" t="str">
        <f>""</f>
        <v/>
      </c>
      <c r="AL577">
        <v>42</v>
      </c>
      <c r="AM577" t="str">
        <f>""</f>
        <v/>
      </c>
      <c r="AN577" t="str">
        <f>""</f>
        <v/>
      </c>
      <c r="AO577" t="str">
        <f>"Jean-moulin"</f>
        <v>Jean-moulin</v>
      </c>
      <c r="AP577" t="str">
        <f>"FORBACH"</f>
        <v>FORBACH</v>
      </c>
      <c r="AQ577" t="str">
        <f>"Nancy-Metz"</f>
        <v>Nancy-Metz</v>
      </c>
    </row>
    <row r="578" spans="1:43" x14ac:dyDescent="0.25">
      <c r="A578" t="str">
        <f t="shared" si="107"/>
        <v>3A,3A GS,T01850,3A Ing</v>
      </c>
      <c r="B578" t="str">
        <f>"ORTILLION"</f>
        <v>ORTILLION</v>
      </c>
      <c r="C578" t="str">
        <f>"Baptiste"</f>
        <v>Baptiste</v>
      </c>
      <c r="D578" t="str">
        <f>"022-2301"</f>
        <v>022-2301</v>
      </c>
      <c r="E578" t="str">
        <f>"080830011JK"</f>
        <v>080830011JK</v>
      </c>
      <c r="F578" t="str">
        <f t="shared" ref="F578:F641" si="110">"0352480F"</f>
        <v>0352480F</v>
      </c>
      <c r="G578" t="str">
        <f t="shared" ref="G578:G641" si="111">"O"</f>
        <v>O</v>
      </c>
      <c r="H578">
        <v>10</v>
      </c>
      <c r="I578">
        <v>2002</v>
      </c>
      <c r="J578">
        <v>1</v>
      </c>
      <c r="K578" t="str">
        <f t="shared" si="108"/>
        <v>S</v>
      </c>
      <c r="L578">
        <v>19</v>
      </c>
      <c r="M578">
        <v>2020</v>
      </c>
      <c r="N578" t="str">
        <f t="shared" si="104"/>
        <v>E</v>
      </c>
      <c r="O578" t="str">
        <f t="shared" si="109"/>
        <v>D</v>
      </c>
      <c r="P578">
        <v>0</v>
      </c>
      <c r="Q578">
        <v>100</v>
      </c>
      <c r="R578">
        <v>100</v>
      </c>
      <c r="S578">
        <v>35170</v>
      </c>
      <c r="T578">
        <v>100</v>
      </c>
      <c r="U578">
        <v>35170</v>
      </c>
      <c r="V578" t="str">
        <f>"TOEIC 2A - 11/04/2024 : 770"</f>
        <v>TOEIC 2A - 11/04/2024 : 770</v>
      </c>
      <c r="W578">
        <v>47</v>
      </c>
      <c r="X578">
        <v>0</v>
      </c>
      <c r="Y578">
        <v>6000577</v>
      </c>
      <c r="Z578">
        <v>3</v>
      </c>
      <c r="AA578">
        <v>27</v>
      </c>
      <c r="AB578" t="str">
        <f>""</f>
        <v/>
      </c>
      <c r="AC578" t="str">
        <f>""</f>
        <v/>
      </c>
      <c r="AD578" t="str">
        <f>""</f>
        <v/>
      </c>
      <c r="AE578">
        <v>2020</v>
      </c>
      <c r="AF578">
        <v>2022</v>
      </c>
      <c r="AG578" t="str">
        <f>"Bruz"</f>
        <v>Bruz</v>
      </c>
      <c r="AH578" t="str">
        <f>"Bruz"</f>
        <v>Bruz</v>
      </c>
      <c r="AI578" t="str">
        <f>""</f>
        <v/>
      </c>
      <c r="AJ578" t="str">
        <f>""</f>
        <v/>
      </c>
      <c r="AK578" t="str">
        <f>""</f>
        <v/>
      </c>
      <c r="AL578">
        <v>10</v>
      </c>
      <c r="AM578" t="str">
        <f>""</f>
        <v/>
      </c>
      <c r="AN578" t="str">
        <f>""</f>
        <v/>
      </c>
      <c r="AO578" t="str">
        <f>"Gaston Bachelard"</f>
        <v>Gaston Bachelard</v>
      </c>
      <c r="AP578" t="str">
        <f>"BAR-SUR-AUBE"</f>
        <v>BAR-SUR-AUBE</v>
      </c>
      <c r="AQ578" t="str">
        <f>"Reims"</f>
        <v>Reims</v>
      </c>
    </row>
    <row r="579" spans="1:43" x14ac:dyDescent="0.25">
      <c r="A579" t="str">
        <f t="shared" si="107"/>
        <v>3A,3A GS,T01850,3A Ing</v>
      </c>
      <c r="B579" t="str">
        <f>"PELTAIS"</f>
        <v>PELTAIS</v>
      </c>
      <c r="C579" t="str">
        <f>"Arthus"</f>
        <v>Arthus</v>
      </c>
      <c r="D579" t="str">
        <f>"022-2211"</f>
        <v>022-2211</v>
      </c>
      <c r="E579" t="str">
        <f>"071205870JE"</f>
        <v>071205870JE</v>
      </c>
      <c r="F579" t="str">
        <f t="shared" si="110"/>
        <v>0352480F</v>
      </c>
      <c r="G579" t="str">
        <f t="shared" si="111"/>
        <v>O</v>
      </c>
      <c r="H579">
        <v>10</v>
      </c>
      <c r="I579">
        <v>2003</v>
      </c>
      <c r="J579">
        <v>1</v>
      </c>
      <c r="K579" t="str">
        <f>"ES"</f>
        <v>ES</v>
      </c>
      <c r="L579">
        <v>14</v>
      </c>
      <c r="M579">
        <v>2020</v>
      </c>
      <c r="N579" t="str">
        <f t="shared" si="104"/>
        <v>E</v>
      </c>
      <c r="O579" t="str">
        <f t="shared" si="109"/>
        <v>D</v>
      </c>
      <c r="P579">
        <v>0</v>
      </c>
      <c r="Q579">
        <v>100</v>
      </c>
      <c r="R579">
        <v>100</v>
      </c>
      <c r="S579">
        <v>35170</v>
      </c>
      <c r="T579">
        <v>100</v>
      </c>
      <c r="U579">
        <v>35170</v>
      </c>
      <c r="V579" t="str">
        <f>"TOEIC passé à l'ENSAI le 22/05/2023 : score 910"</f>
        <v>TOEIC passé à l'ENSAI le 22/05/2023 : score 910</v>
      </c>
      <c r="W579">
        <v>33</v>
      </c>
      <c r="X579">
        <v>0</v>
      </c>
      <c r="Y579">
        <v>6000577</v>
      </c>
      <c r="Z579">
        <v>3</v>
      </c>
      <c r="AA579">
        <v>27</v>
      </c>
      <c r="AB579" t="str">
        <f>""</f>
        <v/>
      </c>
      <c r="AC579" t="str">
        <f>""</f>
        <v/>
      </c>
      <c r="AD579" t="str">
        <f>""</f>
        <v/>
      </c>
      <c r="AE579">
        <v>2020</v>
      </c>
      <c r="AF579">
        <v>2022</v>
      </c>
      <c r="AG579" t="str">
        <f>"Bruz"</f>
        <v>Bruz</v>
      </c>
      <c r="AH579" t="str">
        <f>"Bruz"</f>
        <v>Bruz</v>
      </c>
      <c r="AI579" t="str">
        <f>""</f>
        <v/>
      </c>
      <c r="AJ579" t="str">
        <f>""</f>
        <v/>
      </c>
      <c r="AK579" t="str">
        <f>""</f>
        <v/>
      </c>
      <c r="AL579">
        <v>43</v>
      </c>
      <c r="AM579" t="str">
        <f>""</f>
        <v/>
      </c>
      <c r="AN579" t="str">
        <f>""</f>
        <v/>
      </c>
      <c r="AO579" t="str">
        <f>"Lycée Alain René Lesage"</f>
        <v>Lycée Alain René Lesage</v>
      </c>
      <c r="AP579" t="str">
        <f>"VANNES"</f>
        <v>VANNES</v>
      </c>
      <c r="AQ579" t="str">
        <f>"Rennes"</f>
        <v>Rennes</v>
      </c>
    </row>
    <row r="580" spans="1:43" x14ac:dyDescent="0.25">
      <c r="A580" t="str">
        <f t="shared" si="107"/>
        <v>3A,3A GS,T01850,3A Ing</v>
      </c>
      <c r="B580" t="str">
        <f>"PLOQUIN"</f>
        <v>PLOQUIN</v>
      </c>
      <c r="C580" t="str">
        <f>"Léo"</f>
        <v>Léo</v>
      </c>
      <c r="D580" t="str">
        <f>"022-2282"</f>
        <v>022-2282</v>
      </c>
      <c r="E580" t="str">
        <f>"061137033DA"</f>
        <v>061137033DA</v>
      </c>
      <c r="F580" t="str">
        <f t="shared" si="110"/>
        <v>0352480F</v>
      </c>
      <c r="G580" t="str">
        <f t="shared" si="111"/>
        <v>O</v>
      </c>
      <c r="H580">
        <v>10</v>
      </c>
      <c r="I580">
        <v>2002</v>
      </c>
      <c r="J580">
        <v>1</v>
      </c>
      <c r="K580" t="str">
        <f>"S"</f>
        <v>S</v>
      </c>
      <c r="L580">
        <v>14</v>
      </c>
      <c r="M580">
        <v>2020</v>
      </c>
      <c r="N580" t="str">
        <f t="shared" si="104"/>
        <v>E</v>
      </c>
      <c r="O580" t="str">
        <f t="shared" si="109"/>
        <v>D</v>
      </c>
      <c r="P580">
        <v>0</v>
      </c>
      <c r="Q580">
        <v>100</v>
      </c>
      <c r="R580">
        <v>100</v>
      </c>
      <c r="S580">
        <v>35000</v>
      </c>
      <c r="T580">
        <v>100</v>
      </c>
      <c r="U580">
        <v>35000</v>
      </c>
      <c r="V580" t="str">
        <f>"TOEIC 2A à l'ENSAI 08-01-2024 : 905"</f>
        <v>TOEIC 2A à l'ENSAI 08-01-2024 : 905</v>
      </c>
      <c r="W580">
        <v>38</v>
      </c>
      <c r="X580">
        <v>0</v>
      </c>
      <c r="Y580">
        <v>6000577</v>
      </c>
      <c r="Z580">
        <v>3</v>
      </c>
      <c r="AA580">
        <v>27</v>
      </c>
      <c r="AB580" t="str">
        <f>""</f>
        <v/>
      </c>
      <c r="AC580" t="str">
        <f>""</f>
        <v/>
      </c>
      <c r="AD580" t="str">
        <f>""</f>
        <v/>
      </c>
      <c r="AE580">
        <v>2020</v>
      </c>
      <c r="AF580">
        <v>2022</v>
      </c>
      <c r="AG580" t="str">
        <f>"Rennes"</f>
        <v>Rennes</v>
      </c>
      <c r="AH580" t="str">
        <f>"Rennes"</f>
        <v>Rennes</v>
      </c>
      <c r="AI580" t="str">
        <f>""</f>
        <v/>
      </c>
      <c r="AJ580" t="str">
        <f>""</f>
        <v/>
      </c>
      <c r="AK580" t="str">
        <f>""</f>
        <v/>
      </c>
      <c r="AL580">
        <v>34</v>
      </c>
      <c r="AM580" t="str">
        <f>""</f>
        <v/>
      </c>
      <c r="AN580" t="str">
        <f>""</f>
        <v/>
      </c>
      <c r="AO580" t="str">
        <f>"Ernest Renan"</f>
        <v>Ernest Renan</v>
      </c>
      <c r="AP580" t="str">
        <f>"SAINT-BRIEUC"</f>
        <v>SAINT-BRIEUC</v>
      </c>
      <c r="AQ580" t="str">
        <f>"Rennes"</f>
        <v>Rennes</v>
      </c>
    </row>
    <row r="581" spans="1:43" x14ac:dyDescent="0.25">
      <c r="A581" t="str">
        <f t="shared" ref="A581:A591" si="112">"3A,3A ID,T00000,3A Ing"</f>
        <v>3A,3A ID,T00000,3A Ing</v>
      </c>
      <c r="B581" t="str">
        <f>"ABATTANE"</f>
        <v>ABATTANE</v>
      </c>
      <c r="C581" t="str">
        <f>"Khadija"</f>
        <v>Khadija</v>
      </c>
      <c r="D581" t="str">
        <f>"022-2150"</f>
        <v>022-2150</v>
      </c>
      <c r="E581" t="str">
        <f>"203423117EF"</f>
        <v>203423117EF</v>
      </c>
      <c r="F581" t="str">
        <f t="shared" si="110"/>
        <v>0352480F</v>
      </c>
      <c r="G581" t="str">
        <f t="shared" si="111"/>
        <v>O</v>
      </c>
      <c r="H581">
        <v>10</v>
      </c>
      <c r="I581">
        <v>2000</v>
      </c>
      <c r="J581">
        <v>2</v>
      </c>
      <c r="K581">
        <v>31</v>
      </c>
      <c r="L581">
        <v>0</v>
      </c>
      <c r="M581">
        <v>2018</v>
      </c>
      <c r="N581" t="str">
        <f t="shared" si="104"/>
        <v>E</v>
      </c>
      <c r="O581" t="str">
        <f>"N"</f>
        <v>N</v>
      </c>
      <c r="P581">
        <v>0</v>
      </c>
      <c r="Q581">
        <v>350</v>
      </c>
      <c r="R581">
        <v>100</v>
      </c>
      <c r="S581">
        <v>35170</v>
      </c>
      <c r="T581">
        <v>100</v>
      </c>
      <c r="U581">
        <v>35170</v>
      </c>
      <c r="V581" t="str">
        <f>"Exonération droits d'inscription prononcée le 8/09/2023 par Ronan LE SAOUT"</f>
        <v>Exonération droits d'inscription prononcée le 8/09/2023 par Ronan LE SAOUT</v>
      </c>
      <c r="W581">
        <v>31</v>
      </c>
      <c r="X581">
        <v>0</v>
      </c>
      <c r="Y581">
        <v>6000577</v>
      </c>
      <c r="Z581">
        <v>3</v>
      </c>
      <c r="AA581">
        <v>27</v>
      </c>
      <c r="AB581" t="str">
        <f>""</f>
        <v/>
      </c>
      <c r="AC581" t="str">
        <f>""</f>
        <v/>
      </c>
      <c r="AD581" t="str">
        <f>""</f>
        <v/>
      </c>
      <c r="AE581">
        <v>2021</v>
      </c>
      <c r="AF581">
        <v>2022</v>
      </c>
      <c r="AG581" t="str">
        <f>"Bruz"</f>
        <v>Bruz</v>
      </c>
      <c r="AH581" t="str">
        <f>"Bruz"</f>
        <v>Bruz</v>
      </c>
      <c r="AI581" t="str">
        <f>""</f>
        <v/>
      </c>
      <c r="AJ581" t="str">
        <f>""</f>
        <v/>
      </c>
      <c r="AK581" t="str">
        <f>""</f>
        <v/>
      </c>
      <c r="AL581">
        <v>82</v>
      </c>
      <c r="AM581" t="str">
        <f>""</f>
        <v/>
      </c>
      <c r="AN581" t="str">
        <f>""</f>
        <v/>
      </c>
      <c r="AO581" t="str">
        <f>"Lycee Ibn Soulaymane Errasmouki"</f>
        <v>Lycee Ibn Soulaymane Errasmouki</v>
      </c>
      <c r="AP581" t="str">
        <f>"TIZNIT"</f>
        <v>TIZNIT</v>
      </c>
      <c r="AQ581" t="str">
        <f>"Etranger"</f>
        <v>Etranger</v>
      </c>
    </row>
    <row r="582" spans="1:43" x14ac:dyDescent="0.25">
      <c r="A582" t="str">
        <f t="shared" si="112"/>
        <v>3A,3A ID,T00000,3A Ing</v>
      </c>
      <c r="B582" t="str">
        <f>"BURGSTAHLER"</f>
        <v>BURGSTAHLER</v>
      </c>
      <c r="C582" t="str">
        <f>"Quentin"</f>
        <v>Quentin</v>
      </c>
      <c r="D582" t="str">
        <f>"022-2315"</f>
        <v>022-2315</v>
      </c>
      <c r="E582" t="str">
        <f>"050148512AD"</f>
        <v>050148512AD</v>
      </c>
      <c r="F582" t="str">
        <f t="shared" si="110"/>
        <v>0352480F</v>
      </c>
      <c r="G582" t="str">
        <f t="shared" si="111"/>
        <v>O</v>
      </c>
      <c r="H582">
        <v>10</v>
      </c>
      <c r="I582">
        <v>2002</v>
      </c>
      <c r="J582">
        <v>1</v>
      </c>
      <c r="K582" t="str">
        <f>"S"</f>
        <v>S</v>
      </c>
      <c r="L582">
        <v>7</v>
      </c>
      <c r="M582">
        <v>2019</v>
      </c>
      <c r="N582" t="str">
        <f t="shared" si="104"/>
        <v>E</v>
      </c>
      <c r="O582" t="str">
        <f>"D"</f>
        <v>D</v>
      </c>
      <c r="P582">
        <v>0</v>
      </c>
      <c r="Q582">
        <v>100</v>
      </c>
      <c r="R582">
        <v>100</v>
      </c>
      <c r="S582">
        <v>35170</v>
      </c>
      <c r="T582">
        <v>100</v>
      </c>
      <c r="U582">
        <v>35170</v>
      </c>
      <c r="V582" t="str">
        <f>"TOEIC 2A à l'ENSAI 08-01-2024 : 955"</f>
        <v>TOEIC 2A à l'ENSAI 08-01-2024 : 955</v>
      </c>
      <c r="W582">
        <v>45</v>
      </c>
      <c r="X582">
        <v>0</v>
      </c>
      <c r="Y582">
        <v>6000577</v>
      </c>
      <c r="Z582">
        <v>3</v>
      </c>
      <c r="AA582">
        <v>27</v>
      </c>
      <c r="AB582" t="str">
        <f>""</f>
        <v/>
      </c>
      <c r="AC582" t="str">
        <f>""</f>
        <v/>
      </c>
      <c r="AD582" t="str">
        <f>""</f>
        <v/>
      </c>
      <c r="AE582">
        <v>2019</v>
      </c>
      <c r="AF582">
        <v>2022</v>
      </c>
      <c r="AG582" t="str">
        <f>"Bruz"</f>
        <v>Bruz</v>
      </c>
      <c r="AH582" t="str">
        <f>"Bruz"</f>
        <v>Bruz</v>
      </c>
      <c r="AI582" t="str">
        <f>""</f>
        <v/>
      </c>
      <c r="AJ582" t="str">
        <f>""</f>
        <v/>
      </c>
      <c r="AK582" t="str">
        <f>""</f>
        <v/>
      </c>
      <c r="AL582">
        <v>53</v>
      </c>
      <c r="AM582" t="str">
        <f>""</f>
        <v/>
      </c>
      <c r="AN582" t="str">
        <f>""</f>
        <v/>
      </c>
      <c r="AO582" t="str">
        <f>"Lycée militaire d'Autun"</f>
        <v>Lycée militaire d'Autun</v>
      </c>
      <c r="AP582" t="str">
        <f>"AUTUN"</f>
        <v>AUTUN</v>
      </c>
      <c r="AQ582" t="str">
        <f>"Dijon"</f>
        <v>Dijon</v>
      </c>
    </row>
    <row r="583" spans="1:43" x14ac:dyDescent="0.25">
      <c r="A583" t="str">
        <f t="shared" si="112"/>
        <v>3A,3A ID,T00000,3A Ing</v>
      </c>
      <c r="B583" t="str">
        <f>"COMBY"</f>
        <v>COMBY</v>
      </c>
      <c r="C583" t="str">
        <f>"Killian"</f>
        <v>Killian</v>
      </c>
      <c r="D583" t="str">
        <f>"022-2291"</f>
        <v>022-2291</v>
      </c>
      <c r="E583" t="str">
        <f>"070742240FE"</f>
        <v>070742240FE</v>
      </c>
      <c r="F583" t="str">
        <f t="shared" si="110"/>
        <v>0352480F</v>
      </c>
      <c r="G583" t="str">
        <f t="shared" si="111"/>
        <v>O</v>
      </c>
      <c r="H583">
        <v>10</v>
      </c>
      <c r="I583">
        <v>2001</v>
      </c>
      <c r="J583">
        <v>1</v>
      </c>
      <c r="K583" t="str">
        <f>"S"</f>
        <v>S</v>
      </c>
      <c r="L583">
        <v>11</v>
      </c>
      <c r="M583">
        <v>2019</v>
      </c>
      <c r="N583" t="str">
        <f t="shared" si="104"/>
        <v>E</v>
      </c>
      <c r="O583" t="str">
        <f>"A"</f>
        <v>A</v>
      </c>
      <c r="P583">
        <v>0</v>
      </c>
      <c r="Q583">
        <v>100</v>
      </c>
      <c r="R583">
        <v>100</v>
      </c>
      <c r="S583">
        <v>35200</v>
      </c>
      <c r="T583">
        <v>100</v>
      </c>
      <c r="U583">
        <v>35200</v>
      </c>
      <c r="V583" t="str">
        <f>"TOEIC 2A à l'ENSAI 08-01-2024 : 960"</f>
        <v>TOEIC 2A à l'ENSAI 08-01-2024 : 960</v>
      </c>
      <c r="W583">
        <v>34</v>
      </c>
      <c r="X583">
        <v>0</v>
      </c>
      <c r="Y583">
        <v>6000577</v>
      </c>
      <c r="Z583">
        <v>3</v>
      </c>
      <c r="AA583">
        <v>27</v>
      </c>
      <c r="AB583" t="str">
        <f>""</f>
        <v/>
      </c>
      <c r="AC583" t="str">
        <f>""</f>
        <v/>
      </c>
      <c r="AD583" t="str">
        <f>""</f>
        <v/>
      </c>
      <c r="AE583">
        <v>2019</v>
      </c>
      <c r="AF583">
        <v>2022</v>
      </c>
      <c r="AG583" t="str">
        <f>"Rennes"</f>
        <v>Rennes</v>
      </c>
      <c r="AH583" t="str">
        <f>"Rennes"</f>
        <v>Rennes</v>
      </c>
      <c r="AI583" t="str">
        <f>""</f>
        <v/>
      </c>
      <c r="AJ583" t="str">
        <f>""</f>
        <v/>
      </c>
      <c r="AK583" t="str">
        <f>""</f>
        <v/>
      </c>
      <c r="AL583">
        <v>37</v>
      </c>
      <c r="AM583" t="str">
        <f>""</f>
        <v/>
      </c>
      <c r="AN583" t="str">
        <f>""</f>
        <v/>
      </c>
      <c r="AO583" t="str">
        <f>"Lycée Joseph Vallot"</f>
        <v>Lycée Joseph Vallot</v>
      </c>
      <c r="AP583" t="str">
        <f>"LODÈVE"</f>
        <v>LODÈVE</v>
      </c>
      <c r="AQ583" t="str">
        <f>"Montpellier"</f>
        <v>Montpellier</v>
      </c>
    </row>
    <row r="584" spans="1:43" x14ac:dyDescent="0.25">
      <c r="A584" t="str">
        <f t="shared" si="112"/>
        <v>3A,3A ID,T00000,3A Ing</v>
      </c>
      <c r="B584" t="str">
        <f>"EL YANBOIY"</f>
        <v>EL YANBOIY</v>
      </c>
      <c r="C584" t="str">
        <f>"Ayoub"</f>
        <v>Ayoub</v>
      </c>
      <c r="D584" t="str">
        <f>"022-2269"</f>
        <v>022-2269</v>
      </c>
      <c r="E584" t="str">
        <f>"213475253BK"</f>
        <v>213475253BK</v>
      </c>
      <c r="F584" t="str">
        <f t="shared" si="110"/>
        <v>0352480F</v>
      </c>
      <c r="G584" t="str">
        <f t="shared" si="111"/>
        <v>O</v>
      </c>
      <c r="H584">
        <v>10</v>
      </c>
      <c r="I584">
        <v>2002</v>
      </c>
      <c r="J584">
        <v>1</v>
      </c>
      <c r="K584">
        <v>31</v>
      </c>
      <c r="L584">
        <v>0</v>
      </c>
      <c r="M584">
        <v>2019</v>
      </c>
      <c r="N584" t="str">
        <f t="shared" si="104"/>
        <v>E</v>
      </c>
      <c r="O584">
        <v>2</v>
      </c>
      <c r="P584">
        <v>0</v>
      </c>
      <c r="Q584">
        <v>350</v>
      </c>
      <c r="R584">
        <v>100</v>
      </c>
      <c r="S584">
        <v>35000</v>
      </c>
      <c r="T584">
        <v>100</v>
      </c>
      <c r="U584">
        <v>35000</v>
      </c>
      <c r="V584" t="str">
        <f>"Exonéré de droit de scolarité par la commission de bourses du 17/01/2023  Exonération partielle de ses droits de scolarité 2023-2024, ramenés à 900 e par la commission des bourses du 30/10/2023  TOEIC 2A - 11/04/2024 : 885"</f>
        <v>Exonéré de droit de scolarité par la commission de bourses du 17/01/2023  Exonération partielle de ses droits de scolarité 2023-2024, ramenés à 900 e par la commission des bourses du 30/10/2023  TOEIC 2A - 11/04/2024 : 885</v>
      </c>
      <c r="W584">
        <v>34</v>
      </c>
      <c r="X584">
        <v>0</v>
      </c>
      <c r="Y584">
        <v>6000577</v>
      </c>
      <c r="Z584">
        <v>3</v>
      </c>
      <c r="AA584">
        <v>27</v>
      </c>
      <c r="AB584" t="str">
        <f>""</f>
        <v/>
      </c>
      <c r="AC584" t="str">
        <f>""</f>
        <v/>
      </c>
      <c r="AD584" t="str">
        <f>""</f>
        <v/>
      </c>
      <c r="AE584">
        <v>2022</v>
      </c>
      <c r="AF584">
        <v>2022</v>
      </c>
      <c r="AG584" t="str">
        <f>"Rennes"</f>
        <v>Rennes</v>
      </c>
      <c r="AH584" t="str">
        <f>"Rennes"</f>
        <v>Rennes</v>
      </c>
      <c r="AI584" t="str">
        <f>""</f>
        <v/>
      </c>
      <c r="AJ584" t="str">
        <f>""</f>
        <v/>
      </c>
      <c r="AK584" t="str">
        <f>""</f>
        <v/>
      </c>
      <c r="AL584">
        <v>99</v>
      </c>
      <c r="AM584" t="str">
        <f>""</f>
        <v/>
      </c>
      <c r="AN584" t="str">
        <f>""</f>
        <v/>
      </c>
      <c r="AO584" t="str">
        <f>"Institut maison des sciences"</f>
        <v>Institut maison des sciences</v>
      </c>
      <c r="AP584" t="str">
        <f>"FES"</f>
        <v>FES</v>
      </c>
      <c r="AQ584" t="str">
        <f>"Etranger"</f>
        <v>Etranger</v>
      </c>
    </row>
    <row r="585" spans="1:43" x14ac:dyDescent="0.25">
      <c r="A585" t="str">
        <f t="shared" si="112"/>
        <v>3A,3A ID,T00000,3A Ing</v>
      </c>
      <c r="B585" t="str">
        <f>"GBANE"</f>
        <v>GBANE</v>
      </c>
      <c r="C585" t="str">
        <f>"Mahama Stéphane"</f>
        <v>Mahama Stéphane</v>
      </c>
      <c r="D585" t="str">
        <f>"023-2405"</f>
        <v>023-2405</v>
      </c>
      <c r="E585" t="str">
        <f>"223387295BK"</f>
        <v>223387295BK</v>
      </c>
      <c r="F585" t="str">
        <f t="shared" si="110"/>
        <v>0352480F</v>
      </c>
      <c r="G585" t="str">
        <f t="shared" si="111"/>
        <v>O</v>
      </c>
      <c r="H585">
        <v>10</v>
      </c>
      <c r="I585">
        <v>1998</v>
      </c>
      <c r="J585">
        <v>1</v>
      </c>
      <c r="K585" t="str">
        <f>"S"</f>
        <v>S</v>
      </c>
      <c r="L585">
        <v>0</v>
      </c>
      <c r="M585">
        <v>2015</v>
      </c>
      <c r="N585" t="str">
        <f t="shared" si="104"/>
        <v>E</v>
      </c>
      <c r="O585" t="str">
        <f>"Q"</f>
        <v>Q</v>
      </c>
      <c r="P585">
        <v>0</v>
      </c>
      <c r="Q585">
        <v>326</v>
      </c>
      <c r="R585">
        <v>100</v>
      </c>
      <c r="S585">
        <v>35170</v>
      </c>
      <c r="T585">
        <v>100</v>
      </c>
      <c r="U585">
        <v>35170</v>
      </c>
      <c r="V585" t="str">
        <f>"Linguaskill General le 18/04/2024 : 154 (niveau B1) = 730*"</f>
        <v>Linguaskill General le 18/04/2024 : 154 (niveau B1) = 730*</v>
      </c>
      <c r="W585">
        <v>47</v>
      </c>
      <c r="X585">
        <v>0</v>
      </c>
      <c r="Y585">
        <v>6000577</v>
      </c>
      <c r="Z585">
        <v>3</v>
      </c>
      <c r="AA585">
        <v>27</v>
      </c>
      <c r="AB585" t="str">
        <f>""</f>
        <v/>
      </c>
      <c r="AC585" t="str">
        <f>""</f>
        <v/>
      </c>
      <c r="AD585" t="str">
        <f>""</f>
        <v/>
      </c>
      <c r="AE585">
        <v>2023</v>
      </c>
      <c r="AF585">
        <v>2023</v>
      </c>
      <c r="AG585" t="str">
        <f>""</f>
        <v/>
      </c>
      <c r="AH585" t="str">
        <f>""</f>
        <v/>
      </c>
      <c r="AI585" t="str">
        <f>""</f>
        <v/>
      </c>
      <c r="AJ585" t="str">
        <f>""</f>
        <v/>
      </c>
      <c r="AK585" t="str">
        <f>""</f>
        <v/>
      </c>
      <c r="AL585">
        <v>22</v>
      </c>
      <c r="AM585" t="str">
        <f>""</f>
        <v/>
      </c>
      <c r="AN585" t="str">
        <f>""</f>
        <v/>
      </c>
      <c r="AO585" t="str">
        <f>"LYCEE SCIENTIFIQUE DE YAMOUSSOUKRO"</f>
        <v>LYCEE SCIENTIFIQUE DE YAMOUSSOUKRO</v>
      </c>
      <c r="AP585" t="str">
        <f>"YAMOUSSOUKRO"</f>
        <v>YAMOUSSOUKRO</v>
      </c>
      <c r="AQ585" t="str">
        <f>"Etranger"</f>
        <v>Etranger</v>
      </c>
    </row>
    <row r="586" spans="1:43" x14ac:dyDescent="0.25">
      <c r="A586" t="str">
        <f t="shared" si="112"/>
        <v>3A,3A ID,T00000,3A Ing</v>
      </c>
      <c r="B586" t="str">
        <f>"GOUA"</f>
        <v>GOUA</v>
      </c>
      <c r="C586" t="str">
        <f>"Beedi"</f>
        <v>Beedi</v>
      </c>
      <c r="D586" t="str">
        <f>"022-2266"</f>
        <v>022-2266</v>
      </c>
      <c r="E586" t="str">
        <f>"213077983HE"</f>
        <v>213077983HE</v>
      </c>
      <c r="F586" t="str">
        <f t="shared" si="110"/>
        <v>0352480F</v>
      </c>
      <c r="G586" t="str">
        <f t="shared" si="111"/>
        <v>O</v>
      </c>
      <c r="H586">
        <v>10</v>
      </c>
      <c r="I586">
        <v>2000</v>
      </c>
      <c r="J586">
        <v>1</v>
      </c>
      <c r="K586">
        <v>31</v>
      </c>
      <c r="L586">
        <v>0</v>
      </c>
      <c r="M586">
        <v>2018</v>
      </c>
      <c r="N586" t="str">
        <f t="shared" si="104"/>
        <v>E</v>
      </c>
      <c r="O586" t="str">
        <f>"D"</f>
        <v>D</v>
      </c>
      <c r="P586">
        <v>0</v>
      </c>
      <c r="Q586">
        <v>326</v>
      </c>
      <c r="R586">
        <v>100</v>
      </c>
      <c r="S586">
        <v>35200</v>
      </c>
      <c r="T586">
        <v>100</v>
      </c>
      <c r="U586">
        <v>35200</v>
      </c>
      <c r="V586" t="str">
        <f>"Exonéré des frais de scolarité le 17/01/2023 par la commission des bourses.  Exonération partielle de ses droits de scolarité 2023-2024, ramenés à 900 e par la commission des bourses du 30/10/2023"</f>
        <v>Exonéré des frais de scolarité le 17/01/2023 par la commission des bourses.  Exonération partielle de ses droits de scolarité 2023-2024, ramenés à 900 e par la commission des bourses du 30/10/2023</v>
      </c>
      <c r="W586">
        <v>44</v>
      </c>
      <c r="X586">
        <v>0</v>
      </c>
      <c r="Y586">
        <v>6000577</v>
      </c>
      <c r="Z586">
        <v>3</v>
      </c>
      <c r="AA586">
        <v>27</v>
      </c>
      <c r="AB586" t="str">
        <f>""</f>
        <v/>
      </c>
      <c r="AC586" t="str">
        <f>""</f>
        <v/>
      </c>
      <c r="AD586" t="str">
        <f>""</f>
        <v/>
      </c>
      <c r="AE586">
        <v>2020</v>
      </c>
      <c r="AF586">
        <v>2022</v>
      </c>
      <c r="AG586" t="str">
        <f>"Rennes"</f>
        <v>Rennes</v>
      </c>
      <c r="AH586" t="str">
        <f>"Rennes"</f>
        <v>Rennes</v>
      </c>
      <c r="AI586" t="str">
        <f>""</f>
        <v/>
      </c>
      <c r="AJ586" t="str">
        <f>""</f>
        <v/>
      </c>
      <c r="AK586" t="str">
        <f>""</f>
        <v/>
      </c>
      <c r="AL586">
        <v>33</v>
      </c>
      <c r="AM586" t="str">
        <f>""</f>
        <v/>
      </c>
      <c r="AN586" t="str">
        <f>""</f>
        <v/>
      </c>
      <c r="AO586" t="str">
        <f>"Lycée Scientifique de Yamoussoukro"</f>
        <v>Lycée Scientifique de Yamoussoukro</v>
      </c>
      <c r="AP586" t="str">
        <f>"YAMOUSSOUKRO"</f>
        <v>YAMOUSSOUKRO</v>
      </c>
      <c r="AQ586" t="str">
        <f>"Etranger"</f>
        <v>Etranger</v>
      </c>
    </row>
    <row r="587" spans="1:43" x14ac:dyDescent="0.25">
      <c r="A587" t="str">
        <f t="shared" si="112"/>
        <v>3A,3A ID,T00000,3A Ing</v>
      </c>
      <c r="B587" t="str">
        <f>"JOGUIN"</f>
        <v>JOGUIN</v>
      </c>
      <c r="C587" t="str">
        <f>"Axel"</f>
        <v>Axel</v>
      </c>
      <c r="D587" t="str">
        <f>"022-2246"</f>
        <v>022-2246</v>
      </c>
      <c r="E587" t="str">
        <f>"070842441FE"</f>
        <v>070842441FE</v>
      </c>
      <c r="F587" t="str">
        <f t="shared" si="110"/>
        <v>0352480F</v>
      </c>
      <c r="G587" t="str">
        <f t="shared" si="111"/>
        <v>O</v>
      </c>
      <c r="H587">
        <v>10</v>
      </c>
      <c r="I587">
        <v>2002</v>
      </c>
      <c r="J587">
        <v>1</v>
      </c>
      <c r="K587" t="str">
        <f>"S"</f>
        <v>S</v>
      </c>
      <c r="L587">
        <v>23</v>
      </c>
      <c r="M587">
        <v>2020</v>
      </c>
      <c r="N587" t="str">
        <f t="shared" ref="N587:N623" si="113">"E"</f>
        <v>E</v>
      </c>
      <c r="O587" t="str">
        <f>"D"</f>
        <v>D</v>
      </c>
      <c r="P587">
        <v>0</v>
      </c>
      <c r="Q587">
        <v>100</v>
      </c>
      <c r="R587">
        <v>100</v>
      </c>
      <c r="S587">
        <v>35000</v>
      </c>
      <c r="T587">
        <v>100</v>
      </c>
      <c r="U587">
        <v>35000</v>
      </c>
      <c r="V587" t="str">
        <f>""</f>
        <v/>
      </c>
      <c r="W587">
        <v>0</v>
      </c>
      <c r="X587">
        <v>0</v>
      </c>
      <c r="Y587">
        <v>6000577</v>
      </c>
      <c r="Z587">
        <v>3</v>
      </c>
      <c r="AA587">
        <v>27</v>
      </c>
      <c r="AB587" t="str">
        <f>""</f>
        <v/>
      </c>
      <c r="AC587" t="str">
        <f>""</f>
        <v/>
      </c>
      <c r="AD587" t="str">
        <f>""</f>
        <v/>
      </c>
      <c r="AE587">
        <v>2020</v>
      </c>
      <c r="AF587">
        <v>2022</v>
      </c>
      <c r="AG587" t="str">
        <f>"Rennes"</f>
        <v>Rennes</v>
      </c>
      <c r="AH587" t="str">
        <f>"Rennes"</f>
        <v>Rennes</v>
      </c>
      <c r="AI587" t="str">
        <f>""</f>
        <v/>
      </c>
      <c r="AJ587" t="str">
        <f>""</f>
        <v/>
      </c>
      <c r="AK587" t="str">
        <f>""</f>
        <v/>
      </c>
      <c r="AL587">
        <v>22</v>
      </c>
      <c r="AM587" t="str">
        <f>""</f>
        <v/>
      </c>
      <c r="AN587" t="str">
        <f>""</f>
        <v/>
      </c>
      <c r="AO587" t="str">
        <f>"Costebelle"</f>
        <v>Costebelle</v>
      </c>
      <c r="AP587" t="str">
        <f>"HYÈRES"</f>
        <v>HYÈRES</v>
      </c>
      <c r="AQ587" t="str">
        <f>"Nice"</f>
        <v>Nice</v>
      </c>
    </row>
    <row r="588" spans="1:43" x14ac:dyDescent="0.25">
      <c r="A588" t="str">
        <f t="shared" si="112"/>
        <v>3A,3A ID,T00000,3A Ing</v>
      </c>
      <c r="B588" t="str">
        <f>"SANON"</f>
        <v>SANON</v>
      </c>
      <c r="C588" t="str">
        <f>"Elie"</f>
        <v>Elie</v>
      </c>
      <c r="D588" t="str">
        <f>"022-2196"</f>
        <v>022-2196</v>
      </c>
      <c r="E588" t="str">
        <f>"213467452GA"</f>
        <v>213467452GA</v>
      </c>
      <c r="F588" t="str">
        <f t="shared" si="110"/>
        <v>0352480F</v>
      </c>
      <c r="G588" t="str">
        <f t="shared" si="111"/>
        <v>O</v>
      </c>
      <c r="H588">
        <v>10</v>
      </c>
      <c r="I588">
        <v>1999</v>
      </c>
      <c r="J588">
        <v>1</v>
      </c>
      <c r="K588" t="str">
        <f>"D"</f>
        <v>D</v>
      </c>
      <c r="L588">
        <v>0</v>
      </c>
      <c r="M588">
        <v>2017</v>
      </c>
      <c r="N588" t="str">
        <f t="shared" si="113"/>
        <v>E</v>
      </c>
      <c r="O588">
        <v>2</v>
      </c>
      <c r="P588">
        <v>0</v>
      </c>
      <c r="Q588">
        <v>331</v>
      </c>
      <c r="R588">
        <v>100</v>
      </c>
      <c r="S588">
        <v>35170</v>
      </c>
      <c r="T588">
        <v>100</v>
      </c>
      <c r="U588">
        <v>35170</v>
      </c>
      <c r="V588" t="str">
        <f>"Aucune mention du montant de la bourse sur l'attestation. 1000 EUR mis par convention."</f>
        <v>Aucune mention du montant de la bourse sur l'attestation. 1000 EUR mis par convention.</v>
      </c>
      <c r="W588">
        <v>34</v>
      </c>
      <c r="X588">
        <v>0</v>
      </c>
      <c r="Y588">
        <v>6000577</v>
      </c>
      <c r="Z588">
        <v>3</v>
      </c>
      <c r="AA588">
        <v>27</v>
      </c>
      <c r="AB588" t="str">
        <f>""</f>
        <v/>
      </c>
      <c r="AC588" t="str">
        <f>""</f>
        <v/>
      </c>
      <c r="AD588" t="str">
        <f>""</f>
        <v/>
      </c>
      <c r="AE588">
        <v>2022</v>
      </c>
      <c r="AF588">
        <v>2022</v>
      </c>
      <c r="AG588" t="str">
        <f>"Bruz"</f>
        <v>Bruz</v>
      </c>
      <c r="AH588" t="str">
        <f>"Bruz"</f>
        <v>Bruz</v>
      </c>
      <c r="AI588" t="str">
        <f>""</f>
        <v/>
      </c>
      <c r="AJ588" t="str">
        <f>""</f>
        <v/>
      </c>
      <c r="AK588" t="str">
        <f>""</f>
        <v/>
      </c>
      <c r="AL588">
        <v>85</v>
      </c>
      <c r="AM588" t="str">
        <f>""</f>
        <v/>
      </c>
      <c r="AN588" t="str">
        <f>""</f>
        <v/>
      </c>
      <c r="AO588" t="str">
        <f>"Collège Pierre Kula"</f>
        <v>Collège Pierre Kula</v>
      </c>
      <c r="AP588" t="str">
        <f>"DIÉBOUGOU"</f>
        <v>DIÉBOUGOU</v>
      </c>
      <c r="AQ588" t="str">
        <f>"Etranger"</f>
        <v>Etranger</v>
      </c>
    </row>
    <row r="589" spans="1:43" x14ac:dyDescent="0.25">
      <c r="A589" t="str">
        <f t="shared" si="112"/>
        <v>3A,3A ID,T00000,3A Ing</v>
      </c>
      <c r="B589" t="str">
        <f>"THOMAS"</f>
        <v>THOMAS</v>
      </c>
      <c r="C589" t="str">
        <f>"Louis"</f>
        <v>Louis</v>
      </c>
      <c r="D589" t="str">
        <f>"022-2294"</f>
        <v>022-2294</v>
      </c>
      <c r="E589" t="str">
        <f>"080284161CD"</f>
        <v>080284161CD</v>
      </c>
      <c r="F589" t="str">
        <f t="shared" si="110"/>
        <v>0352480F</v>
      </c>
      <c r="G589" t="str">
        <f t="shared" si="111"/>
        <v>O</v>
      </c>
      <c r="H589">
        <v>10</v>
      </c>
      <c r="I589">
        <v>2002</v>
      </c>
      <c r="J589">
        <v>1</v>
      </c>
      <c r="K589" t="str">
        <f>"S"</f>
        <v>S</v>
      </c>
      <c r="L589">
        <v>7</v>
      </c>
      <c r="M589">
        <v>2020</v>
      </c>
      <c r="N589" t="str">
        <f t="shared" si="113"/>
        <v>E</v>
      </c>
      <c r="O589" t="str">
        <f>"D"</f>
        <v>D</v>
      </c>
      <c r="P589">
        <v>0</v>
      </c>
      <c r="Q589">
        <v>100</v>
      </c>
      <c r="R589">
        <v>100</v>
      </c>
      <c r="S589">
        <v>35000</v>
      </c>
      <c r="T589">
        <v>100</v>
      </c>
      <c r="U589">
        <v>35000</v>
      </c>
      <c r="V589" t="str">
        <f>"TOEIC 2A - 11/04/2024 : 975"</f>
        <v>TOEIC 2A - 11/04/2024 : 975</v>
      </c>
      <c r="W589">
        <v>38</v>
      </c>
      <c r="X589">
        <v>0</v>
      </c>
      <c r="Y589">
        <v>6000577</v>
      </c>
      <c r="Z589">
        <v>3</v>
      </c>
      <c r="AA589">
        <v>27</v>
      </c>
      <c r="AB589" t="str">
        <f>""</f>
        <v/>
      </c>
      <c r="AC589" t="str">
        <f>""</f>
        <v/>
      </c>
      <c r="AD589" t="str">
        <f>""</f>
        <v/>
      </c>
      <c r="AE589">
        <v>2020</v>
      </c>
      <c r="AF589">
        <v>2022</v>
      </c>
      <c r="AG589" t="str">
        <f>"Rennes"</f>
        <v>Rennes</v>
      </c>
      <c r="AH589" t="str">
        <f>"Rennes"</f>
        <v>Rennes</v>
      </c>
      <c r="AI589" t="str">
        <f>""</f>
        <v/>
      </c>
      <c r="AJ589" t="str">
        <f>""</f>
        <v/>
      </c>
      <c r="AK589" t="str">
        <f>""</f>
        <v/>
      </c>
      <c r="AL589">
        <v>38</v>
      </c>
      <c r="AM589" t="str">
        <f>""</f>
        <v/>
      </c>
      <c r="AN589" t="str">
        <f>""</f>
        <v/>
      </c>
      <c r="AO589" t="str">
        <f>"lycée Eiffel"</f>
        <v>lycée Eiffel</v>
      </c>
      <c r="AP589" t="str">
        <f>"DIJON"</f>
        <v>DIJON</v>
      </c>
      <c r="AQ589" t="str">
        <f>"Dijon"</f>
        <v>Dijon</v>
      </c>
    </row>
    <row r="590" spans="1:43" x14ac:dyDescent="0.25">
      <c r="A590" t="str">
        <f t="shared" si="112"/>
        <v>3A,3A ID,T00000,3A Ing</v>
      </c>
      <c r="B590" t="str">
        <f>"TOTI"</f>
        <v>TOTI</v>
      </c>
      <c r="C590" t="str">
        <f>"Vito"</f>
        <v>Vito</v>
      </c>
      <c r="D590" t="str">
        <f>"022-2281"</f>
        <v>022-2281</v>
      </c>
      <c r="E590" t="str">
        <f>"070117688CD"</f>
        <v>070117688CD</v>
      </c>
      <c r="F590" t="str">
        <f t="shared" si="110"/>
        <v>0352480F</v>
      </c>
      <c r="G590" t="str">
        <f t="shared" si="111"/>
        <v>O</v>
      </c>
      <c r="H590">
        <v>10</v>
      </c>
      <c r="I590">
        <v>2001</v>
      </c>
      <c r="J590">
        <v>1</v>
      </c>
      <c r="K590" t="str">
        <f>"ES"</f>
        <v>ES</v>
      </c>
      <c r="L590">
        <v>9</v>
      </c>
      <c r="M590">
        <v>2018</v>
      </c>
      <c r="N590" t="str">
        <f t="shared" si="113"/>
        <v>E</v>
      </c>
      <c r="O590" t="str">
        <f>"N"</f>
        <v>N</v>
      </c>
      <c r="P590">
        <v>0</v>
      </c>
      <c r="Q590">
        <v>100</v>
      </c>
      <c r="R590">
        <v>100</v>
      </c>
      <c r="S590">
        <v>35170</v>
      </c>
      <c r="T590">
        <v>100</v>
      </c>
      <c r="U590">
        <v>35170</v>
      </c>
      <c r="V590" t="str">
        <f>"TOEIC passé à l'ENSAI le 22/05/2023 : score 940"</f>
        <v>TOEIC passé à l'ENSAI le 22/05/2023 : score 940</v>
      </c>
      <c r="W590">
        <v>82</v>
      </c>
      <c r="X590">
        <v>0</v>
      </c>
      <c r="Y590">
        <v>6000577</v>
      </c>
      <c r="Z590">
        <v>3</v>
      </c>
      <c r="AA590">
        <v>27</v>
      </c>
      <c r="AB590" t="str">
        <f>""</f>
        <v/>
      </c>
      <c r="AC590" t="str">
        <f>""</f>
        <v/>
      </c>
      <c r="AD590" t="str">
        <f>""</f>
        <v/>
      </c>
      <c r="AE590">
        <v>2018</v>
      </c>
      <c r="AF590">
        <v>2022</v>
      </c>
      <c r="AG590" t="str">
        <f>"- Bruz"</f>
        <v>- Bruz</v>
      </c>
      <c r="AH590" t="str">
        <f>"- Bruz"</f>
        <v>- Bruz</v>
      </c>
      <c r="AI590" t="str">
        <f>""</f>
        <v/>
      </c>
      <c r="AJ590" t="str">
        <f>""</f>
        <v/>
      </c>
      <c r="AK590" t="str">
        <f>""</f>
        <v/>
      </c>
      <c r="AL590">
        <v>61</v>
      </c>
      <c r="AM590" t="str">
        <f>""</f>
        <v/>
      </c>
      <c r="AN590" t="str">
        <f>""</f>
        <v/>
      </c>
      <c r="AO590" t="str">
        <f>"Lycée Arthur Rimbaud"</f>
        <v>Lycée Arthur Rimbaud</v>
      </c>
      <c r="AP590" t="str">
        <f>"SIN-LE-NOBLE"</f>
        <v>SIN-LE-NOBLE</v>
      </c>
      <c r="AQ590" t="str">
        <f>"Lille"</f>
        <v>Lille</v>
      </c>
    </row>
    <row r="591" spans="1:43" x14ac:dyDescent="0.25">
      <c r="A591" t="str">
        <f t="shared" si="112"/>
        <v>3A,3A ID,T00000,3A Ing</v>
      </c>
      <c r="B591" t="str">
        <f>"YOUNES"</f>
        <v>YOUNES</v>
      </c>
      <c r="C591" t="str">
        <f>"Jean-Paul"</f>
        <v>Jean-Paul</v>
      </c>
      <c r="D591" t="str">
        <f>"022-2298"</f>
        <v>022-2298</v>
      </c>
      <c r="E591" t="str">
        <f>"133055546DD"</f>
        <v>133055546DD</v>
      </c>
      <c r="F591" t="str">
        <f t="shared" si="110"/>
        <v>0352480F</v>
      </c>
      <c r="G591" t="str">
        <f t="shared" si="111"/>
        <v>O</v>
      </c>
      <c r="H591">
        <v>10</v>
      </c>
      <c r="I591">
        <v>2000</v>
      </c>
      <c r="J591">
        <v>1</v>
      </c>
      <c r="K591" t="str">
        <f t="shared" ref="K591:K602" si="114">"S"</f>
        <v>S</v>
      </c>
      <c r="L591">
        <v>1</v>
      </c>
      <c r="M591">
        <v>2019</v>
      </c>
      <c r="N591" t="str">
        <f t="shared" si="113"/>
        <v>E</v>
      </c>
      <c r="O591" t="str">
        <f>"Z"</f>
        <v>Z</v>
      </c>
      <c r="P591">
        <v>0</v>
      </c>
      <c r="Q591">
        <v>100</v>
      </c>
      <c r="R591">
        <v>100</v>
      </c>
      <c r="S591">
        <v>35700</v>
      </c>
      <c r="T591">
        <v>100</v>
      </c>
      <c r="U591">
        <v>35700</v>
      </c>
      <c r="V591" t="str">
        <f>"TOEIC 2A - 11/04/2024 : 760"</f>
        <v>TOEIC 2A - 11/04/2024 : 760</v>
      </c>
      <c r="W591">
        <v>43</v>
      </c>
      <c r="X591">
        <v>0</v>
      </c>
      <c r="Y591">
        <v>6000577</v>
      </c>
      <c r="Z591">
        <v>3</v>
      </c>
      <c r="AA591">
        <v>27</v>
      </c>
      <c r="AB591" t="str">
        <f>""</f>
        <v/>
      </c>
      <c r="AC591" t="str">
        <f>""</f>
        <v/>
      </c>
      <c r="AD591" t="str">
        <f>""</f>
        <v/>
      </c>
      <c r="AE591">
        <v>2019</v>
      </c>
      <c r="AF591">
        <v>2022</v>
      </c>
      <c r="AG591" t="str">
        <f>"Rennes"</f>
        <v>Rennes</v>
      </c>
      <c r="AH591" t="str">
        <f>"Rennes"</f>
        <v>Rennes</v>
      </c>
      <c r="AI591" t="str">
        <f>""</f>
        <v/>
      </c>
      <c r="AJ591" t="str">
        <f>""</f>
        <v/>
      </c>
      <c r="AK591" t="str">
        <f>""</f>
        <v/>
      </c>
      <c r="AL591">
        <v>99</v>
      </c>
      <c r="AM591" t="str">
        <f>""</f>
        <v/>
      </c>
      <c r="AN591" t="str">
        <f>""</f>
        <v/>
      </c>
      <c r="AO591" t="str">
        <f>"Racine"</f>
        <v>Racine</v>
      </c>
      <c r="AP591" t="str">
        <f>"PARIS"</f>
        <v>PARIS</v>
      </c>
      <c r="AQ591" t="str">
        <f>"Paris"</f>
        <v>Paris</v>
      </c>
    </row>
    <row r="592" spans="1:43" x14ac:dyDescent="0.25">
      <c r="A592" t="str">
        <f t="shared" ref="A592:A602" si="115">"3A,3A ID,T01850,3A Ing"</f>
        <v>3A,3A ID,T01850,3A Ing</v>
      </c>
      <c r="B592" t="str">
        <f>"CARITEY"</f>
        <v>CARITEY</v>
      </c>
      <c r="C592" t="str">
        <f>"Thibaut"</f>
        <v>Thibaut</v>
      </c>
      <c r="D592" t="str">
        <f>"022-2251"</f>
        <v>022-2251</v>
      </c>
      <c r="E592" t="str">
        <f>"071748865KF"</f>
        <v>071748865KF</v>
      </c>
      <c r="F592" t="str">
        <f t="shared" si="110"/>
        <v>0352480F</v>
      </c>
      <c r="G592" t="str">
        <f t="shared" si="111"/>
        <v>O</v>
      </c>
      <c r="H592">
        <v>10</v>
      </c>
      <c r="I592">
        <v>2001</v>
      </c>
      <c r="J592">
        <v>1</v>
      </c>
      <c r="K592" t="str">
        <f t="shared" si="114"/>
        <v>S</v>
      </c>
      <c r="L592">
        <v>8</v>
      </c>
      <c r="M592">
        <v>2019</v>
      </c>
      <c r="N592" t="str">
        <f t="shared" si="113"/>
        <v>E</v>
      </c>
      <c r="O592" t="str">
        <f>"D"</f>
        <v>D</v>
      </c>
      <c r="P592">
        <v>0</v>
      </c>
      <c r="Q592">
        <v>100</v>
      </c>
      <c r="R592">
        <v>100</v>
      </c>
      <c r="S592">
        <v>35170</v>
      </c>
      <c r="T592">
        <v>100</v>
      </c>
      <c r="U592">
        <v>35170</v>
      </c>
      <c r="V592" t="str">
        <f>"TOEIC passé à l'ENSAI le 22/05/2023 : score 895"</f>
        <v>TOEIC passé à l'ENSAI le 22/05/2023 : score 895</v>
      </c>
      <c r="W592">
        <v>38</v>
      </c>
      <c r="X592">
        <v>0</v>
      </c>
      <c r="Y592">
        <v>6000577</v>
      </c>
      <c r="Z592">
        <v>3</v>
      </c>
      <c r="AA592">
        <v>27</v>
      </c>
      <c r="AB592" t="str">
        <f>""</f>
        <v/>
      </c>
      <c r="AC592" t="str">
        <f>""</f>
        <v/>
      </c>
      <c r="AD592" t="str">
        <f>""</f>
        <v/>
      </c>
      <c r="AE592">
        <v>2019</v>
      </c>
      <c r="AF592">
        <v>2022</v>
      </c>
      <c r="AG592" t="str">
        <f>"Bruz"</f>
        <v>Bruz</v>
      </c>
      <c r="AH592" t="str">
        <f>"Bruz"</f>
        <v>Bruz</v>
      </c>
      <c r="AI592" t="str">
        <f>""</f>
        <v/>
      </c>
      <c r="AJ592" t="str">
        <f>""</f>
        <v/>
      </c>
      <c r="AK592" t="str">
        <f>""</f>
        <v/>
      </c>
      <c r="AL592">
        <v>38</v>
      </c>
      <c r="AM592" t="str">
        <f>""</f>
        <v/>
      </c>
      <c r="AN592" t="str">
        <f>""</f>
        <v/>
      </c>
      <c r="AO592" t="str">
        <f>"philibert delorme"</f>
        <v>philibert delorme</v>
      </c>
      <c r="AP592" t="str">
        <f>"L'ISLE D'ABEAU"</f>
        <v>L'ISLE D'ABEAU</v>
      </c>
      <c r="AQ592" t="str">
        <f>"Grenoble"</f>
        <v>Grenoble</v>
      </c>
    </row>
    <row r="593" spans="1:43" x14ac:dyDescent="0.25">
      <c r="A593" t="str">
        <f t="shared" si="115"/>
        <v>3A,3A ID,T01850,3A Ing</v>
      </c>
      <c r="B593" t="str">
        <f>"COTTET"</f>
        <v>COTTET</v>
      </c>
      <c r="C593" t="str">
        <f>"Coralie"</f>
        <v>Coralie</v>
      </c>
      <c r="D593" t="str">
        <f>"022-2263"</f>
        <v>022-2263</v>
      </c>
      <c r="E593" t="str">
        <f>"153203417DC"</f>
        <v>153203417DC</v>
      </c>
      <c r="F593" t="str">
        <f t="shared" si="110"/>
        <v>0352480F</v>
      </c>
      <c r="G593" t="str">
        <f t="shared" si="111"/>
        <v>O</v>
      </c>
      <c r="H593">
        <v>10</v>
      </c>
      <c r="I593">
        <v>2001</v>
      </c>
      <c r="J593">
        <v>2</v>
      </c>
      <c r="K593" t="str">
        <f t="shared" si="114"/>
        <v>S</v>
      </c>
      <c r="L593">
        <v>10</v>
      </c>
      <c r="M593">
        <v>2019</v>
      </c>
      <c r="N593" t="str">
        <f t="shared" si="113"/>
        <v>E</v>
      </c>
      <c r="O593" t="str">
        <f>"D"</f>
        <v>D</v>
      </c>
      <c r="P593">
        <v>0</v>
      </c>
      <c r="Q593">
        <v>100</v>
      </c>
      <c r="R593">
        <v>100</v>
      </c>
      <c r="S593">
        <v>35200</v>
      </c>
      <c r="T593">
        <v>100</v>
      </c>
      <c r="U593">
        <v>35200</v>
      </c>
      <c r="V593" t="str">
        <f>"TOEIC passé à l'ENSAI le 22/05/2023 : score 910"</f>
        <v>TOEIC passé à l'ENSAI le 22/05/2023 : score 910</v>
      </c>
      <c r="W593">
        <v>55</v>
      </c>
      <c r="X593">
        <v>0</v>
      </c>
      <c r="Y593">
        <v>6000577</v>
      </c>
      <c r="Z593">
        <v>3</v>
      </c>
      <c r="AA593">
        <v>27</v>
      </c>
      <c r="AB593" t="str">
        <f>""</f>
        <v/>
      </c>
      <c r="AC593" t="str">
        <f>""</f>
        <v/>
      </c>
      <c r="AD593" t="str">
        <f>""</f>
        <v/>
      </c>
      <c r="AE593">
        <v>2022</v>
      </c>
      <c r="AF593">
        <v>2022</v>
      </c>
      <c r="AG593" t="str">
        <f>"Rennes"</f>
        <v>Rennes</v>
      </c>
      <c r="AH593" t="str">
        <f>"Rennes"</f>
        <v>Rennes</v>
      </c>
      <c r="AI593" t="str">
        <f>""</f>
        <v/>
      </c>
      <c r="AJ593" t="str">
        <f>""</f>
        <v/>
      </c>
      <c r="AK593" t="str">
        <f>""</f>
        <v/>
      </c>
      <c r="AL593">
        <v>55</v>
      </c>
      <c r="AM593" t="str">
        <f>""</f>
        <v/>
      </c>
      <c r="AN593" t="str">
        <f>""</f>
        <v/>
      </c>
      <c r="AO593" t="str">
        <f>"Lycée St-Charles"</f>
        <v>Lycée St-Charles</v>
      </c>
      <c r="AP593" t="str">
        <f>"RILLIEUX-LA-PAPE"</f>
        <v>RILLIEUX-LA-PAPE</v>
      </c>
      <c r="AQ593" t="str">
        <f>"Lyon"</f>
        <v>Lyon</v>
      </c>
    </row>
    <row r="594" spans="1:43" x14ac:dyDescent="0.25">
      <c r="A594" t="str">
        <f t="shared" si="115"/>
        <v>3A,3A ID,T01850,3A Ing</v>
      </c>
      <c r="B594" t="str">
        <f>"DELMARE"</f>
        <v>DELMARE</v>
      </c>
      <c r="C594" t="str">
        <f>"Bastien"</f>
        <v>Bastien</v>
      </c>
      <c r="D594" t="str">
        <f>"022-2151"</f>
        <v>022-2151</v>
      </c>
      <c r="E594" t="str">
        <f>"0718502700FF"</f>
        <v>0718502700FF</v>
      </c>
      <c r="F594" t="str">
        <f t="shared" si="110"/>
        <v>0352480F</v>
      </c>
      <c r="G594" t="str">
        <f t="shared" si="111"/>
        <v>O</v>
      </c>
      <c r="H594">
        <v>10</v>
      </c>
      <c r="I594">
        <v>2001</v>
      </c>
      <c r="J594">
        <v>1</v>
      </c>
      <c r="K594" t="str">
        <f t="shared" si="114"/>
        <v>S</v>
      </c>
      <c r="L594">
        <v>25</v>
      </c>
      <c r="M594">
        <v>2019</v>
      </c>
      <c r="N594" t="str">
        <f t="shared" si="113"/>
        <v>E</v>
      </c>
      <c r="O594" t="str">
        <f>"N"</f>
        <v>N</v>
      </c>
      <c r="P594">
        <v>0</v>
      </c>
      <c r="Q594">
        <v>100</v>
      </c>
      <c r="R594">
        <v>100</v>
      </c>
      <c r="S594">
        <v>35136</v>
      </c>
      <c r="T594">
        <v>100</v>
      </c>
      <c r="U594">
        <v>35136</v>
      </c>
      <c r="V594" t="str">
        <f>"TOEIC passé à l'ENSAI le 22/05/2023 : score 935"</f>
        <v>TOEIC passé à l'ENSAI le 22/05/2023 : score 935</v>
      </c>
      <c r="W594">
        <v>47</v>
      </c>
      <c r="X594">
        <v>0</v>
      </c>
      <c r="Y594">
        <v>6000577</v>
      </c>
      <c r="Z594">
        <v>3</v>
      </c>
      <c r="AA594">
        <v>27</v>
      </c>
      <c r="AB594" t="str">
        <f>""</f>
        <v/>
      </c>
      <c r="AC594" t="str">
        <f>""</f>
        <v/>
      </c>
      <c r="AD594" t="str">
        <f>""</f>
        <v/>
      </c>
      <c r="AE594">
        <v>2019</v>
      </c>
      <c r="AF594">
        <v>2022</v>
      </c>
      <c r="AG594" t="str">
        <f>"Saint-jacques-de-la-lande"</f>
        <v>Saint-jacques-de-la-lande</v>
      </c>
      <c r="AH594" t="str">
        <f>"Saint-jacques-de-la-lande"</f>
        <v>Saint-jacques-de-la-lande</v>
      </c>
      <c r="AI594" t="str">
        <f>""</f>
        <v/>
      </c>
      <c r="AJ594" t="str">
        <f>""</f>
        <v/>
      </c>
      <c r="AK594" t="str">
        <f>""</f>
        <v/>
      </c>
      <c r="AL594">
        <v>47</v>
      </c>
      <c r="AM594" t="str">
        <f>""</f>
        <v/>
      </c>
      <c r="AN594" t="str">
        <f>""</f>
        <v/>
      </c>
      <c r="AO594" t="str">
        <f>"Jacques Monod"</f>
        <v>Jacques Monod</v>
      </c>
      <c r="AP594" t="str">
        <f>"CLAMART"</f>
        <v>CLAMART</v>
      </c>
      <c r="AQ594" t="str">
        <f>"Versailles"</f>
        <v>Versailles</v>
      </c>
    </row>
    <row r="595" spans="1:43" x14ac:dyDescent="0.25">
      <c r="A595" t="str">
        <f t="shared" si="115"/>
        <v>3A,3A ID,T01850,3A Ing</v>
      </c>
      <c r="B595" t="str">
        <f>"FREY"</f>
        <v>FREY</v>
      </c>
      <c r="C595" t="str">
        <f>"Thomas"</f>
        <v>Thomas</v>
      </c>
      <c r="D595" t="str">
        <f>"022-2248"</f>
        <v>022-2248</v>
      </c>
      <c r="E595" t="str">
        <f>"070996286FB"</f>
        <v>070996286FB</v>
      </c>
      <c r="F595" t="str">
        <f t="shared" si="110"/>
        <v>0352480F</v>
      </c>
      <c r="G595" t="str">
        <f t="shared" si="111"/>
        <v>O</v>
      </c>
      <c r="H595">
        <v>10</v>
      </c>
      <c r="I595">
        <v>2002</v>
      </c>
      <c r="J595">
        <v>1</v>
      </c>
      <c r="K595" t="str">
        <f t="shared" si="114"/>
        <v>S</v>
      </c>
      <c r="L595">
        <v>25</v>
      </c>
      <c r="M595">
        <v>2020</v>
      </c>
      <c r="N595" t="str">
        <f t="shared" si="113"/>
        <v>E</v>
      </c>
      <c r="O595" t="str">
        <f t="shared" ref="O595:O601" si="116">"D"</f>
        <v>D</v>
      </c>
      <c r="P595">
        <v>0</v>
      </c>
      <c r="Q595">
        <v>100</v>
      </c>
      <c r="R595">
        <v>100</v>
      </c>
      <c r="S595">
        <v>35170</v>
      </c>
      <c r="T595">
        <v>100</v>
      </c>
      <c r="U595">
        <v>35170</v>
      </c>
      <c r="V595" t="str">
        <f>"TOEIC 2A à l'ENSAI 08-01-2024 : 900"</f>
        <v>TOEIC 2A à l'ENSAI 08-01-2024 : 900</v>
      </c>
      <c r="W595">
        <v>37</v>
      </c>
      <c r="X595">
        <v>0</v>
      </c>
      <c r="Y595">
        <v>6000577</v>
      </c>
      <c r="Z595">
        <v>3</v>
      </c>
      <c r="AA595">
        <v>27</v>
      </c>
      <c r="AB595" t="str">
        <f>""</f>
        <v/>
      </c>
      <c r="AC595" t="str">
        <f>""</f>
        <v/>
      </c>
      <c r="AD595" t="str">
        <f>""</f>
        <v/>
      </c>
      <c r="AE595">
        <v>2020</v>
      </c>
      <c r="AF595">
        <v>2022</v>
      </c>
      <c r="AG595" t="str">
        <f t="shared" ref="AG595:AH597" si="117">"Bruz"</f>
        <v>Bruz</v>
      </c>
      <c r="AH595" t="str">
        <f t="shared" si="117"/>
        <v>Bruz</v>
      </c>
      <c r="AI595" t="str">
        <f>""</f>
        <v/>
      </c>
      <c r="AJ595" t="str">
        <f>""</f>
        <v/>
      </c>
      <c r="AK595" t="str">
        <f>""</f>
        <v/>
      </c>
      <c r="AL595">
        <v>38</v>
      </c>
      <c r="AM595" t="str">
        <f>""</f>
        <v/>
      </c>
      <c r="AN595" t="str">
        <f>""</f>
        <v/>
      </c>
      <c r="AO595" t="str">
        <f>"Les Pierres Vives"</f>
        <v>Les Pierres Vives</v>
      </c>
      <c r="AP595" t="str">
        <f>"CARRIÈRES-SUR-SEINE"</f>
        <v>CARRIÈRES-SUR-SEINE</v>
      </c>
      <c r="AQ595" t="str">
        <f>"Versailles"</f>
        <v>Versailles</v>
      </c>
    </row>
    <row r="596" spans="1:43" x14ac:dyDescent="0.25">
      <c r="A596" t="str">
        <f t="shared" si="115"/>
        <v>3A,3A ID,T01850,3A Ing</v>
      </c>
      <c r="B596" t="str">
        <f>"KAN"</f>
        <v>KAN</v>
      </c>
      <c r="C596" t="str">
        <f>"Francis"</f>
        <v>Francis</v>
      </c>
      <c r="D596" t="str">
        <f>"021-2026"</f>
        <v>021-2026</v>
      </c>
      <c r="E596" t="str">
        <f>"123017736JK"</f>
        <v>123017736JK</v>
      </c>
      <c r="F596" t="str">
        <f t="shared" si="110"/>
        <v>0352480F</v>
      </c>
      <c r="G596" t="str">
        <f t="shared" si="111"/>
        <v>O</v>
      </c>
      <c r="H596">
        <v>10</v>
      </c>
      <c r="I596">
        <v>2001</v>
      </c>
      <c r="J596">
        <v>1</v>
      </c>
      <c r="K596" t="str">
        <f t="shared" si="114"/>
        <v>S</v>
      </c>
      <c r="L596">
        <v>1</v>
      </c>
      <c r="M596">
        <v>2019</v>
      </c>
      <c r="N596" t="str">
        <f t="shared" si="113"/>
        <v>E</v>
      </c>
      <c r="O596" t="str">
        <f t="shared" si="116"/>
        <v>D</v>
      </c>
      <c r="P596">
        <v>0</v>
      </c>
      <c r="Q596">
        <v>100</v>
      </c>
      <c r="R596">
        <v>100</v>
      </c>
      <c r="S596">
        <v>35170</v>
      </c>
      <c r="T596">
        <v>100</v>
      </c>
      <c r="U596">
        <v>35170</v>
      </c>
      <c r="V596" t="str">
        <f>"TOEIC à l'ENSAI le 19/05/2022: score 990"</f>
        <v>TOEIC à l'ENSAI le 19/05/2022: score 990</v>
      </c>
      <c r="W596">
        <v>37</v>
      </c>
      <c r="X596">
        <v>0</v>
      </c>
      <c r="Y596">
        <v>6000577</v>
      </c>
      <c r="Z596">
        <v>3</v>
      </c>
      <c r="AA596">
        <v>27</v>
      </c>
      <c r="AB596" t="str">
        <f>""</f>
        <v/>
      </c>
      <c r="AC596" t="str">
        <f>""</f>
        <v/>
      </c>
      <c r="AD596" t="str">
        <f>""</f>
        <v/>
      </c>
      <c r="AE596">
        <v>2019</v>
      </c>
      <c r="AF596">
        <v>2021</v>
      </c>
      <c r="AG596" t="str">
        <f t="shared" si="117"/>
        <v>Bruz</v>
      </c>
      <c r="AH596" t="str">
        <f t="shared" si="117"/>
        <v>Bruz</v>
      </c>
      <c r="AI596" t="str">
        <f>""</f>
        <v/>
      </c>
      <c r="AJ596" t="str">
        <f>""</f>
        <v/>
      </c>
      <c r="AK596" t="str">
        <f>""</f>
        <v/>
      </c>
      <c r="AL596">
        <v>0</v>
      </c>
      <c r="AM596" t="str">
        <f>""</f>
        <v/>
      </c>
      <c r="AN596" t="str">
        <f>""</f>
        <v/>
      </c>
      <c r="AO596" t="str">
        <f>"Lycée Henri IV"</f>
        <v>Lycée Henri IV</v>
      </c>
      <c r="AP596" t="str">
        <f>"PARIS"</f>
        <v>PARIS</v>
      </c>
      <c r="AQ596" t="str">
        <f>"Paris"</f>
        <v>Paris</v>
      </c>
    </row>
    <row r="597" spans="1:43" x14ac:dyDescent="0.25">
      <c r="A597" t="str">
        <f t="shared" si="115"/>
        <v>3A,3A ID,T01850,3A Ing</v>
      </c>
      <c r="B597" t="str">
        <f>"LENCAUCHEZ"</f>
        <v>LENCAUCHEZ</v>
      </c>
      <c r="C597" t="str">
        <f>"Marc-Adrien"</f>
        <v>Marc-Adrien</v>
      </c>
      <c r="D597" t="str">
        <f>"022-2286"</f>
        <v>022-2286</v>
      </c>
      <c r="E597" t="str">
        <f>"100737196CA"</f>
        <v>100737196CA</v>
      </c>
      <c r="F597" t="str">
        <f t="shared" si="110"/>
        <v>0352480F</v>
      </c>
      <c r="G597" t="str">
        <f t="shared" si="111"/>
        <v>O</v>
      </c>
      <c r="H597">
        <v>10</v>
      </c>
      <c r="I597">
        <v>2001</v>
      </c>
      <c r="J597">
        <v>1</v>
      </c>
      <c r="K597" t="str">
        <f t="shared" si="114"/>
        <v>S</v>
      </c>
      <c r="L597" t="str">
        <f>""</f>
        <v/>
      </c>
      <c r="M597">
        <v>2019</v>
      </c>
      <c r="N597" t="str">
        <f t="shared" si="113"/>
        <v>E</v>
      </c>
      <c r="O597" t="str">
        <f t="shared" si="116"/>
        <v>D</v>
      </c>
      <c r="P597">
        <v>0</v>
      </c>
      <c r="Q597">
        <v>100</v>
      </c>
      <c r="R597">
        <v>100</v>
      </c>
      <c r="S597">
        <v>35170</v>
      </c>
      <c r="T597">
        <v>100</v>
      </c>
      <c r="U597">
        <v>35170</v>
      </c>
      <c r="V597" t="str">
        <f>"TOEIC 2A à l'ENSAI 08-01-2024 : 955"</f>
        <v>TOEIC 2A à l'ENSAI 08-01-2024 : 955</v>
      </c>
      <c r="W597">
        <v>0</v>
      </c>
      <c r="X597">
        <v>0</v>
      </c>
      <c r="Y597">
        <v>6000577</v>
      </c>
      <c r="Z597">
        <v>3</v>
      </c>
      <c r="AA597">
        <v>27</v>
      </c>
      <c r="AB597" t="str">
        <f>""</f>
        <v/>
      </c>
      <c r="AC597" t="str">
        <f>""</f>
        <v/>
      </c>
      <c r="AD597" t="str">
        <f>""</f>
        <v/>
      </c>
      <c r="AE597">
        <v>2019</v>
      </c>
      <c r="AF597">
        <v>2022</v>
      </c>
      <c r="AG597" t="str">
        <f t="shared" si="117"/>
        <v>Bruz</v>
      </c>
      <c r="AH597" t="str">
        <f t="shared" si="117"/>
        <v>Bruz</v>
      </c>
      <c r="AI597" t="str">
        <f>""</f>
        <v/>
      </c>
      <c r="AJ597" t="str">
        <f>""</f>
        <v/>
      </c>
      <c r="AK597" t="str">
        <f>""</f>
        <v/>
      </c>
      <c r="AL597">
        <v>33</v>
      </c>
      <c r="AM597" t="str">
        <f>""</f>
        <v/>
      </c>
      <c r="AN597" t="str">
        <f>""</f>
        <v/>
      </c>
      <c r="AO597" t="str">
        <f>"Saint-Joseph"</f>
        <v>Saint-Joseph</v>
      </c>
      <c r="AP597" t="str">
        <f>"LE HAVRE"</f>
        <v>LE HAVRE</v>
      </c>
      <c r="AQ597" t="str">
        <f>""</f>
        <v/>
      </c>
    </row>
    <row r="598" spans="1:43" x14ac:dyDescent="0.25">
      <c r="A598" t="str">
        <f t="shared" si="115"/>
        <v>3A,3A ID,T01850,3A Ing</v>
      </c>
      <c r="B598" t="str">
        <f>"MOSSUZ"</f>
        <v>MOSSUZ</v>
      </c>
      <c r="C598" t="str">
        <f>"Tim"</f>
        <v>Tim</v>
      </c>
      <c r="D598" t="str">
        <f>"021-2078"</f>
        <v>021-2078</v>
      </c>
      <c r="E598" t="str">
        <f>"081152929JE"</f>
        <v>081152929JE</v>
      </c>
      <c r="F598" t="str">
        <f t="shared" si="110"/>
        <v>0352480F</v>
      </c>
      <c r="G598" t="str">
        <f t="shared" si="111"/>
        <v>O</v>
      </c>
      <c r="H598">
        <v>10</v>
      </c>
      <c r="I598">
        <v>2001</v>
      </c>
      <c r="J598">
        <v>1</v>
      </c>
      <c r="K598" t="str">
        <f t="shared" si="114"/>
        <v>S</v>
      </c>
      <c r="L598">
        <v>8</v>
      </c>
      <c r="M598">
        <v>2019</v>
      </c>
      <c r="N598" t="str">
        <f t="shared" si="113"/>
        <v>E</v>
      </c>
      <c r="O598" t="str">
        <f t="shared" si="116"/>
        <v>D</v>
      </c>
      <c r="P598">
        <v>0</v>
      </c>
      <c r="Q598">
        <v>100</v>
      </c>
      <c r="R598">
        <v>100</v>
      </c>
      <c r="S598">
        <v>35170</v>
      </c>
      <c r="T598">
        <v>100</v>
      </c>
      <c r="U598">
        <v>35170</v>
      </c>
      <c r="V598" t="str">
        <f>"TOEIC à l'ENSAI le 19/05/2022: score 955"</f>
        <v>TOEIC à l'ENSAI le 19/05/2022: score 955</v>
      </c>
      <c r="W598">
        <v>34</v>
      </c>
      <c r="X598">
        <v>0</v>
      </c>
      <c r="Y598">
        <v>6000577</v>
      </c>
      <c r="Z598">
        <v>3</v>
      </c>
      <c r="AA598">
        <v>27</v>
      </c>
      <c r="AB598" t="str">
        <f>""</f>
        <v/>
      </c>
      <c r="AC598" t="str">
        <f>""</f>
        <v/>
      </c>
      <c r="AD598" t="str">
        <f>""</f>
        <v/>
      </c>
      <c r="AE598">
        <v>2019</v>
      </c>
      <c r="AF598">
        <v>2021</v>
      </c>
      <c r="AG598" t="str">
        <f>"BRUZ"</f>
        <v>BRUZ</v>
      </c>
      <c r="AH598" t="str">
        <f>"BRUZ"</f>
        <v>BRUZ</v>
      </c>
      <c r="AI598" t="str">
        <f>""</f>
        <v/>
      </c>
      <c r="AJ598" t="str">
        <f>""</f>
        <v/>
      </c>
      <c r="AK598" t="str">
        <f>""</f>
        <v/>
      </c>
      <c r="AL598">
        <v>33</v>
      </c>
      <c r="AM598" t="str">
        <f>""</f>
        <v/>
      </c>
      <c r="AN598" t="str">
        <f>""</f>
        <v/>
      </c>
      <c r="AO598" t="str">
        <f>"Lycée du Grésivaudan"</f>
        <v>Lycée du Grésivaudan</v>
      </c>
      <c r="AP598" t="str">
        <f>"MEYLAN"</f>
        <v>MEYLAN</v>
      </c>
      <c r="AQ598" t="str">
        <f>"Grenoble"</f>
        <v>Grenoble</v>
      </c>
    </row>
    <row r="599" spans="1:43" x14ac:dyDescent="0.25">
      <c r="A599" t="str">
        <f t="shared" si="115"/>
        <v>3A,3A ID,T01850,3A Ing</v>
      </c>
      <c r="B599" t="str">
        <f>"MOUNIER"</f>
        <v>MOUNIER</v>
      </c>
      <c r="C599" t="str">
        <f>"Clément"</f>
        <v>Clément</v>
      </c>
      <c r="D599" t="str">
        <f>"022-2241"</f>
        <v>022-2241</v>
      </c>
      <c r="E599" t="str">
        <f>"050163875GD"</f>
        <v>050163875GD</v>
      </c>
      <c r="F599" t="str">
        <f t="shared" si="110"/>
        <v>0352480F</v>
      </c>
      <c r="G599" t="str">
        <f t="shared" si="111"/>
        <v>O</v>
      </c>
      <c r="H599">
        <v>10</v>
      </c>
      <c r="I599">
        <v>2002</v>
      </c>
      <c r="J599">
        <v>1</v>
      </c>
      <c r="K599" t="str">
        <f t="shared" si="114"/>
        <v>S</v>
      </c>
      <c r="L599">
        <v>24</v>
      </c>
      <c r="M599">
        <v>2020</v>
      </c>
      <c r="N599" t="str">
        <f t="shared" si="113"/>
        <v>E</v>
      </c>
      <c r="O599" t="str">
        <f t="shared" si="116"/>
        <v>D</v>
      </c>
      <c r="P599">
        <v>0</v>
      </c>
      <c r="Q599">
        <v>100</v>
      </c>
      <c r="R599">
        <v>100</v>
      </c>
      <c r="S599">
        <v>35136</v>
      </c>
      <c r="T599">
        <v>100</v>
      </c>
      <c r="U599">
        <v>35136</v>
      </c>
      <c r="V599" t="str">
        <f>"TOEIC passé à l'ENSAI le 22/05/2023 : score 980"</f>
        <v>TOEIC passé à l'ENSAI le 22/05/2023 : score 980</v>
      </c>
      <c r="W599">
        <v>33</v>
      </c>
      <c r="X599">
        <v>0</v>
      </c>
      <c r="Y599">
        <v>6000577</v>
      </c>
      <c r="Z599">
        <v>3</v>
      </c>
      <c r="AA599">
        <v>27</v>
      </c>
      <c r="AB599" t="str">
        <f>""</f>
        <v/>
      </c>
      <c r="AC599" t="str">
        <f>""</f>
        <v/>
      </c>
      <c r="AD599" t="str">
        <f>""</f>
        <v/>
      </c>
      <c r="AE599">
        <v>2020</v>
      </c>
      <c r="AF599">
        <v>2022</v>
      </c>
      <c r="AG599" t="str">
        <f>"Saint Jacques de la Landes"</f>
        <v>Saint Jacques de la Landes</v>
      </c>
      <c r="AH599" t="str">
        <f>"Saint Jacques de la Landes"</f>
        <v>Saint Jacques de la Landes</v>
      </c>
      <c r="AI599" t="str">
        <f>""</f>
        <v/>
      </c>
      <c r="AJ599" t="str">
        <f>""</f>
        <v/>
      </c>
      <c r="AK599" t="str">
        <f>""</f>
        <v/>
      </c>
      <c r="AL599">
        <v>34</v>
      </c>
      <c r="AM599" t="str">
        <f>""</f>
        <v/>
      </c>
      <c r="AN599" t="str">
        <f>""</f>
        <v/>
      </c>
      <c r="AO599" t="str">
        <f>"Lycée Robert Schuman"</f>
        <v>Lycée Robert Schuman</v>
      </c>
      <c r="AP599" t="str">
        <f>"CHARENTON LE PONT"</f>
        <v>CHARENTON LE PONT</v>
      </c>
      <c r="AQ599" t="str">
        <f>"Créteil"</f>
        <v>Créteil</v>
      </c>
    </row>
    <row r="600" spans="1:43" x14ac:dyDescent="0.25">
      <c r="A600" t="str">
        <f t="shared" si="115"/>
        <v>3A,3A ID,T01850,3A Ing</v>
      </c>
      <c r="B600" t="str">
        <f>"NEGRIER"</f>
        <v>NEGRIER</v>
      </c>
      <c r="C600" t="str">
        <f>"Thibault"</f>
        <v>Thibault</v>
      </c>
      <c r="D600" t="str">
        <f>"022-2257"</f>
        <v>022-2257</v>
      </c>
      <c r="E600" t="str">
        <f>"090970511GG"</f>
        <v>090970511GG</v>
      </c>
      <c r="F600" t="str">
        <f t="shared" si="110"/>
        <v>0352480F</v>
      </c>
      <c r="G600" t="str">
        <f t="shared" si="111"/>
        <v>O</v>
      </c>
      <c r="H600">
        <v>10</v>
      </c>
      <c r="I600">
        <v>2001</v>
      </c>
      <c r="J600">
        <v>1</v>
      </c>
      <c r="K600" t="str">
        <f t="shared" si="114"/>
        <v>S</v>
      </c>
      <c r="L600">
        <v>18</v>
      </c>
      <c r="M600">
        <v>2019</v>
      </c>
      <c r="N600" t="str">
        <f t="shared" si="113"/>
        <v>E</v>
      </c>
      <c r="O600" t="str">
        <f t="shared" si="116"/>
        <v>D</v>
      </c>
      <c r="P600">
        <v>0</v>
      </c>
      <c r="Q600">
        <v>100</v>
      </c>
      <c r="R600">
        <v>100</v>
      </c>
      <c r="S600">
        <v>35000</v>
      </c>
      <c r="T600">
        <v>100</v>
      </c>
      <c r="U600">
        <v>35000</v>
      </c>
      <c r="V600" t="str">
        <f>"TOEIC 1A passé à l'ENSAI le 22/05/2023 : score 830  TOEIC 2A à l'ENSAI 08-01-2024 : 780  TOEIC 2A - 11/04/2024 : 810"</f>
        <v>TOEIC 1A passé à l'ENSAI le 22/05/2023 : score 830  TOEIC 2A à l'ENSAI 08-01-2024 : 780  TOEIC 2A - 11/04/2024 : 810</v>
      </c>
      <c r="W600">
        <v>34</v>
      </c>
      <c r="X600">
        <v>0</v>
      </c>
      <c r="Y600">
        <v>6000577</v>
      </c>
      <c r="Z600">
        <v>3</v>
      </c>
      <c r="AA600">
        <v>27</v>
      </c>
      <c r="AB600" t="str">
        <f>""</f>
        <v/>
      </c>
      <c r="AC600" t="str">
        <f>""</f>
        <v/>
      </c>
      <c r="AD600" t="str">
        <f>""</f>
        <v/>
      </c>
      <c r="AE600">
        <v>2019</v>
      </c>
      <c r="AF600">
        <v>2022</v>
      </c>
      <c r="AG600" t="str">
        <f>"Rennes"</f>
        <v>Rennes</v>
      </c>
      <c r="AH600" t="str">
        <f>"Rennes"</f>
        <v>Rennes</v>
      </c>
      <c r="AI600" t="str">
        <f>""</f>
        <v/>
      </c>
      <c r="AJ600" t="str">
        <f>""</f>
        <v/>
      </c>
      <c r="AK600" t="str">
        <f>""</f>
        <v/>
      </c>
      <c r="AL600">
        <v>33</v>
      </c>
      <c r="AM600" t="str">
        <f>""</f>
        <v/>
      </c>
      <c r="AN600" t="str">
        <f>""</f>
        <v/>
      </c>
      <c r="AO600" t="str">
        <f>"Jean Zay"</f>
        <v>Jean Zay</v>
      </c>
      <c r="AP600" t="str">
        <f>"ORLÉANS"</f>
        <v>ORLÉANS</v>
      </c>
      <c r="AQ600" t="str">
        <f>"Orléans-Tours"</f>
        <v>Orléans-Tours</v>
      </c>
    </row>
    <row r="601" spans="1:43" x14ac:dyDescent="0.25">
      <c r="A601" t="str">
        <f t="shared" si="115"/>
        <v>3A,3A ID,T01850,3A Ing</v>
      </c>
      <c r="B601" t="str">
        <f>"TARPIN-BERNARD"</f>
        <v>TARPIN-BERNARD</v>
      </c>
      <c r="C601" t="str">
        <f>"Guillaume"</f>
        <v>Guillaume</v>
      </c>
      <c r="D601" t="str">
        <f>"022-2293"</f>
        <v>022-2293</v>
      </c>
      <c r="E601" t="str">
        <f>"081068650HA"</f>
        <v>081068650HA</v>
      </c>
      <c r="F601" t="str">
        <f t="shared" si="110"/>
        <v>0352480F</v>
      </c>
      <c r="G601" t="str">
        <f t="shared" si="111"/>
        <v>O</v>
      </c>
      <c r="H601">
        <v>10</v>
      </c>
      <c r="I601">
        <v>2002</v>
      </c>
      <c r="J601">
        <v>1</v>
      </c>
      <c r="K601" t="str">
        <f t="shared" si="114"/>
        <v>S</v>
      </c>
      <c r="L601">
        <v>8</v>
      </c>
      <c r="M601">
        <v>2020</v>
      </c>
      <c r="N601" t="str">
        <f t="shared" si="113"/>
        <v>E</v>
      </c>
      <c r="O601" t="str">
        <f t="shared" si="116"/>
        <v>D</v>
      </c>
      <c r="P601">
        <v>0</v>
      </c>
      <c r="Q601">
        <v>100</v>
      </c>
      <c r="R601">
        <v>100</v>
      </c>
      <c r="S601">
        <v>35170</v>
      </c>
      <c r="T601">
        <v>100</v>
      </c>
      <c r="U601">
        <v>35170</v>
      </c>
      <c r="V601" t="str">
        <f>"TOEIC 2A à l'ENSAI 08-01-2024 : 990"</f>
        <v>TOEIC 2A à l'ENSAI 08-01-2024 : 990</v>
      </c>
      <c r="W601">
        <v>22</v>
      </c>
      <c r="X601">
        <v>0</v>
      </c>
      <c r="Y601">
        <v>6000577</v>
      </c>
      <c r="Z601">
        <v>3</v>
      </c>
      <c r="AA601">
        <v>27</v>
      </c>
      <c r="AB601" t="str">
        <f>""</f>
        <v/>
      </c>
      <c r="AC601" t="str">
        <f>""</f>
        <v/>
      </c>
      <c r="AD601" t="str">
        <f>""</f>
        <v/>
      </c>
      <c r="AE601">
        <v>2020</v>
      </c>
      <c r="AF601">
        <v>2022</v>
      </c>
      <c r="AG601" t="str">
        <f>"Bruz"</f>
        <v>Bruz</v>
      </c>
      <c r="AH601" t="str">
        <f>"Bruz"</f>
        <v>Bruz</v>
      </c>
      <c r="AI601" t="str">
        <f>""</f>
        <v/>
      </c>
      <c r="AJ601" t="str">
        <f>""</f>
        <v/>
      </c>
      <c r="AK601" t="str">
        <f>""</f>
        <v/>
      </c>
      <c r="AL601">
        <v>23</v>
      </c>
      <c r="AM601" t="str">
        <f>""</f>
        <v/>
      </c>
      <c r="AN601" t="str">
        <f>""</f>
        <v/>
      </c>
      <c r="AO601" t="str">
        <f>"Lycée Polyvalent Galilée"</f>
        <v>Lycée Polyvalent Galilée</v>
      </c>
      <c r="AP601" t="str">
        <f>"VIENNE"</f>
        <v>VIENNE</v>
      </c>
      <c r="AQ601" t="str">
        <f>"Grenoble"</f>
        <v>Grenoble</v>
      </c>
    </row>
    <row r="602" spans="1:43" x14ac:dyDescent="0.25">
      <c r="A602" t="str">
        <f t="shared" si="115"/>
        <v>3A,3A ID,T01850,3A Ing</v>
      </c>
      <c r="B602" t="str">
        <f>"TEISSIER"</f>
        <v>TEISSIER</v>
      </c>
      <c r="C602" t="str">
        <f>"Agnès"</f>
        <v>Agnès</v>
      </c>
      <c r="D602" t="str">
        <f>"022-2231"</f>
        <v>022-2231</v>
      </c>
      <c r="E602" t="str">
        <f>"2309006874F"</f>
        <v>2309006874F</v>
      </c>
      <c r="F602" t="str">
        <f t="shared" si="110"/>
        <v>0352480F</v>
      </c>
      <c r="G602" t="str">
        <f t="shared" si="111"/>
        <v>O</v>
      </c>
      <c r="H602">
        <v>10</v>
      </c>
      <c r="I602">
        <v>1998</v>
      </c>
      <c r="J602">
        <v>2</v>
      </c>
      <c r="K602" t="str">
        <f t="shared" si="114"/>
        <v>S</v>
      </c>
      <c r="L602">
        <v>23</v>
      </c>
      <c r="M602">
        <v>2016</v>
      </c>
      <c r="N602" t="str">
        <f t="shared" si="113"/>
        <v>E</v>
      </c>
      <c r="O602" t="str">
        <f>"N"</f>
        <v>N</v>
      </c>
      <c r="P602">
        <v>0</v>
      </c>
      <c r="Q602">
        <v>100</v>
      </c>
      <c r="R602">
        <v>100</v>
      </c>
      <c r="S602">
        <v>35000</v>
      </c>
      <c r="T602">
        <v>100</v>
      </c>
      <c r="U602">
        <v>35000</v>
      </c>
      <c r="V602" t="str">
        <f>"TOEIC à l'extérieur avant d'arrivée à l'ENSAI le 2/06/2022 : 985"</f>
        <v>TOEIC à l'extérieur avant d'arrivée à l'ENSAI le 2/06/2022 : 985</v>
      </c>
      <c r="W602">
        <v>38</v>
      </c>
      <c r="X602">
        <v>0</v>
      </c>
      <c r="Y602">
        <v>6000577</v>
      </c>
      <c r="Z602">
        <v>3</v>
      </c>
      <c r="AA602">
        <v>27</v>
      </c>
      <c r="AB602" t="str">
        <f>""</f>
        <v/>
      </c>
      <c r="AC602" t="str">
        <f>""</f>
        <v/>
      </c>
      <c r="AD602" t="str">
        <f>""</f>
        <v/>
      </c>
      <c r="AE602">
        <v>2016</v>
      </c>
      <c r="AF602">
        <v>2022</v>
      </c>
      <c r="AG602" t="str">
        <f t="shared" ref="AG602:AH606" si="118">"Rennes"</f>
        <v>Rennes</v>
      </c>
      <c r="AH602" t="str">
        <f t="shared" si="118"/>
        <v>Rennes</v>
      </c>
      <c r="AI602" t="str">
        <f>""</f>
        <v/>
      </c>
      <c r="AJ602" t="str">
        <f>""</f>
        <v/>
      </c>
      <c r="AK602" t="str">
        <f>""</f>
        <v/>
      </c>
      <c r="AL602">
        <v>33</v>
      </c>
      <c r="AM602" t="str">
        <f>""</f>
        <v/>
      </c>
      <c r="AN602" t="str">
        <f>""</f>
        <v/>
      </c>
      <c r="AO602" t="str">
        <f>"Lycée Bonaparte"</f>
        <v>Lycée Bonaparte</v>
      </c>
      <c r="AP602" t="str">
        <f>"TOULON"</f>
        <v>TOULON</v>
      </c>
      <c r="AQ602" t="str">
        <f>"Nice"</f>
        <v>Nice</v>
      </c>
    </row>
    <row r="603" spans="1:43" x14ac:dyDescent="0.25">
      <c r="A603" t="str">
        <f>"3A,3A MES,T00000,3A Ing"</f>
        <v>3A,3A MES,T00000,3A Ing</v>
      </c>
      <c r="B603" t="str">
        <f>"ADJEI-TOURE"</f>
        <v>ADJEI-TOURE</v>
      </c>
      <c r="C603" t="str">
        <f>"Yassine"</f>
        <v>Yassine</v>
      </c>
      <c r="D603" t="str">
        <f>"023-2367"</f>
        <v>023-2367</v>
      </c>
      <c r="E603" t="str">
        <f>"223355840EG"</f>
        <v>223355840EG</v>
      </c>
      <c r="F603" t="str">
        <f t="shared" si="110"/>
        <v>0352480F</v>
      </c>
      <c r="G603" t="str">
        <f t="shared" si="111"/>
        <v>O</v>
      </c>
      <c r="H603">
        <v>10</v>
      </c>
      <c r="I603">
        <v>2002</v>
      </c>
      <c r="J603">
        <v>1</v>
      </c>
      <c r="K603" t="str">
        <f>"C"</f>
        <v>C</v>
      </c>
      <c r="L603">
        <v>0</v>
      </c>
      <c r="M603">
        <v>2019</v>
      </c>
      <c r="N603" t="str">
        <f t="shared" si="113"/>
        <v>E</v>
      </c>
      <c r="O603" t="str">
        <f>"E"</f>
        <v>E</v>
      </c>
      <c r="P603">
        <v>0</v>
      </c>
      <c r="Q603">
        <v>345</v>
      </c>
      <c r="R603">
        <v>100</v>
      </c>
      <c r="S603">
        <v>35708</v>
      </c>
      <c r="T603">
        <v>100</v>
      </c>
      <c r="U603">
        <v>35708</v>
      </c>
      <c r="V603" t="str">
        <f>"TOEIC 2A - 11/04/2024 : 845"</f>
        <v>TOEIC 2A - 11/04/2024 : 845</v>
      </c>
      <c r="W603">
        <v>33</v>
      </c>
      <c r="X603">
        <v>0</v>
      </c>
      <c r="Y603">
        <v>6000577</v>
      </c>
      <c r="Z603">
        <v>3</v>
      </c>
      <c r="AA603">
        <v>27</v>
      </c>
      <c r="AB603" t="str">
        <f>""</f>
        <v/>
      </c>
      <c r="AC603" t="str">
        <f>""</f>
        <v/>
      </c>
      <c r="AD603" t="str">
        <f>""</f>
        <v/>
      </c>
      <c r="AE603">
        <v>2023</v>
      </c>
      <c r="AF603">
        <v>2023</v>
      </c>
      <c r="AG603" t="str">
        <f t="shared" si="118"/>
        <v>Rennes</v>
      </c>
      <c r="AH603" t="str">
        <f t="shared" si="118"/>
        <v>Rennes</v>
      </c>
      <c r="AI603" t="str">
        <f>""</f>
        <v/>
      </c>
      <c r="AJ603" t="str">
        <f>""</f>
        <v/>
      </c>
      <c r="AK603" t="str">
        <f>""</f>
        <v/>
      </c>
      <c r="AL603">
        <v>85</v>
      </c>
      <c r="AM603" t="str">
        <f>""</f>
        <v/>
      </c>
      <c r="AN603" t="str">
        <f>""</f>
        <v/>
      </c>
      <c r="AO603" t="str">
        <f>"Collège Notre Dame des Apôtres"</f>
        <v>Collège Notre Dame des Apôtres</v>
      </c>
      <c r="AP603" t="str">
        <f>"LOMÉ"</f>
        <v>LOMÉ</v>
      </c>
      <c r="AQ603" t="str">
        <f>"Etranger"</f>
        <v>Etranger</v>
      </c>
    </row>
    <row r="604" spans="1:43" x14ac:dyDescent="0.25">
      <c r="A604" t="str">
        <f>"3A,3A MES,T00000,3A Ing"</f>
        <v>3A,3A MES,T00000,3A Ing</v>
      </c>
      <c r="B604" t="str">
        <f>"SANE"</f>
        <v>SANE</v>
      </c>
      <c r="C604" t="str">
        <f>"Mansour Kama"</f>
        <v>Mansour Kama</v>
      </c>
      <c r="D604" t="str">
        <f>"023-2376"</f>
        <v>023-2376</v>
      </c>
      <c r="E604" t="str">
        <f>"223391770AG"</f>
        <v>223391770AG</v>
      </c>
      <c r="F604" t="str">
        <f t="shared" si="110"/>
        <v>0352480F</v>
      </c>
      <c r="G604" t="str">
        <f t="shared" si="111"/>
        <v>O</v>
      </c>
      <c r="H604">
        <v>10</v>
      </c>
      <c r="I604">
        <v>1998</v>
      </c>
      <c r="J604">
        <v>1</v>
      </c>
      <c r="K604" t="str">
        <f>"C"</f>
        <v>C</v>
      </c>
      <c r="L604">
        <v>0</v>
      </c>
      <c r="M604">
        <v>2017</v>
      </c>
      <c r="N604" t="str">
        <f t="shared" si="113"/>
        <v>E</v>
      </c>
      <c r="O604">
        <v>2</v>
      </c>
      <c r="P604">
        <v>0</v>
      </c>
      <c r="Q604">
        <v>341</v>
      </c>
      <c r="R604">
        <v>100</v>
      </c>
      <c r="S604">
        <v>35700</v>
      </c>
      <c r="T604">
        <v>100</v>
      </c>
      <c r="U604">
        <v>35700</v>
      </c>
      <c r="V604" t="str">
        <f>"TOEIC 2A à l'ENSAI 08-01-2024 : 725"</f>
        <v>TOEIC 2A à l'ENSAI 08-01-2024 : 725</v>
      </c>
      <c r="W604">
        <v>0</v>
      </c>
      <c r="X604">
        <v>0</v>
      </c>
      <c r="Y604">
        <v>6000577</v>
      </c>
      <c r="Z604">
        <v>3</v>
      </c>
      <c r="AA604">
        <v>27</v>
      </c>
      <c r="AB604" t="str">
        <f>""</f>
        <v/>
      </c>
      <c r="AC604" t="str">
        <f>""</f>
        <v/>
      </c>
      <c r="AD604" t="str">
        <f>""</f>
        <v/>
      </c>
      <c r="AE604">
        <v>2017</v>
      </c>
      <c r="AF604">
        <v>2023</v>
      </c>
      <c r="AG604" t="str">
        <f t="shared" si="118"/>
        <v>Rennes</v>
      </c>
      <c r="AH604" t="str">
        <f t="shared" si="118"/>
        <v>Rennes</v>
      </c>
      <c r="AI604" t="str">
        <f>""</f>
        <v/>
      </c>
      <c r="AJ604" t="str">
        <f>""</f>
        <v/>
      </c>
      <c r="AK604" t="str">
        <f>""</f>
        <v/>
      </c>
      <c r="AL604">
        <v>0</v>
      </c>
      <c r="AM604" t="str">
        <f>""</f>
        <v/>
      </c>
      <c r="AN604" t="str">
        <f>""</f>
        <v/>
      </c>
      <c r="AO604" t="str">
        <f>"El Hadj Ibrahima DIOP de Yeumbeul"</f>
        <v>El Hadj Ibrahima DIOP de Yeumbeul</v>
      </c>
      <c r="AP604" t="str">
        <f>"DAKAR"</f>
        <v>DAKAR</v>
      </c>
      <c r="AQ604" t="str">
        <f>"Etranger"</f>
        <v>Etranger</v>
      </c>
    </row>
    <row r="605" spans="1:43" x14ac:dyDescent="0.25">
      <c r="A605" t="str">
        <f>"3A,3A MES,T00000,3A Ing"</f>
        <v>3A,3A MES,T00000,3A Ing</v>
      </c>
      <c r="B605" t="str">
        <f>"TETSHIE"</f>
        <v>TETSHIE</v>
      </c>
      <c r="C605" t="str">
        <f>"Eyram Espoir"</f>
        <v>Eyram Espoir</v>
      </c>
      <c r="D605" t="str">
        <f>"023-2369"</f>
        <v>023-2369</v>
      </c>
      <c r="E605" t="str">
        <f>"223347831AE"</f>
        <v>223347831AE</v>
      </c>
      <c r="F605" t="str">
        <f t="shared" si="110"/>
        <v>0352480F</v>
      </c>
      <c r="G605" t="str">
        <f t="shared" si="111"/>
        <v>O</v>
      </c>
      <c r="H605">
        <v>10</v>
      </c>
      <c r="I605">
        <v>2002</v>
      </c>
      <c r="J605">
        <v>2</v>
      </c>
      <c r="K605" t="str">
        <f>"C"</f>
        <v>C</v>
      </c>
      <c r="L605">
        <v>0</v>
      </c>
      <c r="M605">
        <v>2023</v>
      </c>
      <c r="N605" t="str">
        <f t="shared" si="113"/>
        <v>E</v>
      </c>
      <c r="O605" t="str">
        <f>"E"</f>
        <v>E</v>
      </c>
      <c r="P605">
        <v>0</v>
      </c>
      <c r="Q605">
        <v>345</v>
      </c>
      <c r="R605">
        <v>100</v>
      </c>
      <c r="S605">
        <v>35000</v>
      </c>
      <c r="T605">
        <v>100</v>
      </c>
      <c r="U605">
        <v>35000</v>
      </c>
      <c r="V605" t="str">
        <f>"Bourse Eiffel 24 mois (09/25) : 1031 EUR/mois  TOEIC 2A - 11/04/2024 : 840"</f>
        <v>Bourse Eiffel 24 mois (09/25) : 1031 EUR/mois  TOEIC 2A - 11/04/2024 : 840</v>
      </c>
      <c r="W605">
        <v>0</v>
      </c>
      <c r="X605">
        <v>0</v>
      </c>
      <c r="Y605">
        <v>6000577</v>
      </c>
      <c r="Z605">
        <v>3</v>
      </c>
      <c r="AA605">
        <v>27</v>
      </c>
      <c r="AB605" t="str">
        <f>""</f>
        <v/>
      </c>
      <c r="AC605" t="str">
        <f>""</f>
        <v/>
      </c>
      <c r="AD605" t="str">
        <f>""</f>
        <v/>
      </c>
      <c r="AE605">
        <v>2023</v>
      </c>
      <c r="AF605">
        <v>2023</v>
      </c>
      <c r="AG605" t="str">
        <f t="shared" si="118"/>
        <v>Rennes</v>
      </c>
      <c r="AH605" t="str">
        <f t="shared" si="118"/>
        <v>Rennes</v>
      </c>
      <c r="AI605" t="str">
        <f>""</f>
        <v/>
      </c>
      <c r="AJ605" t="str">
        <f>""</f>
        <v/>
      </c>
      <c r="AK605" t="str">
        <f>""</f>
        <v/>
      </c>
      <c r="AL605">
        <v>33</v>
      </c>
      <c r="AM605" t="str">
        <f>""</f>
        <v/>
      </c>
      <c r="AN605" t="str">
        <f>""</f>
        <v/>
      </c>
      <c r="AO605" t="str">
        <f>"Collège Notre Dame de l'Eglise"</f>
        <v>Collège Notre Dame de l'Eglise</v>
      </c>
      <c r="AP605" t="str">
        <f>"VAKPOSSITO, LOMÉ"</f>
        <v>VAKPOSSITO, LOMÉ</v>
      </c>
      <c r="AQ605" t="str">
        <f>"Etranger"</f>
        <v>Etranger</v>
      </c>
    </row>
    <row r="606" spans="1:43" x14ac:dyDescent="0.25">
      <c r="A606" t="str">
        <f>"3A,3A MES,T01850,3A Ing"</f>
        <v>3A,3A MES,T01850,3A Ing</v>
      </c>
      <c r="B606" t="str">
        <f>"BRIER"</f>
        <v>BRIER</v>
      </c>
      <c r="C606" t="str">
        <f>"Coline"</f>
        <v>Coline</v>
      </c>
      <c r="D606" t="str">
        <f>"022-2139"</f>
        <v>022-2139</v>
      </c>
      <c r="E606" t="str">
        <f>"061318358KF"</f>
        <v>061318358KF</v>
      </c>
      <c r="F606" t="str">
        <f t="shared" si="110"/>
        <v>0352480F</v>
      </c>
      <c r="G606" t="str">
        <f t="shared" si="111"/>
        <v>O</v>
      </c>
      <c r="H606">
        <v>10</v>
      </c>
      <c r="I606">
        <v>2002</v>
      </c>
      <c r="J606">
        <v>2</v>
      </c>
      <c r="K606" t="str">
        <f>"S"</f>
        <v>S</v>
      </c>
      <c r="L606">
        <v>2</v>
      </c>
      <c r="M606">
        <v>2020</v>
      </c>
      <c r="N606" t="str">
        <f t="shared" si="113"/>
        <v>E</v>
      </c>
      <c r="O606" t="str">
        <f>"C"</f>
        <v>C</v>
      </c>
      <c r="P606">
        <v>0</v>
      </c>
      <c r="Q606">
        <v>100</v>
      </c>
      <c r="R606">
        <v>100</v>
      </c>
      <c r="S606">
        <v>35000</v>
      </c>
      <c r="T606">
        <v>100</v>
      </c>
      <c r="U606">
        <v>35000</v>
      </c>
      <c r="V606" t="str">
        <f>"TOEIC passé à l'ENSAI le 22/05/2023 : score 985"</f>
        <v>TOEIC passé à l'ENSAI le 22/05/2023 : score 985</v>
      </c>
      <c r="W606">
        <v>38</v>
      </c>
      <c r="X606">
        <v>0</v>
      </c>
      <c r="Y606">
        <v>6000577</v>
      </c>
      <c r="Z606">
        <v>3</v>
      </c>
      <c r="AA606">
        <v>27</v>
      </c>
      <c r="AB606" t="str">
        <f>""</f>
        <v/>
      </c>
      <c r="AC606" t="str">
        <f>""</f>
        <v/>
      </c>
      <c r="AD606" t="str">
        <f>""</f>
        <v/>
      </c>
      <c r="AE606">
        <v>2020</v>
      </c>
      <c r="AF606">
        <v>2022</v>
      </c>
      <c r="AG606" t="str">
        <f t="shared" si="118"/>
        <v>Rennes</v>
      </c>
      <c r="AH606" t="str">
        <f t="shared" si="118"/>
        <v>Rennes</v>
      </c>
      <c r="AI606" t="str">
        <f>""</f>
        <v/>
      </c>
      <c r="AJ606" t="str">
        <f>""</f>
        <v/>
      </c>
      <c r="AK606" t="str">
        <f>""</f>
        <v/>
      </c>
      <c r="AL606">
        <v>54</v>
      </c>
      <c r="AM606" t="str">
        <f>""</f>
        <v/>
      </c>
      <c r="AN606" t="str">
        <f>""</f>
        <v/>
      </c>
      <c r="AO606" t="str">
        <f>"Honoré Daumier"</f>
        <v>Honoré Daumier</v>
      </c>
      <c r="AP606" t="str">
        <f>"MARSEILLE"</f>
        <v>MARSEILLE</v>
      </c>
      <c r="AQ606" t="str">
        <f>"Aix-Marseille"</f>
        <v>Aix-Marseille</v>
      </c>
    </row>
    <row r="607" spans="1:43" x14ac:dyDescent="0.25">
      <c r="A607" t="str">
        <f>"3A,3A MES,T01850,3A Ing"</f>
        <v>3A,3A MES,T01850,3A Ing</v>
      </c>
      <c r="B607" t="str">
        <f>"CHAPUT"</f>
        <v>CHAPUT</v>
      </c>
      <c r="C607" t="str">
        <f>"Émile"</f>
        <v>Émile</v>
      </c>
      <c r="D607" t="str">
        <f>"022-2280"</f>
        <v>022-2280</v>
      </c>
      <c r="E607" t="str">
        <f>"060242739JB"</f>
        <v>060242739JB</v>
      </c>
      <c r="F607" t="str">
        <f t="shared" si="110"/>
        <v>0352480F</v>
      </c>
      <c r="G607" t="str">
        <f t="shared" si="111"/>
        <v>O</v>
      </c>
      <c r="H607">
        <v>10</v>
      </c>
      <c r="I607">
        <v>2002</v>
      </c>
      <c r="J607">
        <v>1</v>
      </c>
      <c r="K607" t="str">
        <f>"S"</f>
        <v>S</v>
      </c>
      <c r="L607">
        <v>25</v>
      </c>
      <c r="M607">
        <v>2020</v>
      </c>
      <c r="N607" t="str">
        <f t="shared" si="113"/>
        <v>E</v>
      </c>
      <c r="O607" t="str">
        <f>"D"</f>
        <v>D</v>
      </c>
      <c r="P607">
        <v>0</v>
      </c>
      <c r="Q607">
        <v>100</v>
      </c>
      <c r="R607">
        <v>100</v>
      </c>
      <c r="S607">
        <v>35170</v>
      </c>
      <c r="T607">
        <v>100</v>
      </c>
      <c r="U607">
        <v>35170</v>
      </c>
      <c r="V607" t="str">
        <f>"TOEIC passé à l'ENSAI le 22/05/2023 : score 990"</f>
        <v>TOEIC passé à l'ENSAI le 22/05/2023 : score 990</v>
      </c>
      <c r="W607">
        <v>38</v>
      </c>
      <c r="X607">
        <v>0</v>
      </c>
      <c r="Y607">
        <v>6000577</v>
      </c>
      <c r="Z607">
        <v>3</v>
      </c>
      <c r="AA607">
        <v>27</v>
      </c>
      <c r="AB607" t="str">
        <f>""</f>
        <v/>
      </c>
      <c r="AC607" t="str">
        <f>""</f>
        <v/>
      </c>
      <c r="AD607" t="str">
        <f>""</f>
        <v/>
      </c>
      <c r="AE607">
        <v>2020</v>
      </c>
      <c r="AF607">
        <v>2022</v>
      </c>
      <c r="AG607" t="str">
        <f t="shared" ref="AG607:AH609" si="119">"Bruz"</f>
        <v>Bruz</v>
      </c>
      <c r="AH607" t="str">
        <f t="shared" si="119"/>
        <v>Bruz</v>
      </c>
      <c r="AI607" t="str">
        <f>""</f>
        <v/>
      </c>
      <c r="AJ607" t="str">
        <f>""</f>
        <v/>
      </c>
      <c r="AK607" t="str">
        <f>""</f>
        <v/>
      </c>
      <c r="AL607">
        <v>34</v>
      </c>
      <c r="AM607" t="str">
        <f>""</f>
        <v/>
      </c>
      <c r="AN607" t="str">
        <f>""</f>
        <v/>
      </c>
      <c r="AO607" t="str">
        <f>"Lycée Polyvalent Eugène Ionesco"</f>
        <v>Lycée Polyvalent Eugène Ionesco</v>
      </c>
      <c r="AP607" t="str">
        <f>"ISSY-LES-MOULINEAUX"</f>
        <v>ISSY-LES-MOULINEAUX</v>
      </c>
      <c r="AQ607" t="str">
        <f>"Versailles"</f>
        <v>Versailles</v>
      </c>
    </row>
    <row r="608" spans="1:43" x14ac:dyDescent="0.25">
      <c r="A608" t="str">
        <f t="shared" ref="A608:A613" si="120">"3A,3A MKT,T00000,3A Ing"</f>
        <v>3A,3A MKT,T00000,3A Ing</v>
      </c>
      <c r="B608" t="str">
        <f>"DJUFFO KUETE"</f>
        <v>DJUFFO KUETE</v>
      </c>
      <c r="C608" t="str">
        <f>"Sidoine"</f>
        <v>Sidoine</v>
      </c>
      <c r="D608" t="str">
        <f>"023-2371"</f>
        <v>023-2371</v>
      </c>
      <c r="E608" t="str">
        <f>"223391799HE"</f>
        <v>223391799HE</v>
      </c>
      <c r="F608" t="str">
        <f t="shared" si="110"/>
        <v>0352480F</v>
      </c>
      <c r="G608" t="str">
        <f t="shared" si="111"/>
        <v>O</v>
      </c>
      <c r="H608">
        <v>10</v>
      </c>
      <c r="I608">
        <v>1999</v>
      </c>
      <c r="J608">
        <v>2</v>
      </c>
      <c r="K608" t="str">
        <f>"C"</f>
        <v>C</v>
      </c>
      <c r="L608">
        <v>0</v>
      </c>
      <c r="M608">
        <v>2016</v>
      </c>
      <c r="N608" t="str">
        <f t="shared" si="113"/>
        <v>E</v>
      </c>
      <c r="O608" t="str">
        <f>"E"</f>
        <v>E</v>
      </c>
      <c r="P608">
        <v>0</v>
      </c>
      <c r="Q608">
        <v>322</v>
      </c>
      <c r="R608">
        <v>100</v>
      </c>
      <c r="S608">
        <v>35170</v>
      </c>
      <c r="T608">
        <v>100</v>
      </c>
      <c r="U608">
        <v>35170</v>
      </c>
      <c r="V608" t="str">
        <f>"TOEIC 2A à l'ENSAI 08-01-2024 : 865"</f>
        <v>TOEIC 2A à l'ENSAI 08-01-2024 : 865</v>
      </c>
      <c r="W608">
        <v>34</v>
      </c>
      <c r="X608">
        <v>0</v>
      </c>
      <c r="Y608">
        <v>6000577</v>
      </c>
      <c r="Z608">
        <v>3</v>
      </c>
      <c r="AA608">
        <v>27</v>
      </c>
      <c r="AB608" t="str">
        <f>""</f>
        <v/>
      </c>
      <c r="AC608" t="str">
        <f>""</f>
        <v/>
      </c>
      <c r="AD608" t="str">
        <f>""</f>
        <v/>
      </c>
      <c r="AE608">
        <v>2023</v>
      </c>
      <c r="AF608">
        <v>2023</v>
      </c>
      <c r="AG608" t="str">
        <f t="shared" si="119"/>
        <v>Bruz</v>
      </c>
      <c r="AH608" t="str">
        <f t="shared" si="119"/>
        <v>Bruz</v>
      </c>
      <c r="AI608" t="str">
        <f>""</f>
        <v/>
      </c>
      <c r="AJ608" t="str">
        <f>""</f>
        <v/>
      </c>
      <c r="AK608" t="str">
        <f>""</f>
        <v/>
      </c>
      <c r="AL608">
        <v>0</v>
      </c>
      <c r="AM608" t="str">
        <f>""</f>
        <v/>
      </c>
      <c r="AN608" t="str">
        <f>""</f>
        <v/>
      </c>
      <c r="AO608" t="str">
        <f>"LYCEE DE BIYEM-ASSI"</f>
        <v>LYCEE DE BIYEM-ASSI</v>
      </c>
      <c r="AP608" t="str">
        <f>"YAOUNDE"</f>
        <v>YAOUNDE</v>
      </c>
      <c r="AQ608" t="str">
        <f>"Etranger"</f>
        <v>Etranger</v>
      </c>
    </row>
    <row r="609" spans="1:43" x14ac:dyDescent="0.25">
      <c r="A609" t="str">
        <f t="shared" si="120"/>
        <v>3A,3A MKT,T00000,3A Ing</v>
      </c>
      <c r="B609" t="str">
        <f>"GUTIERREZ ZEVALLOS"</f>
        <v>GUTIERREZ ZEVALLOS</v>
      </c>
      <c r="C609" t="str">
        <f>"Alexandre"</f>
        <v>Alexandre</v>
      </c>
      <c r="D609" t="str">
        <f>"022-2255"</f>
        <v>022-2255</v>
      </c>
      <c r="E609" t="str">
        <f>"082017610GB"</f>
        <v>082017610GB</v>
      </c>
      <c r="F609" t="str">
        <f t="shared" si="110"/>
        <v>0352480F</v>
      </c>
      <c r="G609" t="str">
        <f t="shared" si="111"/>
        <v>O</v>
      </c>
      <c r="H609">
        <v>10</v>
      </c>
      <c r="I609">
        <v>2002</v>
      </c>
      <c r="J609">
        <v>1</v>
      </c>
      <c r="K609" t="str">
        <f>"S"</f>
        <v>S</v>
      </c>
      <c r="L609">
        <v>2</v>
      </c>
      <c r="M609">
        <v>2020</v>
      </c>
      <c r="N609" t="str">
        <f t="shared" si="113"/>
        <v>E</v>
      </c>
      <c r="O609" t="str">
        <f>"D"</f>
        <v>D</v>
      </c>
      <c r="P609">
        <v>0</v>
      </c>
      <c r="Q609">
        <v>100</v>
      </c>
      <c r="R609">
        <v>100</v>
      </c>
      <c r="S609">
        <v>35170</v>
      </c>
      <c r="T609">
        <v>100</v>
      </c>
      <c r="U609">
        <v>35170</v>
      </c>
      <c r="V609" t="str">
        <f>"TOEIC passé à l'ENSAI le 22/05/2023 : score 940"</f>
        <v>TOEIC passé à l'ENSAI le 22/05/2023 : score 940</v>
      </c>
      <c r="W609">
        <v>61</v>
      </c>
      <c r="X609">
        <v>0</v>
      </c>
      <c r="Y609">
        <v>6000577</v>
      </c>
      <c r="Z609">
        <v>3</v>
      </c>
      <c r="AA609">
        <v>27</v>
      </c>
      <c r="AB609" t="str">
        <f>""</f>
        <v/>
      </c>
      <c r="AC609" t="str">
        <f>""</f>
        <v/>
      </c>
      <c r="AD609" t="str">
        <f>""</f>
        <v/>
      </c>
      <c r="AE609">
        <v>2020</v>
      </c>
      <c r="AF609">
        <v>2022</v>
      </c>
      <c r="AG609" t="str">
        <f t="shared" si="119"/>
        <v>Bruz</v>
      </c>
      <c r="AH609" t="str">
        <f t="shared" si="119"/>
        <v>Bruz</v>
      </c>
      <c r="AI609" t="str">
        <f>""</f>
        <v/>
      </c>
      <c r="AJ609" t="str">
        <f>""</f>
        <v/>
      </c>
      <c r="AK609" t="str">
        <f>""</f>
        <v/>
      </c>
      <c r="AL609">
        <v>23</v>
      </c>
      <c r="AM609" t="str">
        <f>""</f>
        <v/>
      </c>
      <c r="AN609" t="str">
        <f>""</f>
        <v/>
      </c>
      <c r="AO609" t="str">
        <f>"Louis Pasteur"</f>
        <v>Louis Pasteur</v>
      </c>
      <c r="AP609" t="str">
        <f>"AVIGNON"</f>
        <v>AVIGNON</v>
      </c>
      <c r="AQ609" t="str">
        <f>"Aix-Marseille"</f>
        <v>Aix-Marseille</v>
      </c>
    </row>
    <row r="610" spans="1:43" x14ac:dyDescent="0.25">
      <c r="A610" t="str">
        <f t="shared" si="120"/>
        <v>3A,3A MKT,T00000,3A Ing</v>
      </c>
      <c r="B610" t="str">
        <f>"HEUYA TCHOUKOUA"</f>
        <v>HEUYA TCHOUKOUA</v>
      </c>
      <c r="C610" t="str">
        <f>"Ingrid"</f>
        <v>Ingrid</v>
      </c>
      <c r="D610" t="str">
        <f>"022-2228"</f>
        <v>022-2228</v>
      </c>
      <c r="E610" t="str">
        <f>"213270935FF"</f>
        <v>213270935FF</v>
      </c>
      <c r="F610" t="str">
        <f t="shared" si="110"/>
        <v>0352480F</v>
      </c>
      <c r="G610" t="str">
        <f t="shared" si="111"/>
        <v>O</v>
      </c>
      <c r="H610">
        <v>10</v>
      </c>
      <c r="I610">
        <v>2000</v>
      </c>
      <c r="J610">
        <v>1</v>
      </c>
      <c r="K610">
        <v>31</v>
      </c>
      <c r="L610">
        <v>0</v>
      </c>
      <c r="M610">
        <v>2017</v>
      </c>
      <c r="N610" t="str">
        <f t="shared" si="113"/>
        <v>E</v>
      </c>
      <c r="O610">
        <v>2</v>
      </c>
      <c r="P610">
        <v>0</v>
      </c>
      <c r="Q610">
        <v>322</v>
      </c>
      <c r="R610">
        <v>100</v>
      </c>
      <c r="S610">
        <v>35000</v>
      </c>
      <c r="T610">
        <v>100</v>
      </c>
      <c r="U610">
        <v>35000</v>
      </c>
      <c r="V610" t="str">
        <f>"Exonéré des droits de scolarité 23-24 par la commission des bourses du 3/10/2023"</f>
        <v>Exonéré des droits de scolarité 23-24 par la commission des bourses du 3/10/2023</v>
      </c>
      <c r="W610">
        <v>0</v>
      </c>
      <c r="X610">
        <v>0</v>
      </c>
      <c r="Y610">
        <v>6000577</v>
      </c>
      <c r="Z610">
        <v>3</v>
      </c>
      <c r="AA610">
        <v>27</v>
      </c>
      <c r="AB610" t="str">
        <f>""</f>
        <v/>
      </c>
      <c r="AC610" t="str">
        <f>""</f>
        <v/>
      </c>
      <c r="AD610" t="str">
        <f>""</f>
        <v/>
      </c>
      <c r="AE610">
        <v>2022</v>
      </c>
      <c r="AF610">
        <v>2022</v>
      </c>
      <c r="AG610" t="str">
        <f>"rennes"</f>
        <v>rennes</v>
      </c>
      <c r="AH610" t="str">
        <f>"rennes"</f>
        <v>rennes</v>
      </c>
      <c r="AI610" t="str">
        <f>""</f>
        <v/>
      </c>
      <c r="AJ610" t="str">
        <f>""</f>
        <v/>
      </c>
      <c r="AK610" t="str">
        <f>""</f>
        <v/>
      </c>
      <c r="AL610">
        <v>0</v>
      </c>
      <c r="AM610" t="str">
        <f>""</f>
        <v/>
      </c>
      <c r="AN610" t="str">
        <f>""</f>
        <v/>
      </c>
      <c r="AO610" t="str">
        <f>"Lycée bilingue de nylon brazzaville"</f>
        <v>Lycée bilingue de nylon brazzaville</v>
      </c>
      <c r="AP610" t="str">
        <f>"DOUALA"</f>
        <v>DOUALA</v>
      </c>
      <c r="AQ610" t="str">
        <f>"Etranger"</f>
        <v>Etranger</v>
      </c>
    </row>
    <row r="611" spans="1:43" x14ac:dyDescent="0.25">
      <c r="A611" t="str">
        <f t="shared" si="120"/>
        <v>3A,3A MKT,T00000,3A Ing</v>
      </c>
      <c r="B611" t="str">
        <f>"HOUACHINE"</f>
        <v>HOUACHINE</v>
      </c>
      <c r="C611" t="str">
        <f>"Rania Hadyle"</f>
        <v>Rania Hadyle</v>
      </c>
      <c r="D611" t="str">
        <f>"022-2195"</f>
        <v>022-2195</v>
      </c>
      <c r="E611" t="str">
        <f>"213163898AE"</f>
        <v>213163898AE</v>
      </c>
      <c r="F611" t="str">
        <f t="shared" si="110"/>
        <v>0352480F</v>
      </c>
      <c r="G611" t="str">
        <f t="shared" si="111"/>
        <v>O</v>
      </c>
      <c r="H611">
        <v>10</v>
      </c>
      <c r="I611">
        <v>2000</v>
      </c>
      <c r="J611">
        <v>2</v>
      </c>
      <c r="K611">
        <v>31</v>
      </c>
      <c r="L611">
        <v>0</v>
      </c>
      <c r="M611">
        <v>2017</v>
      </c>
      <c r="N611" t="str">
        <f t="shared" si="113"/>
        <v>E</v>
      </c>
      <c r="O611">
        <v>2</v>
      </c>
      <c r="P611">
        <v>0</v>
      </c>
      <c r="Q611">
        <v>352</v>
      </c>
      <c r="R611">
        <v>100</v>
      </c>
      <c r="S611">
        <v>35170</v>
      </c>
      <c r="T611">
        <v>100</v>
      </c>
      <c r="U611">
        <v>35170</v>
      </c>
      <c r="V611" t="str">
        <f>"TOEIC passé à l'ENSAI le 22/05/2023 : score 900  Exonérée de ses droits de scolarité par la commission des bourses du 30/10/2023."</f>
        <v>TOEIC passé à l'ENSAI le 22/05/2023 : score 900  Exonérée de ses droits de scolarité par la commission des bourses du 30/10/2023.</v>
      </c>
      <c r="W611">
        <v>31</v>
      </c>
      <c r="X611">
        <v>0</v>
      </c>
      <c r="Y611">
        <v>6000577</v>
      </c>
      <c r="Z611">
        <v>3</v>
      </c>
      <c r="AA611">
        <v>27</v>
      </c>
      <c r="AB611" t="str">
        <f>""</f>
        <v/>
      </c>
      <c r="AC611" t="str">
        <f>""</f>
        <v/>
      </c>
      <c r="AD611" t="str">
        <f>""</f>
        <v/>
      </c>
      <c r="AE611">
        <v>2022</v>
      </c>
      <c r="AF611">
        <v>2022</v>
      </c>
      <c r="AG611" t="str">
        <f>"BRUZ"</f>
        <v>BRUZ</v>
      </c>
      <c r="AH611" t="str">
        <f>"BRUZ"</f>
        <v>BRUZ</v>
      </c>
      <c r="AI611" t="str">
        <f>""</f>
        <v/>
      </c>
      <c r="AJ611" t="str">
        <f>""</f>
        <v/>
      </c>
      <c r="AK611" t="str">
        <f>""</f>
        <v/>
      </c>
      <c r="AL611">
        <v>43</v>
      </c>
      <c r="AM611" t="str">
        <f>""</f>
        <v/>
      </c>
      <c r="AN611" t="str">
        <f>""</f>
        <v/>
      </c>
      <c r="AO611" t="str">
        <f>"Lycée Chouhada Zenache"</f>
        <v>Lycée Chouhada Zenache</v>
      </c>
      <c r="AP611" t="str">
        <f>"BEJAIA"</f>
        <v>BEJAIA</v>
      </c>
      <c r="AQ611" t="str">
        <f>"Etranger"</f>
        <v>Etranger</v>
      </c>
    </row>
    <row r="612" spans="1:43" x14ac:dyDescent="0.25">
      <c r="A612" t="str">
        <f t="shared" si="120"/>
        <v>3A,3A MKT,T00000,3A Ing</v>
      </c>
      <c r="B612" t="str">
        <f>"KOUKI"</f>
        <v>KOUKI</v>
      </c>
      <c r="C612" t="str">
        <f>"Samar"</f>
        <v>Samar</v>
      </c>
      <c r="D612" t="str">
        <f>"023-2407"</f>
        <v>023-2407</v>
      </c>
      <c r="E612" t="str">
        <f>"223391705HB"</f>
        <v>223391705HB</v>
      </c>
      <c r="F612" t="str">
        <f t="shared" si="110"/>
        <v>0352480F</v>
      </c>
      <c r="G612" t="str">
        <f t="shared" si="111"/>
        <v>O</v>
      </c>
      <c r="H612">
        <v>10</v>
      </c>
      <c r="I612">
        <v>2000</v>
      </c>
      <c r="J612">
        <v>2</v>
      </c>
      <c r="K612" t="str">
        <f>""</f>
        <v/>
      </c>
      <c r="L612">
        <v>0</v>
      </c>
      <c r="M612">
        <v>2019</v>
      </c>
      <c r="N612" t="str">
        <f t="shared" si="113"/>
        <v>E</v>
      </c>
      <c r="O612" t="str">
        <f>""</f>
        <v/>
      </c>
      <c r="P612">
        <v>0</v>
      </c>
      <c r="Q612">
        <v>351</v>
      </c>
      <c r="R612">
        <v>100</v>
      </c>
      <c r="S612" t="str">
        <f>"3500"</f>
        <v>3500</v>
      </c>
      <c r="T612">
        <v>100</v>
      </c>
      <c r="U612" t="str">
        <f>"3500"</f>
        <v>3500</v>
      </c>
      <c r="V612" t="str">
        <f>""</f>
        <v/>
      </c>
      <c r="W612">
        <v>0</v>
      </c>
      <c r="X612">
        <v>0</v>
      </c>
      <c r="Y612">
        <v>6000577</v>
      </c>
      <c r="Z612">
        <v>3</v>
      </c>
      <c r="AA612">
        <v>27</v>
      </c>
      <c r="AB612" t="str">
        <f>""</f>
        <v/>
      </c>
      <c r="AC612" t="str">
        <f>""</f>
        <v/>
      </c>
      <c r="AD612" t="str">
        <f>""</f>
        <v/>
      </c>
      <c r="AE612" t="str">
        <f>""</f>
        <v/>
      </c>
      <c r="AF612">
        <v>2023</v>
      </c>
      <c r="AG612" t="str">
        <f>"ennes"</f>
        <v>ennes</v>
      </c>
      <c r="AH612" t="str">
        <f>"ennes"</f>
        <v>ennes</v>
      </c>
      <c r="AI612" t="str">
        <f>""</f>
        <v/>
      </c>
      <c r="AJ612" t="str">
        <f>""</f>
        <v/>
      </c>
      <c r="AK612" t="str">
        <f>""</f>
        <v/>
      </c>
      <c r="AL612">
        <v>0</v>
      </c>
      <c r="AM612" t="str">
        <f>""</f>
        <v/>
      </c>
      <c r="AN612" t="str">
        <f>""</f>
        <v/>
      </c>
      <c r="AO612" t="str">
        <f>""</f>
        <v/>
      </c>
      <c r="AP612" t="str">
        <f>""</f>
        <v/>
      </c>
      <c r="AQ612" t="str">
        <f>"Etranger"</f>
        <v>Etranger</v>
      </c>
    </row>
    <row r="613" spans="1:43" x14ac:dyDescent="0.25">
      <c r="A613" t="str">
        <f t="shared" si="120"/>
        <v>3A,3A MKT,T00000,3A Ing</v>
      </c>
      <c r="B613" t="str">
        <f>"LE"</f>
        <v>LE</v>
      </c>
      <c r="C613" t="str">
        <f>"Louise"</f>
        <v>Louise</v>
      </c>
      <c r="D613" t="str">
        <f>"022-2155"</f>
        <v>022-2155</v>
      </c>
      <c r="E613" t="str">
        <f>"060332692EH"</f>
        <v>060332692EH</v>
      </c>
      <c r="F613" t="str">
        <f t="shared" si="110"/>
        <v>0352480F</v>
      </c>
      <c r="G613" t="str">
        <f t="shared" si="111"/>
        <v>O</v>
      </c>
      <c r="H613">
        <v>10</v>
      </c>
      <c r="I613">
        <v>2000</v>
      </c>
      <c r="J613">
        <v>2</v>
      </c>
      <c r="K613" t="str">
        <f t="shared" ref="K613:K619" si="121">"S"</f>
        <v>S</v>
      </c>
      <c r="L613">
        <v>1</v>
      </c>
      <c r="M613">
        <v>2018</v>
      </c>
      <c r="N613" t="str">
        <f t="shared" si="113"/>
        <v>E</v>
      </c>
      <c r="O613" t="str">
        <f>"N"</f>
        <v>N</v>
      </c>
      <c r="P613">
        <v>0</v>
      </c>
      <c r="Q613">
        <v>100</v>
      </c>
      <c r="R613">
        <v>100</v>
      </c>
      <c r="S613">
        <v>35136</v>
      </c>
      <c r="T613">
        <v>100</v>
      </c>
      <c r="U613">
        <v>35136</v>
      </c>
      <c r="V613" t="str">
        <f>"(TOEIC passé avant d'arriver à l'ENSAI 3//2022 : score 830)  TOEIC passé à l'ENSAI le 22/05/2023 : score 815  TOEIC 2A - 11/04/2024 : 820"</f>
        <v>(TOEIC passé avant d'arriver à l'ENSAI 3//2022 : score 830)  TOEIC passé à l'ENSAI le 22/05/2023 : score 815  TOEIC 2A - 11/04/2024 : 820</v>
      </c>
      <c r="W613">
        <v>46</v>
      </c>
      <c r="X613">
        <v>0</v>
      </c>
      <c r="Y613">
        <v>6000577</v>
      </c>
      <c r="Z613">
        <v>3</v>
      </c>
      <c r="AA613">
        <v>27</v>
      </c>
      <c r="AB613" t="str">
        <f>""</f>
        <v/>
      </c>
      <c r="AC613" t="str">
        <f>""</f>
        <v/>
      </c>
      <c r="AD613" t="str">
        <f>""</f>
        <v/>
      </c>
      <c r="AE613">
        <v>2018</v>
      </c>
      <c r="AF613">
        <v>2022</v>
      </c>
      <c r="AG613" t="str">
        <f>"Saint Jacques de la Lande"</f>
        <v>Saint Jacques de la Lande</v>
      </c>
      <c r="AH613" t="str">
        <f>"Saint Jacques de la Lande"</f>
        <v>Saint Jacques de la Lande</v>
      </c>
      <c r="AI613" t="str">
        <f>""</f>
        <v/>
      </c>
      <c r="AJ613" t="str">
        <f>""</f>
        <v/>
      </c>
      <c r="AK613" t="str">
        <f>""</f>
        <v/>
      </c>
      <c r="AL613">
        <v>31</v>
      </c>
      <c r="AM613" t="str">
        <f>""</f>
        <v/>
      </c>
      <c r="AN613" t="str">
        <f>""</f>
        <v/>
      </c>
      <c r="AO613" t="str">
        <f>"Lycée Hélène Boucher"</f>
        <v>Lycée Hélène Boucher</v>
      </c>
      <c r="AP613" t="str">
        <f>"PARIS"</f>
        <v>PARIS</v>
      </c>
      <c r="AQ613" t="str">
        <f>"Paris"</f>
        <v>Paris</v>
      </c>
    </row>
    <row r="614" spans="1:43" x14ac:dyDescent="0.25">
      <c r="A614" t="str">
        <f t="shared" ref="A614:A619" si="122">"3A,3A MKT,T01850,3A Ing"</f>
        <v>3A,3A MKT,T01850,3A Ing</v>
      </c>
      <c r="B614" t="str">
        <f>"DENONFOUX"</f>
        <v>DENONFOUX</v>
      </c>
      <c r="C614" t="str">
        <f>"Mattis"</f>
        <v>Mattis</v>
      </c>
      <c r="D614" t="str">
        <f>"022-2152"</f>
        <v>022-2152</v>
      </c>
      <c r="E614" t="str">
        <f>"153343575DK"</f>
        <v>153343575DK</v>
      </c>
      <c r="F614" t="str">
        <f t="shared" si="110"/>
        <v>0352480F</v>
      </c>
      <c r="G614" t="str">
        <f t="shared" si="111"/>
        <v>O</v>
      </c>
      <c r="H614">
        <v>10</v>
      </c>
      <c r="I614">
        <v>2000</v>
      </c>
      <c r="J614">
        <v>1</v>
      </c>
      <c r="K614" t="str">
        <f t="shared" si="121"/>
        <v>S</v>
      </c>
      <c r="L614">
        <v>11</v>
      </c>
      <c r="M614">
        <v>2018</v>
      </c>
      <c r="N614" t="str">
        <f t="shared" si="113"/>
        <v>E</v>
      </c>
      <c r="O614" t="str">
        <f>"N"</f>
        <v>N</v>
      </c>
      <c r="P614">
        <v>0</v>
      </c>
      <c r="Q614">
        <v>100</v>
      </c>
      <c r="R614">
        <v>100</v>
      </c>
      <c r="S614">
        <v>35170</v>
      </c>
      <c r="T614">
        <v>100</v>
      </c>
      <c r="U614">
        <v>35170</v>
      </c>
      <c r="V614" t="str">
        <f>"TOEIC 2A - 11/04/2024 : 850"</f>
        <v>TOEIC 2A - 11/04/2024 : 850</v>
      </c>
      <c r="W614">
        <v>22</v>
      </c>
      <c r="X614">
        <v>0</v>
      </c>
      <c r="Y614">
        <v>6000577</v>
      </c>
      <c r="Z614">
        <v>3</v>
      </c>
      <c r="AA614">
        <v>27</v>
      </c>
      <c r="AB614" t="str">
        <f>""</f>
        <v/>
      </c>
      <c r="AC614" t="str">
        <f>""</f>
        <v/>
      </c>
      <c r="AD614" t="str">
        <f>""</f>
        <v/>
      </c>
      <c r="AE614">
        <v>2018</v>
      </c>
      <c r="AF614">
        <v>2022</v>
      </c>
      <c r="AG614" t="str">
        <f>"Bruz"</f>
        <v>Bruz</v>
      </c>
      <c r="AH614" t="str">
        <f>"Bruz"</f>
        <v>Bruz</v>
      </c>
      <c r="AI614" t="str">
        <f>""</f>
        <v/>
      </c>
      <c r="AJ614" t="str">
        <f>""</f>
        <v/>
      </c>
      <c r="AK614" t="str">
        <f>""</f>
        <v/>
      </c>
      <c r="AL614">
        <v>37</v>
      </c>
      <c r="AM614" t="str">
        <f>""</f>
        <v/>
      </c>
      <c r="AN614" t="str">
        <f>""</f>
        <v/>
      </c>
      <c r="AO614" t="str">
        <f>"Philippe Lamour"</f>
        <v>Philippe Lamour</v>
      </c>
      <c r="AP614" t="str">
        <f>"NÎMES"</f>
        <v>NÎMES</v>
      </c>
      <c r="AQ614" t="str">
        <f>"Montpellier"</f>
        <v>Montpellier</v>
      </c>
    </row>
    <row r="615" spans="1:43" x14ac:dyDescent="0.25">
      <c r="A615" t="str">
        <f t="shared" si="122"/>
        <v>3A,3A MKT,T01850,3A Ing</v>
      </c>
      <c r="B615" t="str">
        <f>"GERVILLE-REACHE"</f>
        <v>GERVILLE-REACHE</v>
      </c>
      <c r="C615" t="str">
        <f>"Louis"</f>
        <v>Louis</v>
      </c>
      <c r="D615" t="str">
        <f>"022-2256"</f>
        <v>022-2256</v>
      </c>
      <c r="E615" t="str">
        <f>"090051096BJ"</f>
        <v>090051096BJ</v>
      </c>
      <c r="F615" t="str">
        <f t="shared" si="110"/>
        <v>0352480F</v>
      </c>
      <c r="G615" t="str">
        <f t="shared" si="111"/>
        <v>O</v>
      </c>
      <c r="H615">
        <v>10</v>
      </c>
      <c r="I615">
        <v>2002</v>
      </c>
      <c r="J615">
        <v>1</v>
      </c>
      <c r="K615" t="str">
        <f t="shared" si="121"/>
        <v>S</v>
      </c>
      <c r="L615">
        <v>4</v>
      </c>
      <c r="M615">
        <v>2020</v>
      </c>
      <c r="N615" t="str">
        <f t="shared" si="113"/>
        <v>E</v>
      </c>
      <c r="O615" t="str">
        <f>"D"</f>
        <v>D</v>
      </c>
      <c r="P615">
        <v>0</v>
      </c>
      <c r="Q615">
        <v>100</v>
      </c>
      <c r="R615">
        <v>100</v>
      </c>
      <c r="S615">
        <v>35170</v>
      </c>
      <c r="T615">
        <v>100</v>
      </c>
      <c r="U615">
        <v>35170</v>
      </c>
      <c r="V615" t="str">
        <f>"TOEIC passé à l'ENSAI le 22/05/2023 : score 775"</f>
        <v>TOEIC passé à l'ENSAI le 22/05/2023 : score 775</v>
      </c>
      <c r="W615">
        <v>34</v>
      </c>
      <c r="X615">
        <v>0</v>
      </c>
      <c r="Y615">
        <v>6000577</v>
      </c>
      <c r="Z615">
        <v>3</v>
      </c>
      <c r="AA615">
        <v>27</v>
      </c>
      <c r="AB615" t="str">
        <f>""</f>
        <v/>
      </c>
      <c r="AC615" t="str">
        <f>""</f>
        <v/>
      </c>
      <c r="AD615" t="str">
        <f>""</f>
        <v/>
      </c>
      <c r="AE615">
        <v>2020</v>
      </c>
      <c r="AF615">
        <v>2022</v>
      </c>
      <c r="AG615" t="str">
        <f>"Bruz"</f>
        <v>Bruz</v>
      </c>
      <c r="AH615" t="str">
        <f>"Bruz"</f>
        <v>Bruz</v>
      </c>
      <c r="AI615" t="str">
        <f>""</f>
        <v/>
      </c>
      <c r="AJ615" t="str">
        <f>""</f>
        <v/>
      </c>
      <c r="AK615" t="str">
        <f>""</f>
        <v/>
      </c>
      <c r="AL615">
        <v>42</v>
      </c>
      <c r="AM615" t="str">
        <f>""</f>
        <v/>
      </c>
      <c r="AN615" t="str">
        <f>""</f>
        <v/>
      </c>
      <c r="AO615" t="str">
        <f>"Lycée Max Linder"</f>
        <v>Lycée Max Linder</v>
      </c>
      <c r="AP615" t="str">
        <f>"LIBOURNE"</f>
        <v>LIBOURNE</v>
      </c>
      <c r="AQ615" t="str">
        <f>"Bordeaux"</f>
        <v>Bordeaux</v>
      </c>
    </row>
    <row r="616" spans="1:43" x14ac:dyDescent="0.25">
      <c r="A616" t="str">
        <f t="shared" si="122"/>
        <v>3A,3A MKT,T01850,3A Ing</v>
      </c>
      <c r="B616" t="str">
        <f>"LE DANTEC"</f>
        <v>LE DANTEC</v>
      </c>
      <c r="C616" t="str">
        <f>"Julien"</f>
        <v>Julien</v>
      </c>
      <c r="D616" t="str">
        <f>"022-2264"</f>
        <v>022-2264</v>
      </c>
      <c r="E616" t="str">
        <f>"153228761AF"</f>
        <v>153228761AF</v>
      </c>
      <c r="F616" t="str">
        <f t="shared" si="110"/>
        <v>0352480F</v>
      </c>
      <c r="G616" t="str">
        <f t="shared" si="111"/>
        <v>O</v>
      </c>
      <c r="H616">
        <v>10</v>
      </c>
      <c r="I616">
        <v>2000</v>
      </c>
      <c r="J616">
        <v>1</v>
      </c>
      <c r="K616" t="str">
        <f t="shared" si="121"/>
        <v>S</v>
      </c>
      <c r="L616">
        <v>14</v>
      </c>
      <c r="M616">
        <v>2018</v>
      </c>
      <c r="N616" t="str">
        <f t="shared" si="113"/>
        <v>E</v>
      </c>
      <c r="O616" t="str">
        <f>"D"</f>
        <v>D</v>
      </c>
      <c r="P616">
        <v>0</v>
      </c>
      <c r="Q616">
        <v>100</v>
      </c>
      <c r="R616">
        <v>100</v>
      </c>
      <c r="S616">
        <v>35000</v>
      </c>
      <c r="T616">
        <v>100</v>
      </c>
      <c r="U616">
        <v>35000</v>
      </c>
      <c r="V616" t="str">
        <f>""</f>
        <v/>
      </c>
      <c r="W616">
        <v>38</v>
      </c>
      <c r="X616">
        <v>0</v>
      </c>
      <c r="Y616">
        <v>6000577</v>
      </c>
      <c r="Z616">
        <v>3</v>
      </c>
      <c r="AA616">
        <v>27</v>
      </c>
      <c r="AB616" t="str">
        <f>""</f>
        <v/>
      </c>
      <c r="AC616" t="str">
        <f>""</f>
        <v/>
      </c>
      <c r="AD616" t="str">
        <f>""</f>
        <v/>
      </c>
      <c r="AE616">
        <v>2018</v>
      </c>
      <c r="AF616">
        <v>2022</v>
      </c>
      <c r="AG616" t="str">
        <f>"Rennes"</f>
        <v>Rennes</v>
      </c>
      <c r="AH616" t="str">
        <f>"Rennes"</f>
        <v>Rennes</v>
      </c>
      <c r="AI616" t="str">
        <f>""</f>
        <v/>
      </c>
      <c r="AJ616" t="str">
        <f>""</f>
        <v/>
      </c>
      <c r="AK616" t="str">
        <f>""</f>
        <v/>
      </c>
      <c r="AL616">
        <v>38</v>
      </c>
      <c r="AM616" t="str">
        <f>""</f>
        <v/>
      </c>
      <c r="AN616" t="str">
        <f>""</f>
        <v/>
      </c>
      <c r="AO616" t="str">
        <f>"Lycée Kerichen"</f>
        <v>Lycée Kerichen</v>
      </c>
      <c r="AP616" t="str">
        <f>"BREST"</f>
        <v>BREST</v>
      </c>
      <c r="AQ616" t="str">
        <f>"Rennes"</f>
        <v>Rennes</v>
      </c>
    </row>
    <row r="617" spans="1:43" x14ac:dyDescent="0.25">
      <c r="A617" t="str">
        <f t="shared" si="122"/>
        <v>3A,3A MKT,T01850,3A Ing</v>
      </c>
      <c r="B617" t="str">
        <f>"NOBRE"</f>
        <v>NOBRE</v>
      </c>
      <c r="C617" t="str">
        <f>"Mathieu"</f>
        <v>Mathieu</v>
      </c>
      <c r="D617" t="str">
        <f>"022-2245"</f>
        <v>022-2245</v>
      </c>
      <c r="E617" t="str">
        <f>"070353511AH"</f>
        <v>070353511AH</v>
      </c>
      <c r="F617" t="str">
        <f t="shared" si="110"/>
        <v>0352480F</v>
      </c>
      <c r="G617" t="str">
        <f t="shared" si="111"/>
        <v>O</v>
      </c>
      <c r="H617">
        <v>10</v>
      </c>
      <c r="I617">
        <v>2001</v>
      </c>
      <c r="J617">
        <v>1</v>
      </c>
      <c r="K617" t="str">
        <f t="shared" si="121"/>
        <v>S</v>
      </c>
      <c r="L617">
        <v>25</v>
      </c>
      <c r="M617">
        <v>2019</v>
      </c>
      <c r="N617" t="str">
        <f t="shared" si="113"/>
        <v>E</v>
      </c>
      <c r="O617" t="str">
        <f>"D"</f>
        <v>D</v>
      </c>
      <c r="P617">
        <v>0</v>
      </c>
      <c r="Q617">
        <v>100</v>
      </c>
      <c r="R617">
        <v>100</v>
      </c>
      <c r="S617">
        <v>35000</v>
      </c>
      <c r="T617">
        <v>100</v>
      </c>
      <c r="U617">
        <v>35000</v>
      </c>
      <c r="V617" t="str">
        <f>"TOEIC 2A - 11/04/2024 : 895"</f>
        <v>TOEIC 2A - 11/04/2024 : 895</v>
      </c>
      <c r="W617">
        <v>38</v>
      </c>
      <c r="X617">
        <v>0</v>
      </c>
      <c r="Y617">
        <v>6000577</v>
      </c>
      <c r="Z617">
        <v>3</v>
      </c>
      <c r="AA617">
        <v>27</v>
      </c>
      <c r="AB617" t="str">
        <f>""</f>
        <v/>
      </c>
      <c r="AC617" t="str">
        <f>""</f>
        <v/>
      </c>
      <c r="AD617" t="str">
        <f>""</f>
        <v/>
      </c>
      <c r="AE617">
        <v>2019</v>
      </c>
      <c r="AF617">
        <v>2022</v>
      </c>
      <c r="AG617" t="str">
        <f>"Rennes"</f>
        <v>Rennes</v>
      </c>
      <c r="AH617" t="str">
        <f>"Rennes"</f>
        <v>Rennes</v>
      </c>
      <c r="AI617" t="str">
        <f>""</f>
        <v/>
      </c>
      <c r="AJ617" t="str">
        <f>""</f>
        <v/>
      </c>
      <c r="AK617" t="str">
        <f>""</f>
        <v/>
      </c>
      <c r="AL617">
        <v>38</v>
      </c>
      <c r="AM617" t="str">
        <f>""</f>
        <v/>
      </c>
      <c r="AN617" t="str">
        <f>""</f>
        <v/>
      </c>
      <c r="AO617" t="str">
        <f>"Lycée Jean-Baptiste Corot"</f>
        <v>Lycée Jean-Baptiste Corot</v>
      </c>
      <c r="AP617" t="str">
        <f>"SAVIGNY-SUR-ORGE"</f>
        <v>SAVIGNY-SUR-ORGE</v>
      </c>
      <c r="AQ617" t="str">
        <f>"Versailles"</f>
        <v>Versailles</v>
      </c>
    </row>
    <row r="618" spans="1:43" x14ac:dyDescent="0.25">
      <c r="A618" t="str">
        <f t="shared" si="122"/>
        <v>3A,3A MKT,T01850,3A Ing</v>
      </c>
      <c r="B618" t="str">
        <f>"SERRANO"</f>
        <v>SERRANO</v>
      </c>
      <c r="C618" t="str">
        <f>"Clara"</f>
        <v>Clara</v>
      </c>
      <c r="D618" t="str">
        <f>"022-2157"</f>
        <v>022-2157</v>
      </c>
      <c r="E618" t="str">
        <f>"100827104DB"</f>
        <v>100827104DB</v>
      </c>
      <c r="F618" t="str">
        <f t="shared" si="110"/>
        <v>0352480F</v>
      </c>
      <c r="G618" t="str">
        <f t="shared" si="111"/>
        <v>O</v>
      </c>
      <c r="H618">
        <v>10</v>
      </c>
      <c r="I618">
        <v>2001</v>
      </c>
      <c r="J618">
        <v>2</v>
      </c>
      <c r="K618" t="str">
        <f t="shared" si="121"/>
        <v>S</v>
      </c>
      <c r="L618">
        <v>11</v>
      </c>
      <c r="M618">
        <v>2019</v>
      </c>
      <c r="N618" t="str">
        <f t="shared" si="113"/>
        <v>E</v>
      </c>
      <c r="O618" t="str">
        <f>"N"</f>
        <v>N</v>
      </c>
      <c r="P618">
        <v>0</v>
      </c>
      <c r="Q618">
        <v>100</v>
      </c>
      <c r="R618">
        <v>100</v>
      </c>
      <c r="S618">
        <v>35170</v>
      </c>
      <c r="T618">
        <v>100</v>
      </c>
      <c r="U618">
        <v>35170</v>
      </c>
      <c r="V618" t="str">
        <f>"TOEIC passé à l'ENSAI le 22/05/2023 : score 935"</f>
        <v>TOEIC passé à l'ENSAI le 22/05/2023 : score 935</v>
      </c>
      <c r="W618">
        <v>52</v>
      </c>
      <c r="X618">
        <v>0</v>
      </c>
      <c r="Y618">
        <v>6000577</v>
      </c>
      <c r="Z618">
        <v>3</v>
      </c>
      <c r="AA618">
        <v>27</v>
      </c>
      <c r="AB618" t="str">
        <f>""</f>
        <v/>
      </c>
      <c r="AC618" t="str">
        <f>""</f>
        <v/>
      </c>
      <c r="AD618" t="str">
        <f>""</f>
        <v/>
      </c>
      <c r="AE618">
        <v>2019</v>
      </c>
      <c r="AF618">
        <v>2022</v>
      </c>
      <c r="AG618" t="str">
        <f>"Bruz"</f>
        <v>Bruz</v>
      </c>
      <c r="AH618" t="str">
        <f>"Bruz"</f>
        <v>Bruz</v>
      </c>
      <c r="AI618" t="str">
        <f>""</f>
        <v/>
      </c>
      <c r="AJ618" t="str">
        <f>""</f>
        <v/>
      </c>
      <c r="AK618" t="str">
        <f>""</f>
        <v/>
      </c>
      <c r="AL618">
        <v>43</v>
      </c>
      <c r="AM618" t="str">
        <f>""</f>
        <v/>
      </c>
      <c r="AN618" t="str">
        <f>""</f>
        <v/>
      </c>
      <c r="AO618" t="str">
        <f>"Albert Camus"</f>
        <v>Albert Camus</v>
      </c>
      <c r="AP618" t="str">
        <f>"NÎMES"</f>
        <v>NÎMES</v>
      </c>
      <c r="AQ618" t="str">
        <f>"Montpellier"</f>
        <v>Montpellier</v>
      </c>
    </row>
    <row r="619" spans="1:43" x14ac:dyDescent="0.25">
      <c r="A619" t="str">
        <f t="shared" si="122"/>
        <v>3A,3A MKT,T01850,3A Ing</v>
      </c>
      <c r="B619" t="str">
        <f>"XAVIER"</f>
        <v>XAVIER</v>
      </c>
      <c r="C619" t="str">
        <f>"Stéphane"</f>
        <v>Stéphane</v>
      </c>
      <c r="D619" t="str">
        <f>"022-2284"</f>
        <v>022-2284</v>
      </c>
      <c r="E619" t="str">
        <f>"071005589GA"</f>
        <v>071005589GA</v>
      </c>
      <c r="F619" t="str">
        <f t="shared" si="110"/>
        <v>0352480F</v>
      </c>
      <c r="G619" t="str">
        <f t="shared" si="111"/>
        <v>O</v>
      </c>
      <c r="H619">
        <v>10</v>
      </c>
      <c r="I619">
        <v>2002</v>
      </c>
      <c r="J619">
        <v>1</v>
      </c>
      <c r="K619" t="str">
        <f t="shared" si="121"/>
        <v>S</v>
      </c>
      <c r="L619">
        <v>18</v>
      </c>
      <c r="M619">
        <v>2019</v>
      </c>
      <c r="N619" t="str">
        <f t="shared" si="113"/>
        <v>E</v>
      </c>
      <c r="O619" t="str">
        <f>"D"</f>
        <v>D</v>
      </c>
      <c r="P619">
        <v>0</v>
      </c>
      <c r="Q619">
        <v>100</v>
      </c>
      <c r="R619">
        <v>100</v>
      </c>
      <c r="S619">
        <v>35700</v>
      </c>
      <c r="T619">
        <v>100</v>
      </c>
      <c r="U619">
        <v>35700</v>
      </c>
      <c r="V619" t="str">
        <f>"TOEIC 2A à l'ENSAI 08-01-2024 : 935"</f>
        <v>TOEIC 2A à l'ENSAI 08-01-2024 : 935</v>
      </c>
      <c r="W619">
        <v>38</v>
      </c>
      <c r="X619">
        <v>0</v>
      </c>
      <c r="Y619">
        <v>6000577</v>
      </c>
      <c r="Z619">
        <v>3</v>
      </c>
      <c r="AA619">
        <v>27</v>
      </c>
      <c r="AB619" t="str">
        <f>""</f>
        <v/>
      </c>
      <c r="AC619" t="str">
        <f>""</f>
        <v/>
      </c>
      <c r="AD619" t="str">
        <f>""</f>
        <v/>
      </c>
      <c r="AE619">
        <v>2019</v>
      </c>
      <c r="AF619">
        <v>2022</v>
      </c>
      <c r="AG619" t="str">
        <f>"rennes"</f>
        <v>rennes</v>
      </c>
      <c r="AH619" t="str">
        <f>"rennes"</f>
        <v>rennes</v>
      </c>
      <c r="AI619" t="str">
        <f>""</f>
        <v/>
      </c>
      <c r="AJ619" t="str">
        <f>""</f>
        <v/>
      </c>
      <c r="AK619" t="str">
        <f>""</f>
        <v/>
      </c>
      <c r="AL619">
        <v>99</v>
      </c>
      <c r="AM619" t="str">
        <f>""</f>
        <v/>
      </c>
      <c r="AN619" t="str">
        <f>""</f>
        <v/>
      </c>
      <c r="AO619" t="str">
        <f>"Lycée notre dame"</f>
        <v>Lycée notre dame</v>
      </c>
      <c r="AP619" t="str">
        <f>"CHARTRES"</f>
        <v>CHARTRES</v>
      </c>
      <c r="AQ619" t="str">
        <f>"Orléans-Tours"</f>
        <v>Orléans-Tours</v>
      </c>
    </row>
    <row r="620" spans="1:43" x14ac:dyDescent="0.25">
      <c r="A620" t="str">
        <f>"3A,3A SBio,OFPR,T00000,3A Ing"</f>
        <v>3A,3A SBio,OFPR,T00000,3A Ing</v>
      </c>
      <c r="B620" t="str">
        <f>"ATSAMA AHANDA"</f>
        <v>ATSAMA AHANDA</v>
      </c>
      <c r="C620" t="str">
        <f>"Lianne Cedrique"</f>
        <v>Lianne Cedrique</v>
      </c>
      <c r="D620" t="str">
        <f>"023-2403"</f>
        <v>023-2403</v>
      </c>
      <c r="E620" t="str">
        <f>"223348285DF"</f>
        <v>223348285DF</v>
      </c>
      <c r="F620" t="str">
        <f t="shared" si="110"/>
        <v>0352480F</v>
      </c>
      <c r="G620" t="str">
        <f t="shared" si="111"/>
        <v>O</v>
      </c>
      <c r="H620">
        <v>10</v>
      </c>
      <c r="I620">
        <v>2001</v>
      </c>
      <c r="J620">
        <v>2</v>
      </c>
      <c r="K620" t="str">
        <f>""</f>
        <v/>
      </c>
      <c r="L620" t="str">
        <f>""</f>
        <v/>
      </c>
      <c r="M620" t="str">
        <f>""</f>
        <v/>
      </c>
      <c r="N620" t="str">
        <f t="shared" si="113"/>
        <v>E</v>
      </c>
      <c r="O620" t="str">
        <f>""</f>
        <v/>
      </c>
      <c r="P620">
        <v>0</v>
      </c>
      <c r="Q620">
        <v>322</v>
      </c>
      <c r="R620">
        <v>100</v>
      </c>
      <c r="S620">
        <v>35170</v>
      </c>
      <c r="T620">
        <v>100</v>
      </c>
      <c r="U620">
        <v>35170</v>
      </c>
      <c r="V620" t="str">
        <f>"TOEIC 2A - 11/04/2024 : 580"</f>
        <v>TOEIC 2A - 11/04/2024 : 580</v>
      </c>
      <c r="W620">
        <v>0</v>
      </c>
      <c r="X620">
        <v>0</v>
      </c>
      <c r="Y620">
        <v>6000577</v>
      </c>
      <c r="Z620">
        <v>3</v>
      </c>
      <c r="AA620">
        <v>27</v>
      </c>
      <c r="AB620" t="str">
        <f>""</f>
        <v/>
      </c>
      <c r="AC620" t="str">
        <f>""</f>
        <v/>
      </c>
      <c r="AD620" t="str">
        <f>""</f>
        <v/>
      </c>
      <c r="AE620" t="str">
        <f>""</f>
        <v/>
      </c>
      <c r="AF620">
        <v>2023</v>
      </c>
      <c r="AG620" t="str">
        <f>"Bruz"</f>
        <v>Bruz</v>
      </c>
      <c r="AH620" t="str">
        <f>"Bruz"</f>
        <v>Bruz</v>
      </c>
      <c r="AI620" t="str">
        <f>""</f>
        <v/>
      </c>
      <c r="AJ620" t="str">
        <f>""</f>
        <v/>
      </c>
      <c r="AK620" t="str">
        <f>""</f>
        <v/>
      </c>
      <c r="AL620">
        <v>0</v>
      </c>
      <c r="AM620" t="str">
        <f>""</f>
        <v/>
      </c>
      <c r="AN620" t="str">
        <f>""</f>
        <v/>
      </c>
      <c r="AO620" t="str">
        <f>""</f>
        <v/>
      </c>
      <c r="AP620" t="str">
        <f>""</f>
        <v/>
      </c>
      <c r="AQ620" t="str">
        <f>""</f>
        <v/>
      </c>
    </row>
    <row r="621" spans="1:43" x14ac:dyDescent="0.25">
      <c r="A621" t="str">
        <f>"3A,3A SBio,OFPR,T01850,3A Ing"</f>
        <v>3A,3A SBio,OFPR,T01850,3A Ing</v>
      </c>
      <c r="B621" t="str">
        <f>"KIMMERLING"</f>
        <v>KIMMERLING</v>
      </c>
      <c r="C621" t="str">
        <f>"Véra"</f>
        <v>Véra</v>
      </c>
      <c r="D621" t="str">
        <f>"022-2250"</f>
        <v>022-2250</v>
      </c>
      <c r="E621" t="str">
        <f>"071739496FF"</f>
        <v>071739496FF</v>
      </c>
      <c r="F621" t="str">
        <f t="shared" si="110"/>
        <v>0352480F</v>
      </c>
      <c r="G621" t="str">
        <f t="shared" si="111"/>
        <v>O</v>
      </c>
      <c r="H621">
        <v>10</v>
      </c>
      <c r="I621">
        <v>2003</v>
      </c>
      <c r="J621">
        <v>2</v>
      </c>
      <c r="K621" t="str">
        <f>"S"</f>
        <v>S</v>
      </c>
      <c r="L621">
        <v>2</v>
      </c>
      <c r="M621">
        <v>2020</v>
      </c>
      <c r="N621" t="str">
        <f t="shared" si="113"/>
        <v>E</v>
      </c>
      <c r="O621" t="str">
        <f>"D"</f>
        <v>D</v>
      </c>
      <c r="P621">
        <v>0</v>
      </c>
      <c r="Q621">
        <v>100</v>
      </c>
      <c r="R621">
        <v>100</v>
      </c>
      <c r="S621">
        <v>35000</v>
      </c>
      <c r="T621">
        <v>100</v>
      </c>
      <c r="U621">
        <v>35000</v>
      </c>
      <c r="V621" t="str">
        <f>"TOEIC 2A à l'ENSAI 08-01-2024 : 955"</f>
        <v>TOEIC 2A à l'ENSAI 08-01-2024 : 955</v>
      </c>
      <c r="W621">
        <v>37</v>
      </c>
      <c r="X621">
        <v>0</v>
      </c>
      <c r="Y621">
        <v>6000577</v>
      </c>
      <c r="Z621">
        <v>3</v>
      </c>
      <c r="AA621">
        <v>27</v>
      </c>
      <c r="AB621" t="str">
        <f>""</f>
        <v/>
      </c>
      <c r="AC621" t="str">
        <f>""</f>
        <v/>
      </c>
      <c r="AD621" t="str">
        <f>""</f>
        <v/>
      </c>
      <c r="AE621">
        <v>2020</v>
      </c>
      <c r="AF621">
        <v>2022</v>
      </c>
      <c r="AG621" t="str">
        <f>"Rennes"</f>
        <v>Rennes</v>
      </c>
      <c r="AH621" t="str">
        <f>"Rennes"</f>
        <v>Rennes</v>
      </c>
      <c r="AI621" t="str">
        <f>""</f>
        <v/>
      </c>
      <c r="AJ621" t="str">
        <f>""</f>
        <v/>
      </c>
      <c r="AK621" t="str">
        <f>""</f>
        <v/>
      </c>
      <c r="AL621">
        <v>54</v>
      </c>
      <c r="AM621" t="str">
        <f>""</f>
        <v/>
      </c>
      <c r="AN621" t="str">
        <f>""</f>
        <v/>
      </c>
      <c r="AO621" t="str">
        <f>"Lycée Emile Zola"</f>
        <v>Lycée Emile Zola</v>
      </c>
      <c r="AP621" t="str">
        <f>"AIX-EN-PROVENCE"</f>
        <v>AIX-EN-PROVENCE</v>
      </c>
      <c r="AQ621" t="str">
        <f>"Aix-Marseille"</f>
        <v>Aix-Marseille</v>
      </c>
    </row>
    <row r="622" spans="1:43" x14ac:dyDescent="0.25">
      <c r="A622" t="str">
        <f>"3A,3A SBio,OFPR,T01850,3A Ing"</f>
        <v>3A,3A SBio,OFPR,T01850,3A Ing</v>
      </c>
      <c r="B622" t="str">
        <f>"LORANCHET"</f>
        <v>LORANCHET</v>
      </c>
      <c r="C622" t="str">
        <f>"Timothée"</f>
        <v>Timothée</v>
      </c>
      <c r="D622" t="str">
        <f>"022-2156"</f>
        <v>022-2156</v>
      </c>
      <c r="E622" t="str">
        <f>"071083624BD"</f>
        <v>071083624BD</v>
      </c>
      <c r="F622" t="str">
        <f t="shared" si="110"/>
        <v>0352480F</v>
      </c>
      <c r="G622" t="str">
        <f t="shared" si="111"/>
        <v>O</v>
      </c>
      <c r="H622">
        <v>10</v>
      </c>
      <c r="I622">
        <v>2001</v>
      </c>
      <c r="J622">
        <v>1</v>
      </c>
      <c r="K622" t="str">
        <f>"ES"</f>
        <v>ES</v>
      </c>
      <c r="L622">
        <v>14</v>
      </c>
      <c r="M622">
        <v>2019</v>
      </c>
      <c r="N622" t="str">
        <f t="shared" si="113"/>
        <v>E</v>
      </c>
      <c r="O622" t="str">
        <f>"N"</f>
        <v>N</v>
      </c>
      <c r="P622">
        <v>0</v>
      </c>
      <c r="Q622">
        <v>100</v>
      </c>
      <c r="R622">
        <v>100</v>
      </c>
      <c r="S622">
        <v>35170</v>
      </c>
      <c r="T622">
        <v>100</v>
      </c>
      <c r="U622">
        <v>35170</v>
      </c>
      <c r="V622" t="str">
        <f>"TOEIC avant d'intégrer l'ENSAI le 22/03/2022 à U de B Sud: 875  TOEIC 2A à l'ENSAI 08-01-2024 : 930"</f>
        <v>TOEIC avant d'intégrer l'ENSAI le 22/03/2022 à U de B Sud: 875  TOEIC 2A à l'ENSAI 08-01-2024 : 930</v>
      </c>
      <c r="W622">
        <v>34</v>
      </c>
      <c r="X622">
        <v>0</v>
      </c>
      <c r="Y622">
        <v>6000577</v>
      </c>
      <c r="Z622">
        <v>3</v>
      </c>
      <c r="AA622">
        <v>27</v>
      </c>
      <c r="AB622" t="str">
        <f>""</f>
        <v/>
      </c>
      <c r="AC622" t="str">
        <f>""</f>
        <v/>
      </c>
      <c r="AD622" t="str">
        <f>""</f>
        <v/>
      </c>
      <c r="AE622">
        <v>2019</v>
      </c>
      <c r="AF622">
        <v>2022</v>
      </c>
      <c r="AG622" t="str">
        <f>"Bruz"</f>
        <v>Bruz</v>
      </c>
      <c r="AH622" t="str">
        <f>"Bruz"</f>
        <v>Bruz</v>
      </c>
      <c r="AI622" t="str">
        <f>""</f>
        <v/>
      </c>
      <c r="AJ622" t="str">
        <f>""</f>
        <v/>
      </c>
      <c r="AK622" t="str">
        <f>""</f>
        <v/>
      </c>
      <c r="AL622">
        <v>34</v>
      </c>
      <c r="AM622" t="str">
        <f>""</f>
        <v/>
      </c>
      <c r="AN622" t="str">
        <f>""</f>
        <v/>
      </c>
      <c r="AO622" t="str">
        <f>"Saint Louis"</f>
        <v>Saint Louis</v>
      </c>
      <c r="AP622" t="str">
        <f>"LORIENT"</f>
        <v>LORIENT</v>
      </c>
      <c r="AQ622" t="str">
        <f>"Rennes"</f>
        <v>Rennes</v>
      </c>
    </row>
    <row r="623" spans="1:43" x14ac:dyDescent="0.25">
      <c r="A623" t="str">
        <f>"3A,3A SBio,OFPR,T01850,3A Ing"</f>
        <v>3A,3A SBio,OFPR,T01850,3A Ing</v>
      </c>
      <c r="B623" t="str">
        <f>"VIELLARD"</f>
        <v>VIELLARD</v>
      </c>
      <c r="C623" t="str">
        <f>"Térence"</f>
        <v>Térence</v>
      </c>
      <c r="D623" t="str">
        <f>"022-2214"</f>
        <v>022-2214</v>
      </c>
      <c r="E623" t="str">
        <f>"081699237JA"</f>
        <v>081699237JA</v>
      </c>
      <c r="F623" t="str">
        <f t="shared" si="110"/>
        <v>0352480F</v>
      </c>
      <c r="G623" t="str">
        <f t="shared" si="111"/>
        <v>O</v>
      </c>
      <c r="H623">
        <v>10</v>
      </c>
      <c r="I623">
        <v>2002</v>
      </c>
      <c r="J623">
        <v>1</v>
      </c>
      <c r="K623" t="str">
        <f>"S"</f>
        <v>S</v>
      </c>
      <c r="L623">
        <v>23</v>
      </c>
      <c r="M623">
        <v>2020</v>
      </c>
      <c r="N623" t="str">
        <f t="shared" si="113"/>
        <v>E</v>
      </c>
      <c r="O623" t="str">
        <f>"D"</f>
        <v>D</v>
      </c>
      <c r="P623">
        <v>0</v>
      </c>
      <c r="Q623">
        <v>100</v>
      </c>
      <c r="R623">
        <v>100</v>
      </c>
      <c r="S623">
        <v>35170</v>
      </c>
      <c r="T623">
        <v>100</v>
      </c>
      <c r="U623">
        <v>35170</v>
      </c>
      <c r="V623" t="str">
        <f>"TOEIC passé à l'ENSAI le 22/05/2023 : score 980"</f>
        <v>TOEIC passé à l'ENSAI le 22/05/2023 : score 980</v>
      </c>
      <c r="W623">
        <v>33</v>
      </c>
      <c r="X623">
        <v>0</v>
      </c>
      <c r="Y623">
        <v>6000577</v>
      </c>
      <c r="Z623">
        <v>3</v>
      </c>
      <c r="AA623">
        <v>27</v>
      </c>
      <c r="AB623" t="str">
        <f>""</f>
        <v/>
      </c>
      <c r="AC623" t="str">
        <f>""</f>
        <v/>
      </c>
      <c r="AD623" t="str">
        <f>""</f>
        <v/>
      </c>
      <c r="AE623">
        <v>2020</v>
      </c>
      <c r="AF623">
        <v>2022</v>
      </c>
      <c r="AG623" t="str">
        <f>"Bruz"</f>
        <v>Bruz</v>
      </c>
      <c r="AH623" t="str">
        <f>"Bruz"</f>
        <v>Bruz</v>
      </c>
      <c r="AI623" t="str">
        <f>""</f>
        <v/>
      </c>
      <c r="AJ623" t="str">
        <f>""</f>
        <v/>
      </c>
      <c r="AK623" t="str">
        <f>""</f>
        <v/>
      </c>
      <c r="AL623">
        <v>34</v>
      </c>
      <c r="AM623" t="str">
        <f>""</f>
        <v/>
      </c>
      <c r="AN623" t="str">
        <f>""</f>
        <v/>
      </c>
      <c r="AO623" t="str">
        <f>"Lycée Calmette"</f>
        <v>Lycée Calmette</v>
      </c>
      <c r="AP623" t="str">
        <f>"NICE"</f>
        <v>NICE</v>
      </c>
      <c r="AQ623" t="str">
        <f>"Nice"</f>
        <v>Nice</v>
      </c>
    </row>
    <row r="624" spans="1:43" x14ac:dyDescent="0.25">
      <c r="A624" t="str">
        <f>"3A,3A SBio,T00000"</f>
        <v>3A,3A SBio,T00000</v>
      </c>
      <c r="B624" t="str">
        <f>"LI"</f>
        <v>LI</v>
      </c>
      <c r="C624" t="str">
        <f>"Jihao"</f>
        <v>Jihao</v>
      </c>
      <c r="D624" t="str">
        <f>"024-2684"</f>
        <v>024-2684</v>
      </c>
      <c r="E624" t="str">
        <f>"233407964DC"</f>
        <v>233407964DC</v>
      </c>
      <c r="F624" t="str">
        <f t="shared" si="110"/>
        <v>0352480F</v>
      </c>
      <c r="G624" t="str">
        <f t="shared" si="111"/>
        <v>O</v>
      </c>
      <c r="H624">
        <v>10</v>
      </c>
      <c r="I624">
        <v>2001</v>
      </c>
      <c r="J624">
        <v>1</v>
      </c>
      <c r="K624" t="str">
        <f>""</f>
        <v/>
      </c>
      <c r="L624" t="str">
        <f>""</f>
        <v/>
      </c>
      <c r="M624" t="str">
        <f>""</f>
        <v/>
      </c>
      <c r="N624" t="str">
        <f>""</f>
        <v/>
      </c>
      <c r="O624">
        <v>2</v>
      </c>
      <c r="P624">
        <v>0</v>
      </c>
      <c r="Q624">
        <v>216</v>
      </c>
      <c r="R624">
        <v>100</v>
      </c>
      <c r="S624" t="str">
        <f>""</f>
        <v/>
      </c>
      <c r="T624">
        <v>100</v>
      </c>
      <c r="U624" t="str">
        <f>""</f>
        <v/>
      </c>
      <c r="V624" t="str">
        <f>""</f>
        <v/>
      </c>
      <c r="W624">
        <v>33</v>
      </c>
      <c r="X624">
        <v>0</v>
      </c>
      <c r="Y624">
        <v>6000577</v>
      </c>
      <c r="Z624">
        <v>3</v>
      </c>
      <c r="AA624">
        <v>27</v>
      </c>
      <c r="AB624" t="str">
        <f>""</f>
        <v/>
      </c>
      <c r="AC624" t="str">
        <f>""</f>
        <v/>
      </c>
      <c r="AD624" t="str">
        <f>""</f>
        <v/>
      </c>
      <c r="AE624">
        <v>2024</v>
      </c>
      <c r="AF624">
        <v>2024</v>
      </c>
      <c r="AG624" t="str">
        <f>""</f>
        <v/>
      </c>
      <c r="AH624" t="str">
        <f>""</f>
        <v/>
      </c>
      <c r="AI624" t="str">
        <f>""</f>
        <v/>
      </c>
      <c r="AJ624" t="str">
        <f>""</f>
        <v/>
      </c>
      <c r="AK624" t="str">
        <f>""</f>
        <v/>
      </c>
      <c r="AL624">
        <v>34</v>
      </c>
      <c r="AM624" t="str">
        <f>""</f>
        <v/>
      </c>
      <c r="AN624" t="str">
        <f>""</f>
        <v/>
      </c>
      <c r="AO624" t="str">
        <f>""</f>
        <v/>
      </c>
      <c r="AP624" t="str">
        <f>""</f>
        <v/>
      </c>
      <c r="AQ624" t="str">
        <f>""</f>
        <v/>
      </c>
    </row>
    <row r="625" spans="1:43" x14ac:dyDescent="0.25">
      <c r="A625" t="str">
        <f>"3A,3A SBio,T00000,3A Ing"</f>
        <v>3A,3A SBio,T00000,3A Ing</v>
      </c>
      <c r="B625" t="str">
        <f>"BOUBET"</f>
        <v>BOUBET</v>
      </c>
      <c r="C625" t="str">
        <f>"Sophie"</f>
        <v>Sophie</v>
      </c>
      <c r="D625" t="str">
        <f>"022-2243"</f>
        <v>022-2243</v>
      </c>
      <c r="E625" t="str">
        <f>"060420353HE"</f>
        <v>060420353HE</v>
      </c>
      <c r="F625" t="str">
        <f t="shared" si="110"/>
        <v>0352480F</v>
      </c>
      <c r="G625" t="str">
        <f t="shared" si="111"/>
        <v>O</v>
      </c>
      <c r="H625">
        <v>10</v>
      </c>
      <c r="I625">
        <v>2002</v>
      </c>
      <c r="J625">
        <v>2</v>
      </c>
      <c r="K625" t="str">
        <f t="shared" ref="K625:K631" si="123">"S"</f>
        <v>S</v>
      </c>
      <c r="L625">
        <v>1</v>
      </c>
      <c r="M625">
        <v>2020</v>
      </c>
      <c r="N625" t="str">
        <f t="shared" ref="N625:N635" si="124">"E"</f>
        <v>E</v>
      </c>
      <c r="O625" t="str">
        <f>"D"</f>
        <v>D</v>
      </c>
      <c r="P625">
        <v>0</v>
      </c>
      <c r="Q625">
        <v>100</v>
      </c>
      <c r="R625">
        <v>100</v>
      </c>
      <c r="S625">
        <v>35700</v>
      </c>
      <c r="T625">
        <v>100</v>
      </c>
      <c r="U625">
        <v>35700</v>
      </c>
      <c r="V625" t="str">
        <f>""</f>
        <v/>
      </c>
      <c r="W625">
        <v>33</v>
      </c>
      <c r="X625">
        <v>0</v>
      </c>
      <c r="Y625">
        <v>6000577</v>
      </c>
      <c r="Z625">
        <v>3</v>
      </c>
      <c r="AA625">
        <v>27</v>
      </c>
      <c r="AB625" t="str">
        <f>""</f>
        <v/>
      </c>
      <c r="AC625" t="str">
        <f>""</f>
        <v/>
      </c>
      <c r="AD625" t="str">
        <f>""</f>
        <v/>
      </c>
      <c r="AE625">
        <v>2020</v>
      </c>
      <c r="AF625">
        <v>2022</v>
      </c>
      <c r="AG625" t="str">
        <f>"Rennes"</f>
        <v>Rennes</v>
      </c>
      <c r="AH625" t="str">
        <f>"Rennes"</f>
        <v>Rennes</v>
      </c>
      <c r="AI625" t="str">
        <f>""</f>
        <v/>
      </c>
      <c r="AJ625" t="str">
        <f>""</f>
        <v/>
      </c>
      <c r="AK625" t="str">
        <f>""</f>
        <v/>
      </c>
      <c r="AL625">
        <v>33</v>
      </c>
      <c r="AM625" t="str">
        <f>""</f>
        <v/>
      </c>
      <c r="AN625" t="str">
        <f>""</f>
        <v/>
      </c>
      <c r="AO625" t="str">
        <f>"Lycée Turgot"</f>
        <v>Lycée Turgot</v>
      </c>
      <c r="AP625" t="str">
        <f>"PARIS"</f>
        <v>PARIS</v>
      </c>
      <c r="AQ625" t="str">
        <f>"Paris"</f>
        <v>Paris</v>
      </c>
    </row>
    <row r="626" spans="1:43" x14ac:dyDescent="0.25">
      <c r="A626" t="str">
        <f>"3A,3A SBio,T00000,3A Ing"</f>
        <v>3A,3A SBio,T00000,3A Ing</v>
      </c>
      <c r="B626" t="str">
        <f>"KEMPF"</f>
        <v>KEMPF</v>
      </c>
      <c r="C626" t="str">
        <f>"Florine"</f>
        <v>Florine</v>
      </c>
      <c r="D626" t="str">
        <f>"022-2149"</f>
        <v>022-2149</v>
      </c>
      <c r="E626" t="str">
        <f>"071150095JE"</f>
        <v>071150095JE</v>
      </c>
      <c r="F626" t="str">
        <f t="shared" si="110"/>
        <v>0352480F</v>
      </c>
      <c r="G626" t="str">
        <f t="shared" si="111"/>
        <v>O</v>
      </c>
      <c r="H626">
        <v>10</v>
      </c>
      <c r="I626">
        <v>2003</v>
      </c>
      <c r="J626">
        <v>2</v>
      </c>
      <c r="K626" t="str">
        <f t="shared" si="123"/>
        <v>S</v>
      </c>
      <c r="L626">
        <v>15</v>
      </c>
      <c r="M626">
        <v>2020</v>
      </c>
      <c r="N626" t="str">
        <f t="shared" si="124"/>
        <v>E</v>
      </c>
      <c r="O626" t="str">
        <f>"C"</f>
        <v>C</v>
      </c>
      <c r="P626">
        <v>0</v>
      </c>
      <c r="Q626">
        <v>100</v>
      </c>
      <c r="R626">
        <v>100</v>
      </c>
      <c r="S626">
        <v>35131</v>
      </c>
      <c r="T626">
        <v>100</v>
      </c>
      <c r="U626">
        <v>35131</v>
      </c>
      <c r="V626" t="str">
        <f>""</f>
        <v/>
      </c>
      <c r="W626">
        <v>48</v>
      </c>
      <c r="X626">
        <v>0</v>
      </c>
      <c r="Y626">
        <v>6000577</v>
      </c>
      <c r="Z626">
        <v>3</v>
      </c>
      <c r="AA626">
        <v>27</v>
      </c>
      <c r="AB626" t="str">
        <f>""</f>
        <v/>
      </c>
      <c r="AC626" t="str">
        <f>""</f>
        <v/>
      </c>
      <c r="AD626" t="str">
        <f>""</f>
        <v/>
      </c>
      <c r="AE626">
        <v>2020</v>
      </c>
      <c r="AF626">
        <v>2022</v>
      </c>
      <c r="AG626" t="str">
        <f>"Chartres-de-Bretagne"</f>
        <v>Chartres-de-Bretagne</v>
      </c>
      <c r="AH626" t="str">
        <f>"Chartres-de-Bretagne"</f>
        <v>Chartres-de-Bretagne</v>
      </c>
      <c r="AI626" t="str">
        <f>""</f>
        <v/>
      </c>
      <c r="AJ626" t="str">
        <f>""</f>
        <v/>
      </c>
      <c r="AK626" t="str">
        <f>""</f>
        <v/>
      </c>
      <c r="AL626">
        <v>54</v>
      </c>
      <c r="AM626" t="str">
        <f>""</f>
        <v/>
      </c>
      <c r="AN626" t="str">
        <f>""</f>
        <v/>
      </c>
      <c r="AO626" t="str">
        <f>"Heinrich-Nessel"</f>
        <v>Heinrich-Nessel</v>
      </c>
      <c r="AP626" t="str">
        <f>"HAGUENAU"</f>
        <v>HAGUENAU</v>
      </c>
      <c r="AQ626" t="str">
        <f>"Strasbourg"</f>
        <v>Strasbourg</v>
      </c>
    </row>
    <row r="627" spans="1:43" x14ac:dyDescent="0.25">
      <c r="A627" t="str">
        <f>"3A,3A SBio,T00000,3A Ing"</f>
        <v>3A,3A SBio,T00000,3A Ing</v>
      </c>
      <c r="B627" t="str">
        <f>"SAMBO BESSO OUADENA"</f>
        <v>SAMBO BESSO OUADENA</v>
      </c>
      <c r="C627" t="str">
        <f>"Francisca"</f>
        <v>Francisca</v>
      </c>
      <c r="D627" t="str">
        <f>"022-2249"</f>
        <v>022-2249</v>
      </c>
      <c r="E627" t="str">
        <f>"071734053GG"</f>
        <v>071734053GG</v>
      </c>
      <c r="F627" t="str">
        <f t="shared" si="110"/>
        <v>0352480F</v>
      </c>
      <c r="G627" t="str">
        <f t="shared" si="111"/>
        <v>O</v>
      </c>
      <c r="H627">
        <v>10</v>
      </c>
      <c r="I627">
        <v>2001</v>
      </c>
      <c r="J627">
        <v>2</v>
      </c>
      <c r="K627" t="str">
        <f t="shared" si="123"/>
        <v>S</v>
      </c>
      <c r="L627">
        <v>10</v>
      </c>
      <c r="M627">
        <v>2019</v>
      </c>
      <c r="N627" t="str">
        <f t="shared" si="124"/>
        <v>E</v>
      </c>
      <c r="O627" t="str">
        <f>"A"</f>
        <v>A</v>
      </c>
      <c r="P627">
        <v>0</v>
      </c>
      <c r="Q627">
        <v>100</v>
      </c>
      <c r="R627">
        <v>100</v>
      </c>
      <c r="S627">
        <v>35700</v>
      </c>
      <c r="T627">
        <v>100</v>
      </c>
      <c r="U627">
        <v>35700</v>
      </c>
      <c r="V627" t="str">
        <f>"TOEIC 2A - 11/04/2024 : 840"</f>
        <v>TOEIC 2A - 11/04/2024 : 840</v>
      </c>
      <c r="W627">
        <v>99</v>
      </c>
      <c r="X627">
        <v>0</v>
      </c>
      <c r="Y627">
        <v>6000577</v>
      </c>
      <c r="Z627">
        <v>3</v>
      </c>
      <c r="AA627">
        <v>27</v>
      </c>
      <c r="AB627" t="str">
        <f>""</f>
        <v/>
      </c>
      <c r="AC627" t="str">
        <f>""</f>
        <v/>
      </c>
      <c r="AD627" t="str">
        <f>""</f>
        <v/>
      </c>
      <c r="AE627">
        <v>2019</v>
      </c>
      <c r="AF627">
        <v>2022</v>
      </c>
      <c r="AG627" t="str">
        <f>"Rennes"</f>
        <v>Rennes</v>
      </c>
      <c r="AH627" t="str">
        <f>"Rennes"</f>
        <v>Rennes</v>
      </c>
      <c r="AI627" t="str">
        <f>""</f>
        <v/>
      </c>
      <c r="AJ627" t="str">
        <f>""</f>
        <v/>
      </c>
      <c r="AK627" t="str">
        <f>""</f>
        <v/>
      </c>
      <c r="AL627">
        <v>0</v>
      </c>
      <c r="AM627" t="str">
        <f>""</f>
        <v/>
      </c>
      <c r="AN627" t="str">
        <f>""</f>
        <v/>
      </c>
      <c r="AO627" t="str">
        <f>"Lycée la cotière"</f>
        <v>Lycée la cotière</v>
      </c>
      <c r="AP627" t="str">
        <f>"LA BOISSE"</f>
        <v>LA BOISSE</v>
      </c>
      <c r="AQ627" t="str">
        <f>"Lyon"</f>
        <v>Lyon</v>
      </c>
    </row>
    <row r="628" spans="1:43" x14ac:dyDescent="0.25">
      <c r="A628" t="str">
        <f>"3A,3A SBio,T00000,3A Ing"</f>
        <v>3A,3A SBio,T00000,3A Ing</v>
      </c>
      <c r="B628" t="str">
        <f>"TRAORE"</f>
        <v>TRAORE</v>
      </c>
      <c r="C628" t="str">
        <f>"Néné"</f>
        <v>Néné</v>
      </c>
      <c r="D628" t="str">
        <f>"022-2145"</f>
        <v>022-2145</v>
      </c>
      <c r="E628" t="str">
        <f>"090945528CD"</f>
        <v>090945528CD</v>
      </c>
      <c r="F628" t="str">
        <f t="shared" si="110"/>
        <v>0352480F</v>
      </c>
      <c r="G628" t="str">
        <f t="shared" si="111"/>
        <v>O</v>
      </c>
      <c r="H628">
        <v>10</v>
      </c>
      <c r="I628">
        <v>2001</v>
      </c>
      <c r="J628">
        <v>2</v>
      </c>
      <c r="K628" t="str">
        <f t="shared" si="123"/>
        <v>S</v>
      </c>
      <c r="L628">
        <v>25</v>
      </c>
      <c r="M628">
        <v>2019</v>
      </c>
      <c r="N628" t="str">
        <f t="shared" si="124"/>
        <v>E</v>
      </c>
      <c r="O628" t="str">
        <f>"C"</f>
        <v>C</v>
      </c>
      <c r="P628">
        <v>0</v>
      </c>
      <c r="Q628">
        <v>100</v>
      </c>
      <c r="R628">
        <v>100</v>
      </c>
      <c r="S628">
        <v>35170</v>
      </c>
      <c r="T628">
        <v>100</v>
      </c>
      <c r="U628">
        <v>35170</v>
      </c>
      <c r="V628" t="str">
        <f>"TOEIC 2A - 11/04/2024 : 815"</f>
        <v>TOEIC 2A - 11/04/2024 : 815</v>
      </c>
      <c r="W628">
        <v>52</v>
      </c>
      <c r="X628">
        <v>0</v>
      </c>
      <c r="Y628">
        <v>6000577</v>
      </c>
      <c r="Z628">
        <v>3</v>
      </c>
      <c r="AA628">
        <v>27</v>
      </c>
      <c r="AB628" t="str">
        <f>""</f>
        <v/>
      </c>
      <c r="AC628" t="str">
        <f>""</f>
        <v/>
      </c>
      <c r="AD628" t="str">
        <f>""</f>
        <v/>
      </c>
      <c r="AE628">
        <v>2019</v>
      </c>
      <c r="AF628">
        <v>2022</v>
      </c>
      <c r="AG628" t="str">
        <f>"Bruz"</f>
        <v>Bruz</v>
      </c>
      <c r="AH628" t="str">
        <f>"Bruz"</f>
        <v>Bruz</v>
      </c>
      <c r="AI628" t="str">
        <f>""</f>
        <v/>
      </c>
      <c r="AJ628" t="str">
        <f>""</f>
        <v/>
      </c>
      <c r="AK628" t="str">
        <f>""</f>
        <v/>
      </c>
      <c r="AL628">
        <v>61</v>
      </c>
      <c r="AM628" t="str">
        <f>""</f>
        <v/>
      </c>
      <c r="AN628" t="str">
        <f>""</f>
        <v/>
      </c>
      <c r="AO628" t="str">
        <f>"René Cassin"</f>
        <v>René Cassin</v>
      </c>
      <c r="AP628" t="str">
        <f>"GONESSE"</f>
        <v>GONESSE</v>
      </c>
      <c r="AQ628" t="str">
        <f>"Versailles"</f>
        <v>Versailles</v>
      </c>
    </row>
    <row r="629" spans="1:43" x14ac:dyDescent="0.25">
      <c r="A629" t="str">
        <f>"3A,3A SBio,T01850,3A Ing"</f>
        <v>3A,3A SBio,T01850,3A Ing</v>
      </c>
      <c r="B629" t="str">
        <f>"COURRENT"</f>
        <v>COURRENT</v>
      </c>
      <c r="C629" t="str">
        <f>"Arnaud"</f>
        <v>Arnaud</v>
      </c>
      <c r="D629" t="str">
        <f>"022-2143"</f>
        <v>022-2143</v>
      </c>
      <c r="E629" t="str">
        <f>"070594791GD"</f>
        <v>070594791GD</v>
      </c>
      <c r="F629" t="str">
        <f t="shared" si="110"/>
        <v>0352480F</v>
      </c>
      <c r="G629" t="str">
        <f t="shared" si="111"/>
        <v>O</v>
      </c>
      <c r="H629">
        <v>10</v>
      </c>
      <c r="I629">
        <v>2001</v>
      </c>
      <c r="J629">
        <v>1</v>
      </c>
      <c r="K629" t="str">
        <f t="shared" si="123"/>
        <v>S</v>
      </c>
      <c r="L629">
        <v>11</v>
      </c>
      <c r="M629">
        <v>2019</v>
      </c>
      <c r="N629" t="str">
        <f t="shared" si="124"/>
        <v>E</v>
      </c>
      <c r="O629" t="str">
        <f>"C"</f>
        <v>C</v>
      </c>
      <c r="P629">
        <v>0</v>
      </c>
      <c r="Q629">
        <v>100</v>
      </c>
      <c r="R629">
        <v>100</v>
      </c>
      <c r="S629">
        <v>35000</v>
      </c>
      <c r="T629">
        <v>100</v>
      </c>
      <c r="U629">
        <v>35000</v>
      </c>
      <c r="V629" t="str">
        <f>"TOEIC passé à l'extérieur avant d'arriver à l'ENSAI le 18/06/2022 : 890  TOEIC passé à l'ENSAI le 22/05/2023 : score 960"</f>
        <v>TOEIC passé à l'extérieur avant d'arriver à l'ENSAI le 18/06/2022 : 890  TOEIC passé à l'ENSAI le 22/05/2023 : score 960</v>
      </c>
      <c r="W629">
        <v>31</v>
      </c>
      <c r="X629">
        <v>0</v>
      </c>
      <c r="Y629">
        <v>6000577</v>
      </c>
      <c r="Z629">
        <v>3</v>
      </c>
      <c r="AA629">
        <v>27</v>
      </c>
      <c r="AB629" t="str">
        <f>""</f>
        <v/>
      </c>
      <c r="AC629" t="str">
        <f>""</f>
        <v/>
      </c>
      <c r="AD629" t="str">
        <f>""</f>
        <v/>
      </c>
      <c r="AE629">
        <v>2019</v>
      </c>
      <c r="AF629">
        <v>2022</v>
      </c>
      <c r="AG629" t="str">
        <f>"Rennes"</f>
        <v>Rennes</v>
      </c>
      <c r="AH629" t="str">
        <f>"Rennes"</f>
        <v>Rennes</v>
      </c>
      <c r="AI629" t="str">
        <f>""</f>
        <v/>
      </c>
      <c r="AJ629" t="str">
        <f>""</f>
        <v/>
      </c>
      <c r="AK629" t="str">
        <f>""</f>
        <v/>
      </c>
      <c r="AL629">
        <v>34</v>
      </c>
      <c r="AM629" t="str">
        <f>""</f>
        <v/>
      </c>
      <c r="AN629" t="str">
        <f>""</f>
        <v/>
      </c>
      <c r="AO629" t="str">
        <f>"Louise Michel"</f>
        <v>Louise Michel</v>
      </c>
      <c r="AP629" t="str">
        <f>"NARBONNE"</f>
        <v>NARBONNE</v>
      </c>
      <c r="AQ629" t="str">
        <f>"Montpellier"</f>
        <v>Montpellier</v>
      </c>
    </row>
    <row r="630" spans="1:43" x14ac:dyDescent="0.25">
      <c r="A630" t="str">
        <f>"3A,3A SBio,T01850,3A Ing"</f>
        <v>3A,3A SBio,T01850,3A Ing</v>
      </c>
      <c r="B630" t="str">
        <f>"CROXO"</f>
        <v>CROXO</v>
      </c>
      <c r="C630" t="str">
        <f>"Antoine"</f>
        <v>Antoine</v>
      </c>
      <c r="D630" t="str">
        <f>"022-2279"</f>
        <v>022-2279</v>
      </c>
      <c r="E630" t="str">
        <f>"072046700FA"</f>
        <v>072046700FA</v>
      </c>
      <c r="F630" t="str">
        <f t="shared" si="110"/>
        <v>0352480F</v>
      </c>
      <c r="G630" t="str">
        <f t="shared" si="111"/>
        <v>O</v>
      </c>
      <c r="H630">
        <v>10</v>
      </c>
      <c r="I630">
        <v>2003</v>
      </c>
      <c r="J630">
        <v>1</v>
      </c>
      <c r="K630" t="str">
        <f t="shared" si="123"/>
        <v>S</v>
      </c>
      <c r="L630">
        <v>9</v>
      </c>
      <c r="M630">
        <v>2020</v>
      </c>
      <c r="N630" t="str">
        <f t="shared" si="124"/>
        <v>E</v>
      </c>
      <c r="O630" t="str">
        <f>"D"</f>
        <v>D</v>
      </c>
      <c r="P630">
        <v>0</v>
      </c>
      <c r="Q630">
        <v>100</v>
      </c>
      <c r="R630">
        <v>100</v>
      </c>
      <c r="S630">
        <v>35170</v>
      </c>
      <c r="T630">
        <v>100</v>
      </c>
      <c r="U630">
        <v>35170</v>
      </c>
      <c r="V630" t="str">
        <f>"TOEIC passé à l'ENSAI le 22/05/2023 : score 970"</f>
        <v>TOEIC passé à l'ENSAI le 22/05/2023 : score 970</v>
      </c>
      <c r="W630">
        <v>42</v>
      </c>
      <c r="X630">
        <v>0</v>
      </c>
      <c r="Y630">
        <v>6000577</v>
      </c>
      <c r="Z630">
        <v>3</v>
      </c>
      <c r="AA630">
        <v>27</v>
      </c>
      <c r="AB630" t="str">
        <f>""</f>
        <v/>
      </c>
      <c r="AC630" t="str">
        <f>""</f>
        <v/>
      </c>
      <c r="AD630" t="str">
        <f>""</f>
        <v/>
      </c>
      <c r="AE630">
        <v>2020</v>
      </c>
      <c r="AF630">
        <v>2022</v>
      </c>
      <c r="AG630" t="str">
        <f>"BRUZ"</f>
        <v>BRUZ</v>
      </c>
      <c r="AH630" t="str">
        <f>"BRUZ"</f>
        <v>BRUZ</v>
      </c>
      <c r="AI630" t="str">
        <f>""</f>
        <v/>
      </c>
      <c r="AJ630" t="str">
        <f>""</f>
        <v/>
      </c>
      <c r="AK630" t="str">
        <f>""</f>
        <v/>
      </c>
      <c r="AL630">
        <v>42</v>
      </c>
      <c r="AM630" t="str">
        <f>""</f>
        <v/>
      </c>
      <c r="AN630" t="str">
        <f>""</f>
        <v/>
      </c>
      <c r="AO630" t="str">
        <f>"Lycée Diderot"</f>
        <v>Lycée Diderot</v>
      </c>
      <c r="AP630" t="str">
        <f>"CARVIN"</f>
        <v>CARVIN</v>
      </c>
      <c r="AQ630" t="str">
        <f>"Lille"</f>
        <v>Lille</v>
      </c>
    </row>
    <row r="631" spans="1:43" x14ac:dyDescent="0.25">
      <c r="A631" t="str">
        <f>"3A,3A SBio,T01850,3A Ing"</f>
        <v>3A,3A SBio,T01850,3A Ing</v>
      </c>
      <c r="B631" t="str">
        <f>"EPINEAU"</f>
        <v>EPINEAU</v>
      </c>
      <c r="C631" t="str">
        <f>"Camille"</f>
        <v>Camille</v>
      </c>
      <c r="D631" t="str">
        <f>"022-2153"</f>
        <v>022-2153</v>
      </c>
      <c r="E631" t="str">
        <f>"070996183FH"</f>
        <v>070996183FH</v>
      </c>
      <c r="F631" t="str">
        <f t="shared" si="110"/>
        <v>0352480F</v>
      </c>
      <c r="G631" t="str">
        <f t="shared" si="111"/>
        <v>O</v>
      </c>
      <c r="H631">
        <v>10</v>
      </c>
      <c r="I631">
        <v>2000</v>
      </c>
      <c r="J631">
        <v>2</v>
      </c>
      <c r="K631" t="str">
        <f t="shared" si="123"/>
        <v>S</v>
      </c>
      <c r="L631">
        <v>25</v>
      </c>
      <c r="M631">
        <v>2018</v>
      </c>
      <c r="N631" t="str">
        <f t="shared" si="124"/>
        <v>E</v>
      </c>
      <c r="O631" t="str">
        <f>"N"</f>
        <v>N</v>
      </c>
      <c r="P631">
        <v>0</v>
      </c>
      <c r="Q631">
        <v>100</v>
      </c>
      <c r="R631">
        <v>100</v>
      </c>
      <c r="S631">
        <v>35170</v>
      </c>
      <c r="T631">
        <v>100</v>
      </c>
      <c r="U631">
        <v>35170</v>
      </c>
      <c r="V631" t="str">
        <f>"TOEIC passé à l'extérieur avant d'arriver à l'ENSAI le 24/05/2022 : 860  TOEIC passé à l'ENSAI le 22/05/2023 : score 950"</f>
        <v>TOEIC passé à l'extérieur avant d'arriver à l'ENSAI le 24/05/2022 : 860  TOEIC passé à l'ENSAI le 22/05/2023 : score 950</v>
      </c>
      <c r="W631">
        <v>38</v>
      </c>
      <c r="X631">
        <v>0</v>
      </c>
      <c r="Y631">
        <v>6000577</v>
      </c>
      <c r="Z631">
        <v>3</v>
      </c>
      <c r="AA631">
        <v>27</v>
      </c>
      <c r="AB631" t="str">
        <f>""</f>
        <v/>
      </c>
      <c r="AC631" t="str">
        <f>""</f>
        <v/>
      </c>
      <c r="AD631" t="str">
        <f>""</f>
        <v/>
      </c>
      <c r="AE631">
        <v>2018</v>
      </c>
      <c r="AF631">
        <v>2022</v>
      </c>
      <c r="AG631" t="str">
        <f>"Bruz"</f>
        <v>Bruz</v>
      </c>
      <c r="AH631" t="str">
        <f>"Bruz"</f>
        <v>Bruz</v>
      </c>
      <c r="AI631" t="str">
        <f>""</f>
        <v/>
      </c>
      <c r="AJ631" t="str">
        <f>""</f>
        <v/>
      </c>
      <c r="AK631" t="str">
        <f>""</f>
        <v/>
      </c>
      <c r="AL631">
        <v>38</v>
      </c>
      <c r="AM631" t="str">
        <f>""</f>
        <v/>
      </c>
      <c r="AN631" t="str">
        <f>""</f>
        <v/>
      </c>
      <c r="AO631" t="str">
        <f>"Lycée Franco-Allemand"</f>
        <v>Lycée Franco-Allemand</v>
      </c>
      <c r="AP631" t="str">
        <f>"BUC"</f>
        <v>BUC</v>
      </c>
      <c r="AQ631" t="str">
        <f>"Versailles"</f>
        <v>Versailles</v>
      </c>
    </row>
    <row r="632" spans="1:43" x14ac:dyDescent="0.25">
      <c r="A632" t="str">
        <f>"3A,3A SBio,T01850,3A Ing"</f>
        <v>3A,3A SBio,T01850,3A Ing</v>
      </c>
      <c r="B632" t="str">
        <f>"GAIGNE"</f>
        <v>GAIGNE</v>
      </c>
      <c r="C632" t="str">
        <f>"Augustin-Martin"</f>
        <v>Augustin-Martin</v>
      </c>
      <c r="D632" t="str">
        <f>"022-2210"</f>
        <v>022-2210</v>
      </c>
      <c r="E632" t="str">
        <f>"120625095DB"</f>
        <v>120625095DB</v>
      </c>
      <c r="F632" t="str">
        <f t="shared" si="110"/>
        <v>0352480F</v>
      </c>
      <c r="G632" t="str">
        <f t="shared" si="111"/>
        <v>O</v>
      </c>
      <c r="H632">
        <v>10</v>
      </c>
      <c r="I632">
        <v>2002</v>
      </c>
      <c r="J632">
        <v>1</v>
      </c>
      <c r="K632" t="str">
        <f>"ES"</f>
        <v>ES</v>
      </c>
      <c r="L632">
        <v>8</v>
      </c>
      <c r="M632">
        <v>2020</v>
      </c>
      <c r="N632" t="str">
        <f t="shared" si="124"/>
        <v>E</v>
      </c>
      <c r="O632" t="str">
        <f>"A"</f>
        <v>A</v>
      </c>
      <c r="P632">
        <v>0</v>
      </c>
      <c r="Q632">
        <v>100</v>
      </c>
      <c r="R632">
        <v>100</v>
      </c>
      <c r="S632">
        <v>35000</v>
      </c>
      <c r="T632">
        <v>100</v>
      </c>
      <c r="U632">
        <v>35000</v>
      </c>
      <c r="V632" t="str">
        <f>"TOEIC passé à l'ENSAI le 22/05/2023 : score 955"</f>
        <v>TOEIC passé à l'ENSAI le 22/05/2023 : score 955</v>
      </c>
      <c r="W632">
        <v>34</v>
      </c>
      <c r="X632">
        <v>0</v>
      </c>
      <c r="Y632">
        <v>6000577</v>
      </c>
      <c r="Z632">
        <v>3</v>
      </c>
      <c r="AA632">
        <v>27</v>
      </c>
      <c r="AB632" t="str">
        <f>""</f>
        <v/>
      </c>
      <c r="AC632" t="str">
        <f>""</f>
        <v/>
      </c>
      <c r="AD632" t="str">
        <f>""</f>
        <v/>
      </c>
      <c r="AE632">
        <v>2020</v>
      </c>
      <c r="AF632">
        <v>2022</v>
      </c>
      <c r="AG632" t="str">
        <f>"Rennes"</f>
        <v>Rennes</v>
      </c>
      <c r="AH632" t="str">
        <f>"Rennes"</f>
        <v>Rennes</v>
      </c>
      <c r="AI632" t="str">
        <f>""</f>
        <v/>
      </c>
      <c r="AJ632" t="str">
        <f>""</f>
        <v/>
      </c>
      <c r="AK632" t="str">
        <f>""</f>
        <v/>
      </c>
      <c r="AL632">
        <v>47</v>
      </c>
      <c r="AM632" t="str">
        <f>""</f>
        <v/>
      </c>
      <c r="AN632" t="str">
        <f>""</f>
        <v/>
      </c>
      <c r="AO632" t="str">
        <f>"Notre-Dame de la Galaure"</f>
        <v>Notre-Dame de la Galaure</v>
      </c>
      <c r="AP632" t="str">
        <f>"CHÂTEAUNEUF DE GALAURE"</f>
        <v>CHÂTEAUNEUF DE GALAURE</v>
      </c>
      <c r="AQ632" t="str">
        <f>"Grenoble"</f>
        <v>Grenoble</v>
      </c>
    </row>
    <row r="633" spans="1:43" x14ac:dyDescent="0.25">
      <c r="A633" t="str">
        <f>"3A,DIGISPORT,T00000,3A Ing"</f>
        <v>3A,DIGISPORT,T00000,3A Ing</v>
      </c>
      <c r="B633" t="str">
        <f>"FIGUERES-SARDA"</f>
        <v>FIGUERES-SARDA</v>
      </c>
      <c r="C633" t="str">
        <f>"Guilhem"</f>
        <v>Guilhem</v>
      </c>
      <c r="D633" t="str">
        <f>"022-2299"</f>
        <v>022-2299</v>
      </c>
      <c r="E633" t="str">
        <f>"070706160FA"</f>
        <v>070706160FA</v>
      </c>
      <c r="F633" t="str">
        <f t="shared" si="110"/>
        <v>0352480F</v>
      </c>
      <c r="G633" t="str">
        <f t="shared" si="111"/>
        <v>O</v>
      </c>
      <c r="H633">
        <v>10</v>
      </c>
      <c r="I633">
        <v>2002</v>
      </c>
      <c r="J633">
        <v>1</v>
      </c>
      <c r="K633" t="str">
        <f>"S"</f>
        <v>S</v>
      </c>
      <c r="L633">
        <v>11</v>
      </c>
      <c r="M633">
        <v>2020</v>
      </c>
      <c r="N633" t="str">
        <f t="shared" si="124"/>
        <v>E</v>
      </c>
      <c r="O633" t="str">
        <f>"D"</f>
        <v>D</v>
      </c>
      <c r="P633">
        <v>0</v>
      </c>
      <c r="Q633">
        <v>100</v>
      </c>
      <c r="R633">
        <v>100</v>
      </c>
      <c r="S633">
        <v>35200</v>
      </c>
      <c r="T633">
        <v>100</v>
      </c>
      <c r="U633">
        <v>35200</v>
      </c>
      <c r="V633" t="str">
        <f>"TOEIC passé à l'ENSAI le 22/05/2023 : score 980"</f>
        <v>TOEIC passé à l'ENSAI le 22/05/2023 : score 980</v>
      </c>
      <c r="W633">
        <v>33</v>
      </c>
      <c r="X633">
        <v>0</v>
      </c>
      <c r="Y633">
        <v>6000577</v>
      </c>
      <c r="Z633">
        <v>3</v>
      </c>
      <c r="AA633">
        <v>27</v>
      </c>
      <c r="AB633" t="str">
        <f>""</f>
        <v/>
      </c>
      <c r="AC633" t="str">
        <f>""</f>
        <v/>
      </c>
      <c r="AD633" t="str">
        <f>""</f>
        <v/>
      </c>
      <c r="AE633">
        <v>2020</v>
      </c>
      <c r="AF633">
        <v>2022</v>
      </c>
      <c r="AG633" t="str">
        <f>"Rennes"</f>
        <v>Rennes</v>
      </c>
      <c r="AH633" t="str">
        <f>"Rennes"</f>
        <v>Rennes</v>
      </c>
      <c r="AI633" t="str">
        <f>""</f>
        <v/>
      </c>
      <c r="AJ633" t="str">
        <f>""</f>
        <v/>
      </c>
      <c r="AK633" t="str">
        <f>""</f>
        <v/>
      </c>
      <c r="AL633">
        <v>33</v>
      </c>
      <c r="AM633" t="str">
        <f>""</f>
        <v/>
      </c>
      <c r="AN633" t="str">
        <f>""</f>
        <v/>
      </c>
      <c r="AO633" t="str">
        <f>"Lycée Notre Dame de la Merci"</f>
        <v>Lycée Notre Dame de la Merci</v>
      </c>
      <c r="AP633" t="str">
        <f>"MONTPELLIER"</f>
        <v>MONTPELLIER</v>
      </c>
      <c r="AQ633" t="str">
        <f>"Montpellier"</f>
        <v>Montpellier</v>
      </c>
    </row>
    <row r="634" spans="1:43" x14ac:dyDescent="0.25">
      <c r="A634" t="str">
        <f>"3A,DIGISPORT,T01850,3A Ing"</f>
        <v>3A,DIGISPORT,T01850,3A Ing</v>
      </c>
      <c r="B634" t="str">
        <f>"HAZEAUX"</f>
        <v>HAZEAUX</v>
      </c>
      <c r="C634" t="str">
        <f>"Corentin"</f>
        <v>Corentin</v>
      </c>
      <c r="D634" t="str">
        <f>"022-2154"</f>
        <v>022-2154</v>
      </c>
      <c r="E634" t="str">
        <f>"111059509FK"</f>
        <v>111059509FK</v>
      </c>
      <c r="F634" t="str">
        <f t="shared" si="110"/>
        <v>0352480F</v>
      </c>
      <c r="G634" t="str">
        <f t="shared" si="111"/>
        <v>O</v>
      </c>
      <c r="H634">
        <v>10</v>
      </c>
      <c r="I634">
        <v>2001</v>
      </c>
      <c r="J634">
        <v>1</v>
      </c>
      <c r="K634" t="str">
        <f>"S"</f>
        <v>S</v>
      </c>
      <c r="L634">
        <v>19</v>
      </c>
      <c r="M634">
        <v>2019</v>
      </c>
      <c r="N634" t="str">
        <f t="shared" si="124"/>
        <v>E</v>
      </c>
      <c r="O634" t="str">
        <f>"N"</f>
        <v>N</v>
      </c>
      <c r="P634">
        <v>0</v>
      </c>
      <c r="Q634">
        <v>100</v>
      </c>
      <c r="R634">
        <v>100</v>
      </c>
      <c r="S634">
        <v>35170</v>
      </c>
      <c r="T634">
        <v>100</v>
      </c>
      <c r="U634">
        <v>35170</v>
      </c>
      <c r="V634" t="str">
        <f>"TOEIC 2A - 11/04/2024 : 845"</f>
        <v>TOEIC 2A - 11/04/2024 : 845</v>
      </c>
      <c r="W634">
        <v>33</v>
      </c>
      <c r="X634">
        <v>0</v>
      </c>
      <c r="Y634">
        <v>6000577</v>
      </c>
      <c r="Z634">
        <v>3</v>
      </c>
      <c r="AA634">
        <v>27</v>
      </c>
      <c r="AB634" t="str">
        <f>""</f>
        <v/>
      </c>
      <c r="AC634" t="str">
        <f>""</f>
        <v/>
      </c>
      <c r="AD634" t="str">
        <f>""</f>
        <v/>
      </c>
      <c r="AE634">
        <v>2019</v>
      </c>
      <c r="AF634">
        <v>2022</v>
      </c>
      <c r="AG634" t="str">
        <f>"Bruz"</f>
        <v>Bruz</v>
      </c>
      <c r="AH634" t="str">
        <f>"Bruz"</f>
        <v>Bruz</v>
      </c>
      <c r="AI634" t="str">
        <f>""</f>
        <v/>
      </c>
      <c r="AJ634" t="str">
        <f>""</f>
        <v/>
      </c>
      <c r="AK634" t="str">
        <f>""</f>
        <v/>
      </c>
      <c r="AL634">
        <v>34</v>
      </c>
      <c r="AM634" t="str">
        <f>""</f>
        <v/>
      </c>
      <c r="AN634" t="str">
        <f>""</f>
        <v/>
      </c>
      <c r="AO634" t="str">
        <f>"Lycée Mabillon"</f>
        <v>Lycée Mabillon</v>
      </c>
      <c r="AP634" t="str">
        <f>"SEDAN"</f>
        <v>SEDAN</v>
      </c>
      <c r="AQ634" t="str">
        <f>"Reims"</f>
        <v>Reims</v>
      </c>
    </row>
    <row r="635" spans="1:43" x14ac:dyDescent="0.25">
      <c r="A635" t="str">
        <f>"3A,Master Emos Int,T00000,3A Att"</f>
        <v>3A,Master Emos Int,T00000,3A Att</v>
      </c>
      <c r="B635" t="str">
        <f>"PLANCQ"</f>
        <v>PLANCQ</v>
      </c>
      <c r="C635" t="str">
        <f>"Audrey"</f>
        <v>Audrey</v>
      </c>
      <c r="D635" t="str">
        <f>"022-2319"</f>
        <v>022-2319</v>
      </c>
      <c r="E635" t="str">
        <f>"081113954GF"</f>
        <v>081113954GF</v>
      </c>
      <c r="F635" t="str">
        <f t="shared" si="110"/>
        <v>0352480F</v>
      </c>
      <c r="G635" t="str">
        <f t="shared" si="111"/>
        <v>O</v>
      </c>
      <c r="H635">
        <v>10</v>
      </c>
      <c r="I635">
        <v>2002</v>
      </c>
      <c r="J635">
        <v>2</v>
      </c>
      <c r="K635" t="str">
        <f>"S"</f>
        <v>S</v>
      </c>
      <c r="L635">
        <v>9</v>
      </c>
      <c r="M635">
        <v>2020</v>
      </c>
      <c r="N635" t="str">
        <f t="shared" si="124"/>
        <v>E</v>
      </c>
      <c r="O635" t="str">
        <f>"D"</f>
        <v>D</v>
      </c>
      <c r="P635">
        <v>0</v>
      </c>
      <c r="Q635">
        <v>100</v>
      </c>
      <c r="R635">
        <v>100</v>
      </c>
      <c r="S635">
        <v>35170</v>
      </c>
      <c r="T635">
        <v>100</v>
      </c>
      <c r="U635">
        <v>35170</v>
      </c>
      <c r="V635" t="str">
        <f>"TOEIC 2A à l'ENSAI 08-01-2024 : 950"</f>
        <v>TOEIC 2A à l'ENSAI 08-01-2024 : 950</v>
      </c>
      <c r="W635">
        <v>62</v>
      </c>
      <c r="X635">
        <v>0</v>
      </c>
      <c r="Y635">
        <v>6000577</v>
      </c>
      <c r="Z635">
        <v>3</v>
      </c>
      <c r="AA635">
        <v>27</v>
      </c>
      <c r="AB635" t="str">
        <f>""</f>
        <v/>
      </c>
      <c r="AC635" t="str">
        <f>""</f>
        <v/>
      </c>
      <c r="AD635" t="str">
        <f>""</f>
        <v/>
      </c>
      <c r="AE635">
        <v>2020</v>
      </c>
      <c r="AF635">
        <v>2022</v>
      </c>
      <c r="AG635" t="str">
        <f>"Bruz"</f>
        <v>Bruz</v>
      </c>
      <c r="AH635" t="str">
        <f>"Bruz"</f>
        <v>Bruz</v>
      </c>
      <c r="AI635" t="str">
        <f>""</f>
        <v/>
      </c>
      <c r="AJ635" t="str">
        <f>""</f>
        <v/>
      </c>
      <c r="AK635" t="str">
        <f>""</f>
        <v/>
      </c>
      <c r="AL635">
        <v>56</v>
      </c>
      <c r="AM635" t="str">
        <f>""</f>
        <v/>
      </c>
      <c r="AN635" t="str">
        <f>""</f>
        <v/>
      </c>
      <c r="AO635" t="str">
        <f>"Lycée Beaupré"</f>
        <v>Lycée Beaupré</v>
      </c>
      <c r="AP635" t="str">
        <f>"HAUBOURDIN"</f>
        <v>HAUBOURDIN</v>
      </c>
      <c r="AQ635" t="str">
        <f>"Lille"</f>
        <v>Lille</v>
      </c>
    </row>
    <row r="636" spans="1:43" x14ac:dyDescent="0.25">
      <c r="A636" t="str">
        <f t="shared" ref="A636:A642" si="125">"3A,Master ES ext,T00000"</f>
        <v>3A,Master ES ext,T00000</v>
      </c>
      <c r="B636" t="str">
        <f>"BOURGE"</f>
        <v>BOURGE</v>
      </c>
      <c r="C636" t="str">
        <f>"Clément"</f>
        <v>Clément</v>
      </c>
      <c r="D636" t="str">
        <f>"024-2693"</f>
        <v>024-2693</v>
      </c>
      <c r="E636" t="str">
        <f>"061157958FH"</f>
        <v>061157958FH</v>
      </c>
      <c r="F636" t="str">
        <f t="shared" si="110"/>
        <v>0352480F</v>
      </c>
      <c r="G636" t="str">
        <f t="shared" si="111"/>
        <v>O</v>
      </c>
      <c r="H636">
        <v>10</v>
      </c>
      <c r="I636">
        <v>2000</v>
      </c>
      <c r="J636">
        <v>1</v>
      </c>
      <c r="K636" t="str">
        <f>"S"</f>
        <v>S</v>
      </c>
      <c r="L636">
        <v>12</v>
      </c>
      <c r="M636">
        <v>2018</v>
      </c>
      <c r="N636" t="str">
        <f>"H"</f>
        <v>H</v>
      </c>
      <c r="O636" t="str">
        <f>"U"</f>
        <v>U</v>
      </c>
      <c r="P636">
        <v>0</v>
      </c>
      <c r="Q636">
        <v>100</v>
      </c>
      <c r="R636">
        <v>100</v>
      </c>
      <c r="S636">
        <v>92120</v>
      </c>
      <c r="T636">
        <v>100</v>
      </c>
      <c r="U636">
        <v>92120</v>
      </c>
      <c r="V636" t="str">
        <f>""</f>
        <v/>
      </c>
      <c r="W636">
        <v>38</v>
      </c>
      <c r="X636">
        <v>0</v>
      </c>
      <c r="Y636">
        <v>6000577</v>
      </c>
      <c r="Z636">
        <v>3</v>
      </c>
      <c r="AA636">
        <v>27</v>
      </c>
      <c r="AB636" t="str">
        <f>""</f>
        <v/>
      </c>
      <c r="AC636" t="str">
        <f>""</f>
        <v/>
      </c>
      <c r="AD636" t="str">
        <f>""</f>
        <v/>
      </c>
      <c r="AE636">
        <v>2018</v>
      </c>
      <c r="AF636">
        <v>2024</v>
      </c>
      <c r="AG636" t="str">
        <f>"Montrouge"</f>
        <v>Montrouge</v>
      </c>
      <c r="AH636" t="str">
        <f>"Montrouge"</f>
        <v>Montrouge</v>
      </c>
      <c r="AI636" t="str">
        <f>""</f>
        <v/>
      </c>
      <c r="AJ636" t="str">
        <f>""</f>
        <v/>
      </c>
      <c r="AK636" t="str">
        <f>""</f>
        <v/>
      </c>
      <c r="AL636">
        <v>45</v>
      </c>
      <c r="AM636" t="str">
        <f>""</f>
        <v/>
      </c>
      <c r="AN636" t="str">
        <f>""</f>
        <v/>
      </c>
      <c r="AO636" t="str">
        <f>"Lycée Louis Bertrand"</f>
        <v>Lycée Louis Bertrand</v>
      </c>
      <c r="AP636" t="str">
        <f>"BRIEY"</f>
        <v>BRIEY</v>
      </c>
      <c r="AQ636" t="str">
        <f>"Nancy-Metz"</f>
        <v>Nancy-Metz</v>
      </c>
    </row>
    <row r="637" spans="1:43" x14ac:dyDescent="0.25">
      <c r="A637" t="str">
        <f t="shared" si="125"/>
        <v>3A,Master ES ext,T00000</v>
      </c>
      <c r="B637" t="str">
        <f>"DADJEDJI"</f>
        <v>DADJEDJI</v>
      </c>
      <c r="C637" t="str">
        <f>"Gyldano"</f>
        <v>Gyldano</v>
      </c>
      <c r="D637" t="str">
        <f>"024-2694"</f>
        <v>024-2694</v>
      </c>
      <c r="E637" t="str">
        <f>"213466637AC"</f>
        <v>213466637AC</v>
      </c>
      <c r="F637" t="str">
        <f t="shared" si="110"/>
        <v>0352480F</v>
      </c>
      <c r="G637" t="str">
        <f t="shared" si="111"/>
        <v>O</v>
      </c>
      <c r="H637">
        <v>10</v>
      </c>
      <c r="I637">
        <v>1999</v>
      </c>
      <c r="J637">
        <v>1</v>
      </c>
      <c r="K637" t="str">
        <f>""</f>
        <v/>
      </c>
      <c r="L637" t="str">
        <f>""</f>
        <v/>
      </c>
      <c r="M637" t="str">
        <f>""</f>
        <v/>
      </c>
      <c r="N637" t="str">
        <f>""</f>
        <v/>
      </c>
      <c r="O637" t="str">
        <f>""</f>
        <v/>
      </c>
      <c r="P637">
        <v>0</v>
      </c>
      <c r="Q637" t="str">
        <f>""</f>
        <v/>
      </c>
      <c r="R637">
        <v>100</v>
      </c>
      <c r="S637" t="str">
        <f>""</f>
        <v/>
      </c>
      <c r="T637">
        <v>100</v>
      </c>
      <c r="U637" t="str">
        <f>""</f>
        <v/>
      </c>
      <c r="V637" t="str">
        <f>""</f>
        <v/>
      </c>
      <c r="W637">
        <v>0</v>
      </c>
      <c r="X637">
        <v>0</v>
      </c>
      <c r="Y637">
        <v>6000577</v>
      </c>
      <c r="Z637">
        <v>3</v>
      </c>
      <c r="AA637">
        <v>27</v>
      </c>
      <c r="AB637" t="str">
        <f>""</f>
        <v/>
      </c>
      <c r="AC637" t="str">
        <f>""</f>
        <v/>
      </c>
      <c r="AD637" t="str">
        <f>""</f>
        <v/>
      </c>
      <c r="AE637" t="str">
        <f>""</f>
        <v/>
      </c>
      <c r="AF637">
        <v>2024</v>
      </c>
      <c r="AG637" t="str">
        <f>""</f>
        <v/>
      </c>
      <c r="AH637" t="str">
        <f>""</f>
        <v/>
      </c>
      <c r="AI637" t="str">
        <f>""</f>
        <v/>
      </c>
      <c r="AJ637" t="str">
        <f>""</f>
        <v/>
      </c>
      <c r="AK637" t="str">
        <f>""</f>
        <v/>
      </c>
      <c r="AL637">
        <v>0</v>
      </c>
      <c r="AM637" t="str">
        <f>""</f>
        <v/>
      </c>
      <c r="AN637" t="str">
        <f>""</f>
        <v/>
      </c>
      <c r="AO637" t="str">
        <f>""</f>
        <v/>
      </c>
      <c r="AP637" t="str">
        <f>""</f>
        <v/>
      </c>
      <c r="AQ637" t="str">
        <f>""</f>
        <v/>
      </c>
    </row>
    <row r="638" spans="1:43" x14ac:dyDescent="0.25">
      <c r="A638" t="str">
        <f t="shared" si="125"/>
        <v>3A,Master ES ext,T00000</v>
      </c>
      <c r="B638" t="str">
        <f>"DAKPAKETE"</f>
        <v>DAKPAKETE</v>
      </c>
      <c r="C638" t="str">
        <f>"Odilon"</f>
        <v>Odilon</v>
      </c>
      <c r="D638" t="str">
        <f>"024-2698"</f>
        <v>024-2698</v>
      </c>
      <c r="E638" t="str">
        <f>"07IS8U01X00"</f>
        <v>07IS8U01X00</v>
      </c>
      <c r="F638" t="str">
        <f t="shared" si="110"/>
        <v>0352480F</v>
      </c>
      <c r="G638" t="str">
        <f t="shared" si="111"/>
        <v>O</v>
      </c>
      <c r="H638">
        <v>10</v>
      </c>
      <c r="I638">
        <v>1995</v>
      </c>
      <c r="J638">
        <v>1</v>
      </c>
      <c r="K638" t="str">
        <f>""</f>
        <v/>
      </c>
      <c r="L638" t="str">
        <f>""</f>
        <v/>
      </c>
      <c r="M638" t="str">
        <f>""</f>
        <v/>
      </c>
      <c r="N638" t="str">
        <f>""</f>
        <v/>
      </c>
      <c r="O638" t="str">
        <f>""</f>
        <v/>
      </c>
      <c r="P638">
        <v>0</v>
      </c>
      <c r="Q638" t="str">
        <f>""</f>
        <v/>
      </c>
      <c r="R638">
        <v>100</v>
      </c>
      <c r="S638" t="str">
        <f>""</f>
        <v/>
      </c>
      <c r="T638">
        <v>100</v>
      </c>
      <c r="U638" t="str">
        <f>""</f>
        <v/>
      </c>
      <c r="V638" t="str">
        <f>""</f>
        <v/>
      </c>
      <c r="W638">
        <v>0</v>
      </c>
      <c r="X638">
        <v>0</v>
      </c>
      <c r="Y638">
        <v>6000577</v>
      </c>
      <c r="Z638">
        <v>3</v>
      </c>
      <c r="AA638">
        <v>27</v>
      </c>
      <c r="AB638" t="str">
        <f>""</f>
        <v/>
      </c>
      <c r="AC638" t="str">
        <f>""</f>
        <v/>
      </c>
      <c r="AD638" t="str">
        <f>""</f>
        <v/>
      </c>
      <c r="AE638" t="str">
        <f>""</f>
        <v/>
      </c>
      <c r="AF638">
        <v>2024</v>
      </c>
      <c r="AG638" t="str">
        <f>""</f>
        <v/>
      </c>
      <c r="AH638" t="str">
        <f>""</f>
        <v/>
      </c>
      <c r="AI638" t="str">
        <f>""</f>
        <v/>
      </c>
      <c r="AJ638" t="str">
        <f>""</f>
        <v/>
      </c>
      <c r="AK638" t="str">
        <f>""</f>
        <v/>
      </c>
      <c r="AL638">
        <v>0</v>
      </c>
      <c r="AM638" t="str">
        <f>""</f>
        <v/>
      </c>
      <c r="AN638" t="str">
        <f>""</f>
        <v/>
      </c>
      <c r="AO638" t="str">
        <f>""</f>
        <v/>
      </c>
      <c r="AP638" t="str">
        <f>""</f>
        <v/>
      </c>
      <c r="AQ638" t="str">
        <f>""</f>
        <v/>
      </c>
    </row>
    <row r="639" spans="1:43" x14ac:dyDescent="0.25">
      <c r="A639" t="str">
        <f t="shared" si="125"/>
        <v>3A,Master ES ext,T00000</v>
      </c>
      <c r="B639" t="str">
        <f>"DURAND--BARRIER"</f>
        <v>DURAND--BARRIER</v>
      </c>
      <c r="C639" t="str">
        <f>"Marius"</f>
        <v>Marius</v>
      </c>
      <c r="D639" t="str">
        <f>"0-2706"</f>
        <v>0-2706</v>
      </c>
      <c r="E639" t="str">
        <f>"060809126HH"</f>
        <v>060809126HH</v>
      </c>
      <c r="F639" t="str">
        <f t="shared" si="110"/>
        <v>0352480F</v>
      </c>
      <c r="G639" t="str">
        <f t="shared" si="111"/>
        <v>O</v>
      </c>
      <c r="H639">
        <v>10</v>
      </c>
      <c r="I639">
        <v>2002</v>
      </c>
      <c r="J639">
        <v>1</v>
      </c>
      <c r="K639" t="str">
        <f>""</f>
        <v/>
      </c>
      <c r="L639" t="str">
        <f>""</f>
        <v/>
      </c>
      <c r="M639" t="str">
        <f>""</f>
        <v/>
      </c>
      <c r="N639" t="str">
        <f>""</f>
        <v/>
      </c>
      <c r="O639" t="str">
        <f>""</f>
        <v/>
      </c>
      <c r="P639">
        <v>0</v>
      </c>
      <c r="Q639">
        <v>100</v>
      </c>
      <c r="R639">
        <v>100</v>
      </c>
      <c r="S639" t="str">
        <f>""</f>
        <v/>
      </c>
      <c r="T639">
        <v>100</v>
      </c>
      <c r="U639" t="str">
        <f>""</f>
        <v/>
      </c>
      <c r="V639" t="str">
        <f>""</f>
        <v/>
      </c>
      <c r="W639">
        <v>0</v>
      </c>
      <c r="X639">
        <v>0</v>
      </c>
      <c r="Y639">
        <v>6000577</v>
      </c>
      <c r="Z639">
        <v>3</v>
      </c>
      <c r="AA639">
        <v>27</v>
      </c>
      <c r="AB639" t="str">
        <f>""</f>
        <v/>
      </c>
      <c r="AC639" t="str">
        <f>""</f>
        <v/>
      </c>
      <c r="AD639" t="str">
        <f>""</f>
        <v/>
      </c>
      <c r="AE639" t="str">
        <f>""</f>
        <v/>
      </c>
      <c r="AF639" t="str">
        <f>""</f>
        <v/>
      </c>
      <c r="AG639" t="str">
        <f>""</f>
        <v/>
      </c>
      <c r="AH639" t="str">
        <f>""</f>
        <v/>
      </c>
      <c r="AI639" t="str">
        <f>""</f>
        <v/>
      </c>
      <c r="AJ639" t="str">
        <f>""</f>
        <v/>
      </c>
      <c r="AK639" t="str">
        <f>""</f>
        <v/>
      </c>
      <c r="AL639">
        <v>0</v>
      </c>
      <c r="AM639" t="str">
        <f>""</f>
        <v/>
      </c>
      <c r="AN639" t="str">
        <f>""</f>
        <v/>
      </c>
      <c r="AO639" t="str">
        <f>""</f>
        <v/>
      </c>
      <c r="AP639" t="str">
        <f>""</f>
        <v/>
      </c>
      <c r="AQ639" t="str">
        <f>""</f>
        <v/>
      </c>
    </row>
    <row r="640" spans="1:43" x14ac:dyDescent="0.25">
      <c r="A640" t="str">
        <f t="shared" si="125"/>
        <v>3A,Master ES ext,T00000</v>
      </c>
      <c r="B640" t="str">
        <f>"LE BOUDEC--MOLENAAR"</f>
        <v>LE BOUDEC--MOLENAAR</v>
      </c>
      <c r="C640" t="str">
        <f>"Ancelin"</f>
        <v>Ancelin</v>
      </c>
      <c r="D640" t="str">
        <f>"024-2696"</f>
        <v>024-2696</v>
      </c>
      <c r="E640" t="str">
        <f>"080748782DC"</f>
        <v>080748782DC</v>
      </c>
      <c r="F640" t="str">
        <f t="shared" si="110"/>
        <v>0352480F</v>
      </c>
      <c r="G640" t="str">
        <f t="shared" si="111"/>
        <v>O</v>
      </c>
      <c r="H640">
        <v>10</v>
      </c>
      <c r="I640">
        <v>2004</v>
      </c>
      <c r="J640">
        <v>1</v>
      </c>
      <c r="K640" t="str">
        <f>"S"</f>
        <v>S</v>
      </c>
      <c r="L640">
        <v>14</v>
      </c>
      <c r="M640" t="str">
        <f>"2019/2020"</f>
        <v>2019/2020</v>
      </c>
      <c r="N640" t="str">
        <f>"H"</f>
        <v>H</v>
      </c>
      <c r="O640" t="str">
        <f>"N"</f>
        <v>N</v>
      </c>
      <c r="P640">
        <v>0</v>
      </c>
      <c r="Q640">
        <v>100</v>
      </c>
      <c r="R640">
        <v>100</v>
      </c>
      <c r="S640">
        <v>35000</v>
      </c>
      <c r="T640">
        <v>100</v>
      </c>
      <c r="U640">
        <v>35000</v>
      </c>
      <c r="V640" t="str">
        <f>""</f>
        <v/>
      </c>
      <c r="W640">
        <v>34</v>
      </c>
      <c r="X640">
        <v>0</v>
      </c>
      <c r="Y640">
        <v>6000577</v>
      </c>
      <c r="Z640">
        <v>3</v>
      </c>
      <c r="AA640">
        <v>27</v>
      </c>
      <c r="AB640" t="str">
        <f>""</f>
        <v/>
      </c>
      <c r="AC640" t="str">
        <f>""</f>
        <v/>
      </c>
      <c r="AD640" t="str">
        <f>""</f>
        <v/>
      </c>
      <c r="AE640" t="str">
        <f>"2020/2021"</f>
        <v>2020/2021</v>
      </c>
      <c r="AF640">
        <v>2024</v>
      </c>
      <c r="AG640" t="str">
        <f>"Rennes"</f>
        <v>Rennes</v>
      </c>
      <c r="AH640" t="str">
        <f>"Rennes"</f>
        <v>Rennes</v>
      </c>
      <c r="AI640" t="str">
        <f>""</f>
        <v/>
      </c>
      <c r="AJ640" t="str">
        <f>""</f>
        <v/>
      </c>
      <c r="AK640" t="str">
        <f>""</f>
        <v/>
      </c>
      <c r="AL640">
        <v>42</v>
      </c>
      <c r="AM640" t="str">
        <f>""</f>
        <v/>
      </c>
      <c r="AN640" t="str">
        <f>""</f>
        <v/>
      </c>
      <c r="AO640" t="str">
        <f>"Saint-Gabriel"</f>
        <v>Saint-Gabriel</v>
      </c>
      <c r="AP640" t="str">
        <f>"PONT-L'ABBÉ"</f>
        <v>PONT-L'ABBÉ</v>
      </c>
      <c r="AQ640" t="str">
        <f>"Rennes"</f>
        <v>Rennes</v>
      </c>
    </row>
    <row r="641" spans="1:43" x14ac:dyDescent="0.25">
      <c r="A641" t="str">
        <f t="shared" si="125"/>
        <v>3A,Master ES ext,T00000</v>
      </c>
      <c r="B641" t="str">
        <f>"NOUCHET"</f>
        <v>NOUCHET</v>
      </c>
      <c r="C641" t="str">
        <f>"Kwami"</f>
        <v>Kwami</v>
      </c>
      <c r="D641" t="str">
        <f>"024-2695"</f>
        <v>024-2695</v>
      </c>
      <c r="E641" t="str">
        <f>"213315015BD"</f>
        <v>213315015BD</v>
      </c>
      <c r="F641" t="str">
        <f t="shared" si="110"/>
        <v>0352480F</v>
      </c>
      <c r="G641" t="str">
        <f t="shared" si="111"/>
        <v>O</v>
      </c>
      <c r="H641">
        <v>10</v>
      </c>
      <c r="I641">
        <v>0</v>
      </c>
      <c r="J641">
        <v>1</v>
      </c>
      <c r="K641" t="str">
        <f>""</f>
        <v/>
      </c>
      <c r="L641" t="str">
        <f>""</f>
        <v/>
      </c>
      <c r="M641" t="str">
        <f>""</f>
        <v/>
      </c>
      <c r="N641" t="str">
        <f>""</f>
        <v/>
      </c>
      <c r="O641" t="str">
        <f>""</f>
        <v/>
      </c>
      <c r="P641">
        <v>0</v>
      </c>
      <c r="Q641" t="str">
        <f>""</f>
        <v/>
      </c>
      <c r="R641">
        <v>100</v>
      </c>
      <c r="S641" t="str">
        <f>""</f>
        <v/>
      </c>
      <c r="T641">
        <v>100</v>
      </c>
      <c r="U641" t="str">
        <f>""</f>
        <v/>
      </c>
      <c r="V641" t="str">
        <f>""</f>
        <v/>
      </c>
      <c r="W641" t="str">
        <f>""</f>
        <v/>
      </c>
      <c r="X641">
        <v>0</v>
      </c>
      <c r="Y641">
        <v>6000577</v>
      </c>
      <c r="Z641">
        <v>3</v>
      </c>
      <c r="AA641">
        <v>27</v>
      </c>
      <c r="AB641" t="str">
        <f>""</f>
        <v/>
      </c>
      <c r="AC641" t="str">
        <f>""</f>
        <v/>
      </c>
      <c r="AD641" t="str">
        <f>""</f>
        <v/>
      </c>
      <c r="AE641" t="str">
        <f>""</f>
        <v/>
      </c>
      <c r="AF641">
        <v>2024</v>
      </c>
      <c r="AG641" t="str">
        <f>""</f>
        <v/>
      </c>
      <c r="AH641" t="str">
        <f>""</f>
        <v/>
      </c>
      <c r="AI641" t="str">
        <f>""</f>
        <v/>
      </c>
      <c r="AJ641" t="str">
        <f>""</f>
        <v/>
      </c>
      <c r="AK641" t="str">
        <f>""</f>
        <v/>
      </c>
      <c r="AL641" t="str">
        <f>""</f>
        <v/>
      </c>
      <c r="AM641" t="str">
        <f>""</f>
        <v/>
      </c>
      <c r="AN641" t="str">
        <f>""</f>
        <v/>
      </c>
      <c r="AO641" t="str">
        <f>""</f>
        <v/>
      </c>
      <c r="AP641" t="str">
        <f>""</f>
        <v/>
      </c>
      <c r="AQ641" t="str">
        <f>""</f>
        <v/>
      </c>
    </row>
    <row r="642" spans="1:43" x14ac:dyDescent="0.25">
      <c r="A642" t="str">
        <f t="shared" si="125"/>
        <v>3A,Master ES ext,T00000</v>
      </c>
      <c r="B642" t="str">
        <f>"TANO"</f>
        <v>TANO</v>
      </c>
      <c r="C642" t="str">
        <f>"Anoumou"</f>
        <v>Anoumou</v>
      </c>
      <c r="D642" t="str">
        <f>"024-2697"</f>
        <v>024-2697</v>
      </c>
      <c r="E642" t="str">
        <f>"07IS8Y000R7"</f>
        <v>07IS8Y000R7</v>
      </c>
      <c r="F642" t="str">
        <f t="shared" ref="F642:F705" si="126">"0352480F"</f>
        <v>0352480F</v>
      </c>
      <c r="G642" t="str">
        <f t="shared" ref="G642:G705" si="127">"O"</f>
        <v>O</v>
      </c>
      <c r="H642">
        <v>10</v>
      </c>
      <c r="I642">
        <v>2002</v>
      </c>
      <c r="J642">
        <v>1</v>
      </c>
      <c r="K642" t="str">
        <f>""</f>
        <v/>
      </c>
      <c r="L642" t="str">
        <f>""</f>
        <v/>
      </c>
      <c r="M642" t="str">
        <f>""</f>
        <v/>
      </c>
      <c r="N642" t="str">
        <f>""</f>
        <v/>
      </c>
      <c r="O642" t="str">
        <f>""</f>
        <v/>
      </c>
      <c r="P642">
        <v>0</v>
      </c>
      <c r="Q642" t="str">
        <f>""</f>
        <v/>
      </c>
      <c r="R642">
        <v>100</v>
      </c>
      <c r="S642" t="str">
        <f>""</f>
        <v/>
      </c>
      <c r="T642">
        <v>100</v>
      </c>
      <c r="U642" t="str">
        <f>""</f>
        <v/>
      </c>
      <c r="V642" t="str">
        <f>""</f>
        <v/>
      </c>
      <c r="W642">
        <v>0</v>
      </c>
      <c r="X642">
        <v>0</v>
      </c>
      <c r="Y642">
        <v>6000577</v>
      </c>
      <c r="Z642">
        <v>3</v>
      </c>
      <c r="AA642">
        <v>27</v>
      </c>
      <c r="AB642" t="str">
        <f>""</f>
        <v/>
      </c>
      <c r="AC642" t="str">
        <f>""</f>
        <v/>
      </c>
      <c r="AD642" t="str">
        <f>""</f>
        <v/>
      </c>
      <c r="AE642" t="str">
        <f>""</f>
        <v/>
      </c>
      <c r="AF642">
        <v>2024</v>
      </c>
      <c r="AG642" t="str">
        <f>""</f>
        <v/>
      </c>
      <c r="AH642" t="str">
        <f>""</f>
        <v/>
      </c>
      <c r="AI642" t="str">
        <f>""</f>
        <v/>
      </c>
      <c r="AJ642" t="str">
        <f>""</f>
        <v/>
      </c>
      <c r="AK642" t="str">
        <f>""</f>
        <v/>
      </c>
      <c r="AL642">
        <v>0</v>
      </c>
      <c r="AM642" t="str">
        <f>""</f>
        <v/>
      </c>
      <c r="AN642" t="str">
        <f>""</f>
        <v/>
      </c>
      <c r="AO642" t="str">
        <f>""</f>
        <v/>
      </c>
      <c r="AP642" t="str">
        <f>""</f>
        <v/>
      </c>
      <c r="AQ642" t="str">
        <f>""</f>
        <v/>
      </c>
    </row>
    <row r="643" spans="1:43" x14ac:dyDescent="0.25">
      <c r="A643" t="str">
        <f>"3A,Master ES,3A Att"</f>
        <v>3A,Master ES,3A Att</v>
      </c>
      <c r="B643" t="str">
        <f>"BAHLALI"</f>
        <v>BAHLALI</v>
      </c>
      <c r="C643" t="str">
        <f>"Sofiane"</f>
        <v>Sofiane</v>
      </c>
      <c r="D643" t="str">
        <f>"018-1402"</f>
        <v>018-1402</v>
      </c>
      <c r="E643" t="str">
        <f>"070893324KG"</f>
        <v>070893324KG</v>
      </c>
      <c r="F643" t="str">
        <f t="shared" si="126"/>
        <v>0352480F</v>
      </c>
      <c r="G643" t="str">
        <f t="shared" si="127"/>
        <v>O</v>
      </c>
      <c r="H643">
        <v>10</v>
      </c>
      <c r="I643">
        <v>1999</v>
      </c>
      <c r="J643">
        <v>1</v>
      </c>
      <c r="K643" t="str">
        <f>"S"</f>
        <v>S</v>
      </c>
      <c r="L643">
        <v>23</v>
      </c>
      <c r="M643">
        <v>2016</v>
      </c>
      <c r="N643" t="str">
        <f t="shared" ref="N643:N674" si="128">"E"</f>
        <v>E</v>
      </c>
      <c r="O643" t="str">
        <f>"D"</f>
        <v>D</v>
      </c>
      <c r="P643">
        <v>0</v>
      </c>
      <c r="Q643">
        <v>100</v>
      </c>
      <c r="R643">
        <v>100</v>
      </c>
      <c r="S643">
        <v>75013</v>
      </c>
      <c r="T643">
        <v>100</v>
      </c>
      <c r="U643">
        <v>75013</v>
      </c>
      <c r="V643" t="str">
        <f>""</f>
        <v/>
      </c>
      <c r="W643">
        <v>34</v>
      </c>
      <c r="X643">
        <v>0</v>
      </c>
      <c r="Y643">
        <v>6000577</v>
      </c>
      <c r="Z643">
        <v>2</v>
      </c>
      <c r="AA643">
        <v>27</v>
      </c>
      <c r="AB643" t="str">
        <f>""</f>
        <v/>
      </c>
      <c r="AC643" t="str">
        <f>""</f>
        <v/>
      </c>
      <c r="AD643" t="str">
        <f>""</f>
        <v/>
      </c>
      <c r="AE643">
        <v>2016</v>
      </c>
      <c r="AF643">
        <v>2018</v>
      </c>
      <c r="AG643" t="str">
        <f>"PARIS"</f>
        <v>PARIS</v>
      </c>
      <c r="AH643" t="str">
        <f>"PARIS"</f>
        <v>PARIS</v>
      </c>
      <c r="AI643" t="str">
        <f>""</f>
        <v/>
      </c>
      <c r="AJ643" t="str">
        <f>""</f>
        <v/>
      </c>
      <c r="AK643" t="str">
        <f>""</f>
        <v/>
      </c>
      <c r="AL643">
        <v>0</v>
      </c>
      <c r="AM643" t="str">
        <f>""</f>
        <v/>
      </c>
      <c r="AN643" t="str">
        <f>""</f>
        <v/>
      </c>
      <c r="AO643" t="str">
        <f>"Lycée du Coudon"</f>
        <v>Lycée du Coudon</v>
      </c>
      <c r="AP643" t="str">
        <f>"LA GARDE"</f>
        <v>LA GARDE</v>
      </c>
      <c r="AQ643" t="str">
        <f>"Nice"</f>
        <v>Nice</v>
      </c>
    </row>
    <row r="644" spans="1:43" x14ac:dyDescent="0.25">
      <c r="A644" t="str">
        <f>"3A,Master ES,3A Att"</f>
        <v>3A,Master ES,3A Att</v>
      </c>
      <c r="B644" t="str">
        <f>"LE VU"</f>
        <v>LE VU</v>
      </c>
      <c r="C644" t="str">
        <f>"Pierre"</f>
        <v>Pierre</v>
      </c>
      <c r="D644" t="str">
        <f>"018-1278"</f>
        <v>018-1278</v>
      </c>
      <c r="E644" t="str">
        <f>"0109018652K"</f>
        <v>0109018652K</v>
      </c>
      <c r="F644" t="str">
        <f t="shared" si="126"/>
        <v>0352480F</v>
      </c>
      <c r="G644" t="str">
        <f t="shared" si="127"/>
        <v>O</v>
      </c>
      <c r="H644">
        <v>10</v>
      </c>
      <c r="I644">
        <v>1998</v>
      </c>
      <c r="J644">
        <v>1</v>
      </c>
      <c r="K644" t="str">
        <f>"S"</f>
        <v>S</v>
      </c>
      <c r="L644">
        <v>1</v>
      </c>
      <c r="M644">
        <v>2016</v>
      </c>
      <c r="N644" t="str">
        <f t="shared" si="128"/>
        <v>E</v>
      </c>
      <c r="O644" t="str">
        <f>"D"</f>
        <v>D</v>
      </c>
      <c r="P644">
        <v>0</v>
      </c>
      <c r="Q644">
        <v>100</v>
      </c>
      <c r="R644">
        <v>100</v>
      </c>
      <c r="S644">
        <v>75017</v>
      </c>
      <c r="T644">
        <v>100</v>
      </c>
      <c r="U644">
        <v>75017</v>
      </c>
      <c r="V644" t="str">
        <f>""</f>
        <v/>
      </c>
      <c r="W644">
        <v>38</v>
      </c>
      <c r="X644">
        <v>0</v>
      </c>
      <c r="Y644">
        <v>6000577</v>
      </c>
      <c r="Z644">
        <v>2</v>
      </c>
      <c r="AA644">
        <v>27</v>
      </c>
      <c r="AB644" t="str">
        <f>""</f>
        <v/>
      </c>
      <c r="AC644" t="str">
        <f>""</f>
        <v/>
      </c>
      <c r="AD644" t="str">
        <f>""</f>
        <v/>
      </c>
      <c r="AE644">
        <v>2016</v>
      </c>
      <c r="AF644">
        <v>2018</v>
      </c>
      <c r="AG644" t="str">
        <f>"Paris"</f>
        <v>Paris</v>
      </c>
      <c r="AH644" t="str">
        <f>"Paris"</f>
        <v>Paris</v>
      </c>
      <c r="AI644" t="str">
        <f>""</f>
        <v/>
      </c>
      <c r="AJ644" t="str">
        <f>""</f>
        <v/>
      </c>
      <c r="AK644" t="str">
        <f>""</f>
        <v/>
      </c>
      <c r="AL644">
        <v>33</v>
      </c>
      <c r="AM644" t="str">
        <f>""</f>
        <v/>
      </c>
      <c r="AN644" t="str">
        <f>""</f>
        <v/>
      </c>
      <c r="AO644" t="str">
        <f>"Jean de la Fontaine"</f>
        <v>Jean de la Fontaine</v>
      </c>
      <c r="AP644" t="str">
        <f>"PARIS"</f>
        <v>PARIS</v>
      </c>
      <c r="AQ644" t="str">
        <f>"Paris"</f>
        <v>Paris</v>
      </c>
    </row>
    <row r="645" spans="1:43" x14ac:dyDescent="0.25">
      <c r="A645" t="str">
        <f>"3A,Master ES,3A Att"</f>
        <v>3A,Master ES,3A Att</v>
      </c>
      <c r="B645" t="str">
        <f>"LEMAIRE"</f>
        <v>LEMAIRE</v>
      </c>
      <c r="C645" t="str">
        <f>"Benoît"</f>
        <v>Benoît</v>
      </c>
      <c r="D645" t="str">
        <f>"019-1509"</f>
        <v>019-1509</v>
      </c>
      <c r="E645" t="str">
        <f>"07JZ4U000V1"</f>
        <v>07JZ4U000V1</v>
      </c>
      <c r="F645" t="str">
        <f t="shared" si="126"/>
        <v>0352480F</v>
      </c>
      <c r="G645" t="str">
        <f t="shared" si="127"/>
        <v>O</v>
      </c>
      <c r="H645">
        <v>10</v>
      </c>
      <c r="I645">
        <v>1966</v>
      </c>
      <c r="J645">
        <v>1</v>
      </c>
      <c r="K645" t="str">
        <f>"C"</f>
        <v>C</v>
      </c>
      <c r="L645">
        <v>8</v>
      </c>
      <c r="M645">
        <v>1984</v>
      </c>
      <c r="N645" t="str">
        <f t="shared" si="128"/>
        <v>E</v>
      </c>
      <c r="O645" t="str">
        <f>"Y"</f>
        <v>Y</v>
      </c>
      <c r="P645">
        <v>0</v>
      </c>
      <c r="Q645">
        <v>100</v>
      </c>
      <c r="R645">
        <v>100</v>
      </c>
      <c r="S645">
        <v>87000</v>
      </c>
      <c r="T645">
        <v>100</v>
      </c>
      <c r="U645">
        <v>87000</v>
      </c>
      <c r="V645" t="str">
        <f>""</f>
        <v/>
      </c>
      <c r="W645">
        <v>0</v>
      </c>
      <c r="X645">
        <v>0</v>
      </c>
      <c r="Y645">
        <v>6000577</v>
      </c>
      <c r="Z645">
        <v>2</v>
      </c>
      <c r="AA645">
        <v>27</v>
      </c>
      <c r="AB645" t="str">
        <f>""</f>
        <v/>
      </c>
      <c r="AC645" t="str">
        <f>""</f>
        <v/>
      </c>
      <c r="AD645" t="str">
        <f>""</f>
        <v/>
      </c>
      <c r="AE645">
        <v>1984</v>
      </c>
      <c r="AF645">
        <v>2019</v>
      </c>
      <c r="AG645" t="str">
        <f>"Limoges"</f>
        <v>Limoges</v>
      </c>
      <c r="AH645" t="str">
        <f>"Limoges"</f>
        <v>Limoges</v>
      </c>
      <c r="AI645" t="str">
        <f>""</f>
        <v/>
      </c>
      <c r="AJ645" t="str">
        <f>""</f>
        <v/>
      </c>
      <c r="AK645" t="str">
        <f>""</f>
        <v/>
      </c>
      <c r="AL645">
        <v>38</v>
      </c>
      <c r="AM645" t="str">
        <f>""</f>
        <v/>
      </c>
      <c r="AN645" t="str">
        <f>""</f>
        <v/>
      </c>
      <c r="AO645" t="str">
        <f>"Lycée Berthollet"</f>
        <v>Lycée Berthollet</v>
      </c>
      <c r="AP645" t="str">
        <f>"ANNECY"</f>
        <v>ANNECY</v>
      </c>
      <c r="AQ645" t="str">
        <f>"Grenoble"</f>
        <v>Grenoble</v>
      </c>
    </row>
    <row r="646" spans="1:43" x14ac:dyDescent="0.25">
      <c r="A646" t="str">
        <f t="shared" ref="A646:A664" si="129">"3A,Master ES,T00000,3A Att"</f>
        <v>3A,Master ES,T00000,3A Att</v>
      </c>
      <c r="B646" t="str">
        <f>"BLIN-VIALART"</f>
        <v>BLIN-VIALART</v>
      </c>
      <c r="C646" t="str">
        <f>"Guillaume"</f>
        <v>Guillaume</v>
      </c>
      <c r="D646" t="str">
        <f>"018-1398"</f>
        <v>018-1398</v>
      </c>
      <c r="E646" t="str">
        <f>"0909030875N"</f>
        <v>0909030875N</v>
      </c>
      <c r="F646" t="str">
        <f t="shared" si="126"/>
        <v>0352480F</v>
      </c>
      <c r="G646" t="str">
        <f t="shared" si="127"/>
        <v>O</v>
      </c>
      <c r="H646">
        <v>10</v>
      </c>
      <c r="I646">
        <v>1999</v>
      </c>
      <c r="J646">
        <v>1</v>
      </c>
      <c r="K646" t="str">
        <f>"S"</f>
        <v>S</v>
      </c>
      <c r="L646">
        <v>9</v>
      </c>
      <c r="M646">
        <v>2016</v>
      </c>
      <c r="N646" t="str">
        <f t="shared" si="128"/>
        <v>E</v>
      </c>
      <c r="O646" t="str">
        <f>"D"</f>
        <v>D</v>
      </c>
      <c r="P646">
        <v>0</v>
      </c>
      <c r="Q646">
        <v>100</v>
      </c>
      <c r="R646">
        <v>100</v>
      </c>
      <c r="S646">
        <v>75012</v>
      </c>
      <c r="T646">
        <v>100</v>
      </c>
      <c r="U646">
        <v>75012</v>
      </c>
      <c r="V646" t="str">
        <f>""</f>
        <v/>
      </c>
      <c r="W646">
        <v>34</v>
      </c>
      <c r="X646">
        <v>0</v>
      </c>
      <c r="Y646">
        <v>6000577</v>
      </c>
      <c r="Z646">
        <v>2</v>
      </c>
      <c r="AA646">
        <v>27</v>
      </c>
      <c r="AB646" t="str">
        <f>""</f>
        <v/>
      </c>
      <c r="AC646" t="str">
        <f>""</f>
        <v/>
      </c>
      <c r="AD646" t="str">
        <f>""</f>
        <v/>
      </c>
      <c r="AE646">
        <v>2016</v>
      </c>
      <c r="AF646">
        <v>2018</v>
      </c>
      <c r="AG646" t="str">
        <f>"PARIS"</f>
        <v>PARIS</v>
      </c>
      <c r="AH646" t="str">
        <f>"PARIS"</f>
        <v>PARIS</v>
      </c>
      <c r="AI646" t="str">
        <f>""</f>
        <v/>
      </c>
      <c r="AJ646" t="str">
        <f>""</f>
        <v/>
      </c>
      <c r="AK646" t="str">
        <f>""</f>
        <v/>
      </c>
      <c r="AL646">
        <v>56</v>
      </c>
      <c r="AM646" t="str">
        <f>""</f>
        <v/>
      </c>
      <c r="AN646" t="str">
        <f>""</f>
        <v/>
      </c>
      <c r="AO646" t="str">
        <f>"Lycée Watteau"</f>
        <v>Lycée Watteau</v>
      </c>
      <c r="AP646" t="str">
        <f>"VALENCIENNES"</f>
        <v>VALENCIENNES</v>
      </c>
      <c r="AQ646" t="str">
        <f>"Lille"</f>
        <v>Lille</v>
      </c>
    </row>
    <row r="647" spans="1:43" x14ac:dyDescent="0.25">
      <c r="A647" t="str">
        <f t="shared" si="129"/>
        <v>3A,Master ES,T00000,3A Att</v>
      </c>
      <c r="B647" t="str">
        <f>"BONOMO"</f>
        <v>BONOMO</v>
      </c>
      <c r="C647" t="str">
        <f>"Adrien"</f>
        <v>Adrien</v>
      </c>
      <c r="D647" t="str">
        <f>"020-1816"</f>
        <v>020-1816</v>
      </c>
      <c r="E647" t="str">
        <f>"081230827HH"</f>
        <v>081230827HH</v>
      </c>
      <c r="F647" t="str">
        <f t="shared" si="126"/>
        <v>0352480F</v>
      </c>
      <c r="G647" t="str">
        <f t="shared" si="127"/>
        <v>O</v>
      </c>
      <c r="H647">
        <v>10</v>
      </c>
      <c r="I647">
        <v>2000</v>
      </c>
      <c r="J647">
        <v>1</v>
      </c>
      <c r="K647" t="str">
        <f>"ES"</f>
        <v>ES</v>
      </c>
      <c r="L647">
        <v>17</v>
      </c>
      <c r="M647">
        <v>2018</v>
      </c>
      <c r="N647" t="str">
        <f t="shared" si="128"/>
        <v>E</v>
      </c>
      <c r="O647" t="str">
        <f>"D"</f>
        <v>D</v>
      </c>
      <c r="P647">
        <v>0</v>
      </c>
      <c r="Q647">
        <v>100</v>
      </c>
      <c r="R647">
        <v>100</v>
      </c>
      <c r="S647">
        <v>35000</v>
      </c>
      <c r="T647">
        <v>100</v>
      </c>
      <c r="U647">
        <v>35000</v>
      </c>
      <c r="V647" t="str">
        <f>""</f>
        <v/>
      </c>
      <c r="W647">
        <v>33</v>
      </c>
      <c r="X647">
        <v>0</v>
      </c>
      <c r="Y647">
        <v>6000577</v>
      </c>
      <c r="Z647">
        <v>2</v>
      </c>
      <c r="AA647">
        <v>27</v>
      </c>
      <c r="AB647" t="str">
        <f>""</f>
        <v/>
      </c>
      <c r="AC647" t="str">
        <f>""</f>
        <v/>
      </c>
      <c r="AD647" t="str">
        <f>""</f>
        <v/>
      </c>
      <c r="AE647">
        <v>2018</v>
      </c>
      <c r="AF647">
        <v>2020</v>
      </c>
      <c r="AG647" t="str">
        <f>"Rennes"</f>
        <v>Rennes</v>
      </c>
      <c r="AH647" t="str">
        <f>"Rennes"</f>
        <v>Rennes</v>
      </c>
      <c r="AI647" t="str">
        <f>""</f>
        <v/>
      </c>
      <c r="AJ647" t="str">
        <f>""</f>
        <v/>
      </c>
      <c r="AK647" t="str">
        <f>""</f>
        <v/>
      </c>
      <c r="AL647">
        <v>34</v>
      </c>
      <c r="AM647" t="str">
        <f>""</f>
        <v/>
      </c>
      <c r="AN647" t="str">
        <f>""</f>
        <v/>
      </c>
      <c r="AO647" t="str">
        <f>"Les Bourdonnières"</f>
        <v>Les Bourdonnières</v>
      </c>
      <c r="AP647" t="str">
        <f>"NANTES"</f>
        <v>NANTES</v>
      </c>
      <c r="AQ647" t="str">
        <f>"Nantes"</f>
        <v>Nantes</v>
      </c>
    </row>
    <row r="648" spans="1:43" x14ac:dyDescent="0.25">
      <c r="A648" t="str">
        <f t="shared" si="129"/>
        <v>3A,Master ES,T00000,3A Att</v>
      </c>
      <c r="B648" t="str">
        <f>"BOUR"</f>
        <v>BOUR</v>
      </c>
      <c r="C648" t="str">
        <f>"Cécile"</f>
        <v>Cécile</v>
      </c>
      <c r="D648" t="str">
        <f>"020-1831"</f>
        <v>020-1831</v>
      </c>
      <c r="E648" t="str">
        <f>"2510012808S"</f>
        <v>2510012808S</v>
      </c>
      <c r="F648" t="str">
        <f t="shared" si="126"/>
        <v>0352480F</v>
      </c>
      <c r="G648" t="str">
        <f t="shared" si="127"/>
        <v>O</v>
      </c>
      <c r="H648">
        <v>10</v>
      </c>
      <c r="I648">
        <v>1999</v>
      </c>
      <c r="J648">
        <v>2</v>
      </c>
      <c r="K648" t="str">
        <f>"S"</f>
        <v>S</v>
      </c>
      <c r="L648">
        <v>12</v>
      </c>
      <c r="M648">
        <v>2017</v>
      </c>
      <c r="N648" t="str">
        <f t="shared" si="128"/>
        <v>E</v>
      </c>
      <c r="O648" t="str">
        <f>"D"</f>
        <v>D</v>
      </c>
      <c r="P648">
        <v>0</v>
      </c>
      <c r="Q648">
        <v>100</v>
      </c>
      <c r="R648">
        <v>100</v>
      </c>
      <c r="S648">
        <v>13005</v>
      </c>
      <c r="T648">
        <v>100</v>
      </c>
      <c r="U648">
        <v>13005</v>
      </c>
      <c r="V648" t="str">
        <f>""</f>
        <v/>
      </c>
      <c r="W648">
        <v>33</v>
      </c>
      <c r="X648">
        <v>0</v>
      </c>
      <c r="Y648">
        <v>6000577</v>
      </c>
      <c r="Z648">
        <v>2</v>
      </c>
      <c r="AA648">
        <v>27</v>
      </c>
      <c r="AB648" t="str">
        <f>""</f>
        <v/>
      </c>
      <c r="AC648" t="str">
        <f>""</f>
        <v/>
      </c>
      <c r="AD648" t="str">
        <f>""</f>
        <v/>
      </c>
      <c r="AE648">
        <v>2017</v>
      </c>
      <c r="AF648">
        <v>2020</v>
      </c>
      <c r="AG648" t="str">
        <f>"MARSEILLE"</f>
        <v>MARSEILLE</v>
      </c>
      <c r="AH648" t="str">
        <f>"MARSEILLE"</f>
        <v>MARSEILLE</v>
      </c>
      <c r="AI648" t="str">
        <f>""</f>
        <v/>
      </c>
      <c r="AJ648" t="str">
        <f>""</f>
        <v/>
      </c>
      <c r="AK648" t="str">
        <f>""</f>
        <v/>
      </c>
      <c r="AL648">
        <v>33</v>
      </c>
      <c r="AM648" t="str">
        <f>""</f>
        <v/>
      </c>
      <c r="AN648" t="str">
        <f>""</f>
        <v/>
      </c>
      <c r="AO648" t="str">
        <f>"Georges de la Tour"</f>
        <v>Georges de la Tour</v>
      </c>
      <c r="AP648" t="str">
        <f>"METZ"</f>
        <v>METZ</v>
      </c>
      <c r="AQ648" t="str">
        <f>"Nancy-Metz"</f>
        <v>Nancy-Metz</v>
      </c>
    </row>
    <row r="649" spans="1:43" x14ac:dyDescent="0.25">
      <c r="A649" t="str">
        <f t="shared" si="129"/>
        <v>3A,Master ES,T00000,3A Att</v>
      </c>
      <c r="B649" t="str">
        <f>"BOUSQUET"</f>
        <v>BOUSQUET</v>
      </c>
      <c r="C649" t="str">
        <f>"Paul"</f>
        <v>Paul</v>
      </c>
      <c r="D649" t="str">
        <f>"022-2296"</f>
        <v>022-2296</v>
      </c>
      <c r="E649" t="str">
        <f>"081412008KC"</f>
        <v>081412008KC</v>
      </c>
      <c r="F649" t="str">
        <f t="shared" si="126"/>
        <v>0352480F</v>
      </c>
      <c r="G649" t="str">
        <f t="shared" si="127"/>
        <v>O</v>
      </c>
      <c r="H649">
        <v>10</v>
      </c>
      <c r="I649">
        <v>2001</v>
      </c>
      <c r="J649">
        <v>1</v>
      </c>
      <c r="K649" t="str">
        <f>"S"</f>
        <v>S</v>
      </c>
      <c r="L649">
        <v>11</v>
      </c>
      <c r="M649">
        <v>2019</v>
      </c>
      <c r="N649" t="str">
        <f t="shared" si="128"/>
        <v>E</v>
      </c>
      <c r="O649" t="str">
        <f>"D"</f>
        <v>D</v>
      </c>
      <c r="P649">
        <v>0</v>
      </c>
      <c r="Q649">
        <v>100</v>
      </c>
      <c r="R649">
        <v>100</v>
      </c>
      <c r="S649">
        <v>35200</v>
      </c>
      <c r="T649">
        <v>100</v>
      </c>
      <c r="U649">
        <v>35200</v>
      </c>
      <c r="V649" t="str">
        <f>""</f>
        <v/>
      </c>
      <c r="W649">
        <v>22</v>
      </c>
      <c r="X649">
        <v>0</v>
      </c>
      <c r="Y649">
        <v>6000577</v>
      </c>
      <c r="Z649">
        <v>2</v>
      </c>
      <c r="AA649">
        <v>27</v>
      </c>
      <c r="AB649" t="str">
        <f>""</f>
        <v/>
      </c>
      <c r="AC649" t="str">
        <f>""</f>
        <v/>
      </c>
      <c r="AD649" t="str">
        <f>""</f>
        <v/>
      </c>
      <c r="AE649">
        <v>2019</v>
      </c>
      <c r="AF649">
        <v>2022</v>
      </c>
      <c r="AG649" t="str">
        <f>"Rennes"</f>
        <v>Rennes</v>
      </c>
      <c r="AH649" t="str">
        <f>"Rennes"</f>
        <v>Rennes</v>
      </c>
      <c r="AI649" t="str">
        <f>""</f>
        <v/>
      </c>
      <c r="AJ649" t="str">
        <f>""</f>
        <v/>
      </c>
      <c r="AK649" t="str">
        <f>""</f>
        <v/>
      </c>
      <c r="AL649">
        <v>22</v>
      </c>
      <c r="AM649" t="str">
        <f>""</f>
        <v/>
      </c>
      <c r="AN649" t="str">
        <f>""</f>
        <v/>
      </c>
      <c r="AO649" t="str">
        <f>"lycée Alphonse Daudet"</f>
        <v>lycée Alphonse Daudet</v>
      </c>
      <c r="AP649" t="str">
        <f>"NÎMES"</f>
        <v>NÎMES</v>
      </c>
      <c r="AQ649" t="str">
        <f>"Montpellier"</f>
        <v>Montpellier</v>
      </c>
    </row>
    <row r="650" spans="1:43" x14ac:dyDescent="0.25">
      <c r="A650" t="str">
        <f t="shared" si="129"/>
        <v>3A,Master ES,T00000,3A Att</v>
      </c>
      <c r="B650" t="str">
        <f>"CROCHET"</f>
        <v>CROCHET</v>
      </c>
      <c r="C650" t="str">
        <f>"Enzo"</f>
        <v>Enzo</v>
      </c>
      <c r="D650" t="str">
        <f>"022-2208"</f>
        <v>022-2208</v>
      </c>
      <c r="E650" t="str">
        <f>"070419497HJ"</f>
        <v>070419497HJ</v>
      </c>
      <c r="F650" t="str">
        <f t="shared" si="126"/>
        <v>0352480F</v>
      </c>
      <c r="G650" t="str">
        <f t="shared" si="127"/>
        <v>O</v>
      </c>
      <c r="H650">
        <v>10</v>
      </c>
      <c r="I650">
        <v>2002</v>
      </c>
      <c r="J650">
        <v>1</v>
      </c>
      <c r="K650" t="str">
        <f>"S"</f>
        <v>S</v>
      </c>
      <c r="L650">
        <v>17</v>
      </c>
      <c r="M650">
        <v>2020</v>
      </c>
      <c r="N650" t="str">
        <f t="shared" si="128"/>
        <v>E</v>
      </c>
      <c r="O650" t="str">
        <f>"N"</f>
        <v>N</v>
      </c>
      <c r="P650">
        <v>0</v>
      </c>
      <c r="Q650">
        <v>100</v>
      </c>
      <c r="R650">
        <v>100</v>
      </c>
      <c r="S650">
        <v>35000</v>
      </c>
      <c r="T650">
        <v>100</v>
      </c>
      <c r="U650">
        <v>35000</v>
      </c>
      <c r="V650" t="str">
        <f>"TOEIC passé à l'ENSAI le 22/05/2023 : score 905"</f>
        <v>TOEIC passé à l'ENSAI le 22/05/2023 : score 905</v>
      </c>
      <c r="W650">
        <v>0</v>
      </c>
      <c r="X650">
        <v>0</v>
      </c>
      <c r="Y650">
        <v>6000577</v>
      </c>
      <c r="Z650">
        <v>2</v>
      </c>
      <c r="AA650">
        <v>27</v>
      </c>
      <c r="AB650" t="str">
        <f>""</f>
        <v/>
      </c>
      <c r="AC650" t="str">
        <f>""</f>
        <v/>
      </c>
      <c r="AD650" t="str">
        <f>""</f>
        <v/>
      </c>
      <c r="AE650">
        <v>2020</v>
      </c>
      <c r="AF650">
        <v>2022</v>
      </c>
      <c r="AG650" t="str">
        <f>"Rennes"</f>
        <v>Rennes</v>
      </c>
      <c r="AH650" t="str">
        <f>"Rennes"</f>
        <v>Rennes</v>
      </c>
      <c r="AI650" t="str">
        <f>""</f>
        <v/>
      </c>
      <c r="AJ650" t="str">
        <f>""</f>
        <v/>
      </c>
      <c r="AK650" t="str">
        <f>""</f>
        <v/>
      </c>
      <c r="AL650">
        <v>0</v>
      </c>
      <c r="AM650" t="str">
        <f>""</f>
        <v/>
      </c>
      <c r="AN650" t="str">
        <f>""</f>
        <v/>
      </c>
      <c r="AO650" t="str">
        <f>"Les Bourdonnières"</f>
        <v>Les Bourdonnières</v>
      </c>
      <c r="AP650" t="str">
        <f>"NANTES"</f>
        <v>NANTES</v>
      </c>
      <c r="AQ650" t="str">
        <f>"Nantes"</f>
        <v>Nantes</v>
      </c>
    </row>
    <row r="651" spans="1:43" x14ac:dyDescent="0.25">
      <c r="A651" t="str">
        <f t="shared" si="129"/>
        <v>3A,Master ES,T00000,3A Att</v>
      </c>
      <c r="B651" t="str">
        <f>"DAMPERON"</f>
        <v>DAMPERON</v>
      </c>
      <c r="C651" t="str">
        <f>"Théo"</f>
        <v>Théo</v>
      </c>
      <c r="D651" t="str">
        <f>"019-1564"</f>
        <v>019-1564</v>
      </c>
      <c r="E651" t="str">
        <f>"1909000493L"</f>
        <v>1909000493L</v>
      </c>
      <c r="F651" t="str">
        <f t="shared" si="126"/>
        <v>0352480F</v>
      </c>
      <c r="G651" t="str">
        <f t="shared" si="127"/>
        <v>O</v>
      </c>
      <c r="H651">
        <v>10</v>
      </c>
      <c r="I651">
        <v>1998</v>
      </c>
      <c r="J651">
        <v>1</v>
      </c>
      <c r="K651" t="str">
        <f>"S"</f>
        <v>S</v>
      </c>
      <c r="L651">
        <v>19</v>
      </c>
      <c r="M651">
        <v>2016</v>
      </c>
      <c r="N651" t="str">
        <f t="shared" si="128"/>
        <v>E</v>
      </c>
      <c r="O651" t="str">
        <f>"D"</f>
        <v>D</v>
      </c>
      <c r="P651">
        <v>0</v>
      </c>
      <c r="Q651">
        <v>100</v>
      </c>
      <c r="R651">
        <v>100</v>
      </c>
      <c r="S651">
        <v>92170</v>
      </c>
      <c r="T651">
        <v>100</v>
      </c>
      <c r="U651">
        <v>92170</v>
      </c>
      <c r="V651" t="str">
        <f>""</f>
        <v/>
      </c>
      <c r="W651">
        <v>45</v>
      </c>
      <c r="X651">
        <v>0</v>
      </c>
      <c r="Y651">
        <v>6000577</v>
      </c>
      <c r="Z651">
        <v>2</v>
      </c>
      <c r="AA651">
        <v>27</v>
      </c>
      <c r="AB651" t="str">
        <f>""</f>
        <v/>
      </c>
      <c r="AC651" t="str">
        <f>""</f>
        <v/>
      </c>
      <c r="AD651" t="str">
        <f>""</f>
        <v/>
      </c>
      <c r="AE651">
        <v>2016</v>
      </c>
      <c r="AF651">
        <v>2019</v>
      </c>
      <c r="AG651" t="str">
        <f>"VANVES"</f>
        <v>VANVES</v>
      </c>
      <c r="AH651" t="str">
        <f>"VANVES"</f>
        <v>VANVES</v>
      </c>
      <c r="AI651" t="str">
        <f>""</f>
        <v/>
      </c>
      <c r="AJ651" t="str">
        <f>""</f>
        <v/>
      </c>
      <c r="AK651" t="str">
        <f>""</f>
        <v/>
      </c>
      <c r="AL651">
        <v>47</v>
      </c>
      <c r="AM651" t="str">
        <f>""</f>
        <v/>
      </c>
      <c r="AN651" t="str">
        <f>""</f>
        <v/>
      </c>
      <c r="AO651" t="str">
        <f>"Lycée François Bazin"</f>
        <v>Lycée François Bazin</v>
      </c>
      <c r="AP651" t="str">
        <f>"CHARLEVILLE-MEZIERES"</f>
        <v>CHARLEVILLE-MEZIERES</v>
      </c>
      <c r="AQ651" t="str">
        <f>"Reims"</f>
        <v>Reims</v>
      </c>
    </row>
    <row r="652" spans="1:43" x14ac:dyDescent="0.25">
      <c r="A652" t="str">
        <f t="shared" si="129"/>
        <v>3A,Master ES,T00000,3A Att</v>
      </c>
      <c r="B652" t="str">
        <f>"DÉSIRÉ"</f>
        <v>DÉSIRÉ</v>
      </c>
      <c r="C652" t="str">
        <f>"Méline"</f>
        <v>Méline</v>
      </c>
      <c r="D652" t="str">
        <f>"022-2312"</f>
        <v>022-2312</v>
      </c>
      <c r="E652" t="str">
        <f>"133218487FC"</f>
        <v>133218487FC</v>
      </c>
      <c r="F652" t="str">
        <f t="shared" si="126"/>
        <v>0352480F</v>
      </c>
      <c r="G652" t="str">
        <f t="shared" si="127"/>
        <v>O</v>
      </c>
      <c r="H652">
        <v>10</v>
      </c>
      <c r="I652">
        <v>2002</v>
      </c>
      <c r="J652">
        <v>2</v>
      </c>
      <c r="K652" t="str">
        <f>"S"</f>
        <v>S</v>
      </c>
      <c r="L652">
        <v>18</v>
      </c>
      <c r="M652">
        <v>2020</v>
      </c>
      <c r="N652" t="str">
        <f t="shared" si="128"/>
        <v>E</v>
      </c>
      <c r="O652" t="str">
        <f>"D"</f>
        <v>D</v>
      </c>
      <c r="P652">
        <v>0</v>
      </c>
      <c r="Q652">
        <v>100</v>
      </c>
      <c r="R652">
        <v>100</v>
      </c>
      <c r="S652">
        <v>35000</v>
      </c>
      <c r="T652">
        <v>100</v>
      </c>
      <c r="U652">
        <v>35000</v>
      </c>
      <c r="V652" t="str">
        <f>"TOEIC passé à l'ENSAI le 22/05/2023 : score 945"</f>
        <v>TOEIC passé à l'ENSAI le 22/05/2023 : score 945</v>
      </c>
      <c r="W652">
        <v>33</v>
      </c>
      <c r="X652">
        <v>0</v>
      </c>
      <c r="Y652">
        <v>6000577</v>
      </c>
      <c r="Z652">
        <v>2</v>
      </c>
      <c r="AA652">
        <v>27</v>
      </c>
      <c r="AB652" t="str">
        <f>""</f>
        <v/>
      </c>
      <c r="AC652" t="str">
        <f>""</f>
        <v/>
      </c>
      <c r="AD652" t="str">
        <f>""</f>
        <v/>
      </c>
      <c r="AE652">
        <v>2020</v>
      </c>
      <c r="AF652">
        <v>2022</v>
      </c>
      <c r="AG652" t="str">
        <f t="shared" ref="AG652:AH654" si="130">"Rennes"</f>
        <v>Rennes</v>
      </c>
      <c r="AH652" t="str">
        <f t="shared" si="130"/>
        <v>Rennes</v>
      </c>
      <c r="AI652" t="str">
        <f>""</f>
        <v/>
      </c>
      <c r="AJ652" t="str">
        <f>""</f>
        <v/>
      </c>
      <c r="AK652" t="str">
        <f>""</f>
        <v/>
      </c>
      <c r="AL652">
        <v>0</v>
      </c>
      <c r="AM652" t="str">
        <f>""</f>
        <v/>
      </c>
      <c r="AN652" t="str">
        <f>""</f>
        <v/>
      </c>
      <c r="AO652" t="str">
        <f>"Ronsard"</f>
        <v>Ronsard</v>
      </c>
      <c r="AP652" t="str">
        <f>"VENDÔME"</f>
        <v>VENDÔME</v>
      </c>
      <c r="AQ652" t="str">
        <f>"Orléans-Tours"</f>
        <v>Orléans-Tours</v>
      </c>
    </row>
    <row r="653" spans="1:43" x14ac:dyDescent="0.25">
      <c r="A653" t="str">
        <f t="shared" si="129"/>
        <v>3A,Master ES,T00000,3A Att</v>
      </c>
      <c r="B653" t="str">
        <f>"DUMAS"</f>
        <v>DUMAS</v>
      </c>
      <c r="C653" t="str">
        <f>"Anaïs"</f>
        <v>Anaïs</v>
      </c>
      <c r="D653" t="str">
        <f>"021-2059"</f>
        <v>021-2059</v>
      </c>
      <c r="E653" t="str">
        <f>"1411047976A"</f>
        <v>1411047976A</v>
      </c>
      <c r="F653" t="str">
        <f t="shared" si="126"/>
        <v>0352480F</v>
      </c>
      <c r="G653" t="str">
        <f t="shared" si="127"/>
        <v>O</v>
      </c>
      <c r="H653">
        <v>10</v>
      </c>
      <c r="I653">
        <v>2000</v>
      </c>
      <c r="J653">
        <v>2</v>
      </c>
      <c r="K653" t="str">
        <f>"ES"</f>
        <v>ES</v>
      </c>
      <c r="L653">
        <v>14</v>
      </c>
      <c r="M653">
        <v>2018</v>
      </c>
      <c r="N653" t="str">
        <f t="shared" si="128"/>
        <v>E</v>
      </c>
      <c r="O653" t="str">
        <f>"A"</f>
        <v>A</v>
      </c>
      <c r="P653">
        <v>0</v>
      </c>
      <c r="Q653">
        <v>100</v>
      </c>
      <c r="R653">
        <v>100</v>
      </c>
      <c r="S653">
        <v>35000</v>
      </c>
      <c r="T653">
        <v>100</v>
      </c>
      <c r="U653">
        <v>35000</v>
      </c>
      <c r="V653" t="str">
        <f>"TOEIC à l'ENSAI le 19/05/2022: score 830"</f>
        <v>TOEIC à l'ENSAI le 19/05/2022: score 830</v>
      </c>
      <c r="W653">
        <v>34</v>
      </c>
      <c r="X653">
        <v>0</v>
      </c>
      <c r="Y653">
        <v>6000577</v>
      </c>
      <c r="Z653">
        <v>2</v>
      </c>
      <c r="AA653">
        <v>27</v>
      </c>
      <c r="AB653" t="str">
        <f>""</f>
        <v/>
      </c>
      <c r="AC653" t="str">
        <f>""</f>
        <v/>
      </c>
      <c r="AD653" t="str">
        <f>""</f>
        <v/>
      </c>
      <c r="AE653">
        <v>2018</v>
      </c>
      <c r="AF653">
        <v>2021</v>
      </c>
      <c r="AG653" t="str">
        <f t="shared" si="130"/>
        <v>Rennes</v>
      </c>
      <c r="AH653" t="str">
        <f t="shared" si="130"/>
        <v>Rennes</v>
      </c>
      <c r="AI653" t="str">
        <f>""</f>
        <v/>
      </c>
      <c r="AJ653" t="str">
        <f>""</f>
        <v/>
      </c>
      <c r="AK653" t="str">
        <f>""</f>
        <v/>
      </c>
      <c r="AL653">
        <v>52</v>
      </c>
      <c r="AM653" t="str">
        <f>""</f>
        <v/>
      </c>
      <c r="AN653" t="str">
        <f>""</f>
        <v/>
      </c>
      <c r="AO653" t="str">
        <f>"La Croix Rouge Lasalle"</f>
        <v>La Croix Rouge Lasalle</v>
      </c>
      <c r="AP653" t="str">
        <f>"BREST"</f>
        <v>BREST</v>
      </c>
      <c r="AQ653" t="str">
        <f>"Rennes"</f>
        <v>Rennes</v>
      </c>
    </row>
    <row r="654" spans="1:43" x14ac:dyDescent="0.25">
      <c r="A654" t="str">
        <f t="shared" si="129"/>
        <v>3A,Master ES,T00000,3A Att</v>
      </c>
      <c r="B654" t="str">
        <f>"GOME"</f>
        <v>GOME</v>
      </c>
      <c r="C654" t="str">
        <f>"Hadrien"</f>
        <v>Hadrien</v>
      </c>
      <c r="D654" t="str">
        <f>"021-2012"</f>
        <v>021-2012</v>
      </c>
      <c r="E654" t="str">
        <f>"083114253AD"</f>
        <v>083114253AD</v>
      </c>
      <c r="F654" t="str">
        <f t="shared" si="126"/>
        <v>0352480F</v>
      </c>
      <c r="G654" t="str">
        <f t="shared" si="127"/>
        <v>O</v>
      </c>
      <c r="H654">
        <v>10</v>
      </c>
      <c r="I654">
        <v>1988</v>
      </c>
      <c r="J654">
        <v>1</v>
      </c>
      <c r="K654" t="str">
        <f>"S"</f>
        <v>S</v>
      </c>
      <c r="L654">
        <v>24</v>
      </c>
      <c r="M654">
        <v>2006</v>
      </c>
      <c r="N654" t="str">
        <f t="shared" si="128"/>
        <v>E</v>
      </c>
      <c r="O654" t="str">
        <f>"A"</f>
        <v>A</v>
      </c>
      <c r="P654">
        <v>0</v>
      </c>
      <c r="Q654">
        <v>100</v>
      </c>
      <c r="R654">
        <v>100</v>
      </c>
      <c r="S654">
        <v>35000</v>
      </c>
      <c r="T654">
        <v>100</v>
      </c>
      <c r="U654">
        <v>35000</v>
      </c>
      <c r="V654" t="str">
        <f>"TOEIC à l'ENSAI le 19/05/2022: score 945"</f>
        <v>TOEIC à l'ENSAI le 19/05/2022: score 945</v>
      </c>
      <c r="W654">
        <v>0</v>
      </c>
      <c r="X654">
        <v>0</v>
      </c>
      <c r="Y654">
        <v>6000577</v>
      </c>
      <c r="Z654">
        <v>2</v>
      </c>
      <c r="AA654">
        <v>27</v>
      </c>
      <c r="AB654" t="str">
        <f>""</f>
        <v/>
      </c>
      <c r="AC654" t="str">
        <f>""</f>
        <v/>
      </c>
      <c r="AD654" t="str">
        <f>""</f>
        <v/>
      </c>
      <c r="AE654">
        <v>2006</v>
      </c>
      <c r="AF654">
        <v>2021</v>
      </c>
      <c r="AG654" t="str">
        <f t="shared" si="130"/>
        <v>Rennes</v>
      </c>
      <c r="AH654" t="str">
        <f t="shared" si="130"/>
        <v>Rennes</v>
      </c>
      <c r="AI654" t="str">
        <f>""</f>
        <v/>
      </c>
      <c r="AJ654" t="str">
        <f>""</f>
        <v/>
      </c>
      <c r="AK654" t="str">
        <f>""</f>
        <v/>
      </c>
      <c r="AL654">
        <v>0</v>
      </c>
      <c r="AM654" t="str">
        <f>""</f>
        <v/>
      </c>
      <c r="AN654" t="str">
        <f>""</f>
        <v/>
      </c>
      <c r="AO654" t="str">
        <f>"Pierre de Coubertin"</f>
        <v>Pierre de Coubertin</v>
      </c>
      <c r="AP654" t="str">
        <f>"MEAUX"</f>
        <v>MEAUX</v>
      </c>
      <c r="AQ654" t="str">
        <f>"Créteil"</f>
        <v>Créteil</v>
      </c>
    </row>
    <row r="655" spans="1:43" x14ac:dyDescent="0.25">
      <c r="A655" t="str">
        <f t="shared" si="129"/>
        <v>3A,Master ES,T00000,3A Att</v>
      </c>
      <c r="B655" t="str">
        <f>"JUNG"</f>
        <v>JUNG</v>
      </c>
      <c r="C655" t="str">
        <f>"Pierre"</f>
        <v>Pierre</v>
      </c>
      <c r="D655" t="str">
        <f>"021-2013"</f>
        <v>021-2013</v>
      </c>
      <c r="E655" t="str">
        <f>"053686918GA"</f>
        <v>053686918GA</v>
      </c>
      <c r="F655" t="str">
        <f t="shared" si="126"/>
        <v>0352480F</v>
      </c>
      <c r="G655" t="str">
        <f t="shared" si="127"/>
        <v>O</v>
      </c>
      <c r="H655">
        <v>10</v>
      </c>
      <c r="I655">
        <v>1986</v>
      </c>
      <c r="J655">
        <v>1</v>
      </c>
      <c r="K655" t="str">
        <f>"S"</f>
        <v>S</v>
      </c>
      <c r="L655">
        <v>16</v>
      </c>
      <c r="M655">
        <v>2004</v>
      </c>
      <c r="N655" t="str">
        <f t="shared" si="128"/>
        <v>E</v>
      </c>
      <c r="O655" t="str">
        <f>"A"</f>
        <v>A</v>
      </c>
      <c r="P655">
        <v>0</v>
      </c>
      <c r="Q655">
        <v>100</v>
      </c>
      <c r="R655">
        <v>100</v>
      </c>
      <c r="S655">
        <v>35000</v>
      </c>
      <c r="T655">
        <v>100</v>
      </c>
      <c r="U655">
        <v>35000</v>
      </c>
      <c r="V655" t="str">
        <f>"TOEIC à l'ENSAI le 19/05/2022: score 990"</f>
        <v>TOEIC à l'ENSAI le 19/05/2022: score 990</v>
      </c>
      <c r="W655">
        <v>38</v>
      </c>
      <c r="X655">
        <v>0</v>
      </c>
      <c r="Y655">
        <v>6000577</v>
      </c>
      <c r="Z655">
        <v>2</v>
      </c>
      <c r="AA655">
        <v>27</v>
      </c>
      <c r="AB655" t="str">
        <f>""</f>
        <v/>
      </c>
      <c r="AC655" t="str">
        <f>""</f>
        <v/>
      </c>
      <c r="AD655" t="str">
        <f>""</f>
        <v/>
      </c>
      <c r="AE655">
        <v>2021</v>
      </c>
      <c r="AF655">
        <v>2021</v>
      </c>
      <c r="AG655" t="str">
        <f>"RENNES"</f>
        <v>RENNES</v>
      </c>
      <c r="AH655" t="str">
        <f>"RENNES"</f>
        <v>RENNES</v>
      </c>
      <c r="AI655" t="str">
        <f>""</f>
        <v/>
      </c>
      <c r="AJ655" t="str">
        <f>""</f>
        <v/>
      </c>
      <c r="AK655" t="str">
        <f>""</f>
        <v/>
      </c>
      <c r="AL655">
        <v>46</v>
      </c>
      <c r="AM655" t="str">
        <f>""</f>
        <v/>
      </c>
      <c r="AN655" t="str">
        <f>""</f>
        <v/>
      </c>
      <c r="AO655" t="str">
        <f>"Lycée Bellevue"</f>
        <v>Lycée Bellevue</v>
      </c>
      <c r="AP655" t="str">
        <f>"TOULOUSE"</f>
        <v>TOULOUSE</v>
      </c>
      <c r="AQ655" t="str">
        <f>"Toulouse"</f>
        <v>Toulouse</v>
      </c>
    </row>
    <row r="656" spans="1:43" x14ac:dyDescent="0.25">
      <c r="A656" t="str">
        <f t="shared" si="129"/>
        <v>3A,Master ES,T00000,3A Att</v>
      </c>
      <c r="B656" t="str">
        <f>"LEBRUN-MORO"</f>
        <v>LEBRUN-MORO</v>
      </c>
      <c r="C656" t="str">
        <f>"Inés"</f>
        <v>Inés</v>
      </c>
      <c r="D656" t="str">
        <f>"022-2140"</f>
        <v>022-2140</v>
      </c>
      <c r="E656" t="str">
        <f>"060344515FJ"</f>
        <v>060344515FJ</v>
      </c>
      <c r="F656" t="str">
        <f t="shared" si="126"/>
        <v>0352480F</v>
      </c>
      <c r="G656" t="str">
        <f t="shared" si="127"/>
        <v>O</v>
      </c>
      <c r="H656">
        <v>10</v>
      </c>
      <c r="I656">
        <v>2002</v>
      </c>
      <c r="J656">
        <v>2</v>
      </c>
      <c r="K656" t="str">
        <f>"S"</f>
        <v>S</v>
      </c>
      <c r="L656">
        <v>25</v>
      </c>
      <c r="M656">
        <v>2020</v>
      </c>
      <c r="N656" t="str">
        <f t="shared" si="128"/>
        <v>E</v>
      </c>
      <c r="O656" t="str">
        <f>"D"</f>
        <v>D</v>
      </c>
      <c r="P656">
        <v>0</v>
      </c>
      <c r="Q656">
        <v>100</v>
      </c>
      <c r="R656">
        <v>100</v>
      </c>
      <c r="S656">
        <v>35000</v>
      </c>
      <c r="T656">
        <v>100</v>
      </c>
      <c r="U656">
        <v>35000</v>
      </c>
      <c r="V656" t="str">
        <f>"TOEIC passé à l'ENSAI le 22/05/2023 : score 980"</f>
        <v>TOEIC passé à l'ENSAI le 22/05/2023 : score 980</v>
      </c>
      <c r="W656">
        <v>34</v>
      </c>
      <c r="X656">
        <v>0</v>
      </c>
      <c r="Y656">
        <v>6000577</v>
      </c>
      <c r="Z656">
        <v>2</v>
      </c>
      <c r="AA656">
        <v>27</v>
      </c>
      <c r="AB656" t="str">
        <f>""</f>
        <v/>
      </c>
      <c r="AC656" t="str">
        <f>""</f>
        <v/>
      </c>
      <c r="AD656" t="str">
        <f>""</f>
        <v/>
      </c>
      <c r="AE656">
        <v>2020</v>
      </c>
      <c r="AF656">
        <v>2022</v>
      </c>
      <c r="AG656" t="str">
        <f>"Rennes"</f>
        <v>Rennes</v>
      </c>
      <c r="AH656" t="str">
        <f>"Rennes"</f>
        <v>Rennes</v>
      </c>
      <c r="AI656" t="str">
        <f>""</f>
        <v/>
      </c>
      <c r="AJ656" t="str">
        <f>""</f>
        <v/>
      </c>
      <c r="AK656" t="str">
        <f>""</f>
        <v/>
      </c>
      <c r="AL656">
        <v>37</v>
      </c>
      <c r="AM656" t="str">
        <f>""</f>
        <v/>
      </c>
      <c r="AN656" t="str">
        <f>""</f>
        <v/>
      </c>
      <c r="AO656" t="str">
        <f>"Lycée Michelet"</f>
        <v>Lycée Michelet</v>
      </c>
      <c r="AP656" t="str">
        <f>"VANVES"</f>
        <v>VANVES</v>
      </c>
      <c r="AQ656" t="str">
        <f>"Versailles"</f>
        <v>Versailles</v>
      </c>
    </row>
    <row r="657" spans="1:43" x14ac:dyDescent="0.25">
      <c r="A657" t="str">
        <f t="shared" si="129"/>
        <v>3A,Master ES,T00000,3A Att</v>
      </c>
      <c r="B657" t="str">
        <f>"MATHIEU"</f>
        <v>MATHIEU</v>
      </c>
      <c r="C657" t="str">
        <f>"Maude"</f>
        <v>Maude</v>
      </c>
      <c r="D657" t="str">
        <f>"022-2209"</f>
        <v>022-2209</v>
      </c>
      <c r="E657" t="str">
        <f>"100822152DG"</f>
        <v>100822152DG</v>
      </c>
      <c r="F657" t="str">
        <f t="shared" si="126"/>
        <v>0352480F</v>
      </c>
      <c r="G657" t="str">
        <f t="shared" si="127"/>
        <v>O</v>
      </c>
      <c r="H657">
        <v>10</v>
      </c>
      <c r="I657">
        <v>2001</v>
      </c>
      <c r="J657">
        <v>2</v>
      </c>
      <c r="K657" t="str">
        <f>"ES"</f>
        <v>ES</v>
      </c>
      <c r="L657">
        <v>3</v>
      </c>
      <c r="M657">
        <v>2019</v>
      </c>
      <c r="N657" t="str">
        <f t="shared" si="128"/>
        <v>E</v>
      </c>
      <c r="O657" t="str">
        <f>"D"</f>
        <v>D</v>
      </c>
      <c r="P657">
        <v>0</v>
      </c>
      <c r="Q657">
        <v>100</v>
      </c>
      <c r="R657">
        <v>100</v>
      </c>
      <c r="S657">
        <v>35000</v>
      </c>
      <c r="T657">
        <v>100</v>
      </c>
      <c r="U657">
        <v>35000</v>
      </c>
      <c r="V657" t="str">
        <f>""</f>
        <v/>
      </c>
      <c r="W657">
        <v>43</v>
      </c>
      <c r="X657">
        <v>0</v>
      </c>
      <c r="Y657">
        <v>6000577</v>
      </c>
      <c r="Z657">
        <v>2</v>
      </c>
      <c r="AA657">
        <v>27</v>
      </c>
      <c r="AB657" t="str">
        <f>""</f>
        <v/>
      </c>
      <c r="AC657" t="str">
        <f>""</f>
        <v/>
      </c>
      <c r="AD657" t="str">
        <f>""</f>
        <v/>
      </c>
      <c r="AE657">
        <v>2019</v>
      </c>
      <c r="AF657">
        <v>2022</v>
      </c>
      <c r="AG657" t="str">
        <f>"rennes"</f>
        <v>rennes</v>
      </c>
      <c r="AH657" t="str">
        <f>"rennes"</f>
        <v>rennes</v>
      </c>
      <c r="AI657" t="str">
        <f>""</f>
        <v/>
      </c>
      <c r="AJ657" t="str">
        <f>""</f>
        <v/>
      </c>
      <c r="AK657" t="str">
        <f>""</f>
        <v/>
      </c>
      <c r="AL657">
        <v>0</v>
      </c>
      <c r="AM657" t="str">
        <f>""</f>
        <v/>
      </c>
      <c r="AN657" t="str">
        <f>""</f>
        <v/>
      </c>
      <c r="AO657" t="str">
        <f>"Lycée Gustve Courbet"</f>
        <v>Lycée Gustve Courbet</v>
      </c>
      <c r="AP657" t="str">
        <f>"BELFORT"</f>
        <v>BELFORT</v>
      </c>
      <c r="AQ657" t="str">
        <f>"Besançon"</f>
        <v>Besançon</v>
      </c>
    </row>
    <row r="658" spans="1:43" x14ac:dyDescent="0.25">
      <c r="A658" t="str">
        <f t="shared" si="129"/>
        <v>3A,Master ES,T00000,3A Att</v>
      </c>
      <c r="B658" t="str">
        <f>"PARIZEAU"</f>
        <v>PARIZEAU</v>
      </c>
      <c r="C658" t="str">
        <f>"Eloïse"</f>
        <v>Eloïse</v>
      </c>
      <c r="D658" t="str">
        <f>"022-2338"</f>
        <v>022-2338</v>
      </c>
      <c r="E658" t="str">
        <f>"090265763BC"</f>
        <v>090265763BC</v>
      </c>
      <c r="F658" t="str">
        <f t="shared" si="126"/>
        <v>0352480F</v>
      </c>
      <c r="G658" t="str">
        <f t="shared" si="127"/>
        <v>O</v>
      </c>
      <c r="H658">
        <v>10</v>
      </c>
      <c r="I658">
        <v>2003</v>
      </c>
      <c r="J658">
        <v>2</v>
      </c>
      <c r="K658" t="str">
        <f>"S"</f>
        <v>S</v>
      </c>
      <c r="L658">
        <v>13</v>
      </c>
      <c r="M658">
        <v>2020</v>
      </c>
      <c r="N658" t="str">
        <f t="shared" si="128"/>
        <v>E</v>
      </c>
      <c r="O658" t="str">
        <f>"A"</f>
        <v>A</v>
      </c>
      <c r="P658">
        <v>0</v>
      </c>
      <c r="Q658">
        <v>100</v>
      </c>
      <c r="R658">
        <v>100</v>
      </c>
      <c r="S658">
        <v>35170</v>
      </c>
      <c r="T658">
        <v>100</v>
      </c>
      <c r="U658">
        <v>35170</v>
      </c>
      <c r="V658" t="str">
        <f>"TOEIC passé à l'ENSAI le 22/05/2023 : score 970"</f>
        <v>TOEIC passé à l'ENSAI le 22/05/2023 : score 970</v>
      </c>
      <c r="W658">
        <v>45</v>
      </c>
      <c r="X658">
        <v>0</v>
      </c>
      <c r="Y658">
        <v>6000577</v>
      </c>
      <c r="Z658">
        <v>2</v>
      </c>
      <c r="AA658">
        <v>27</v>
      </c>
      <c r="AB658" t="str">
        <f>""</f>
        <v/>
      </c>
      <c r="AC658" t="str">
        <f>""</f>
        <v/>
      </c>
      <c r="AD658" t="str">
        <f>""</f>
        <v/>
      </c>
      <c r="AE658">
        <v>2020</v>
      </c>
      <c r="AF658">
        <v>2022</v>
      </c>
      <c r="AG658" t="str">
        <f>"Bruz"</f>
        <v>Bruz</v>
      </c>
      <c r="AH658" t="str">
        <f>"Bruz"</f>
        <v>Bruz</v>
      </c>
      <c r="AI658" t="str">
        <f>""</f>
        <v/>
      </c>
      <c r="AJ658" t="str">
        <f>""</f>
        <v/>
      </c>
      <c r="AK658" t="str">
        <f>""</f>
        <v/>
      </c>
      <c r="AL658">
        <v>0</v>
      </c>
      <c r="AM658" t="str">
        <f>""</f>
        <v/>
      </c>
      <c r="AN658" t="str">
        <f>""</f>
        <v/>
      </c>
      <c r="AO658" t="str">
        <f>"Lycée Saint-André"</f>
        <v>Lycée Saint-André</v>
      </c>
      <c r="AP658" t="str">
        <f>"NIORT"</f>
        <v>NIORT</v>
      </c>
      <c r="AQ658" t="str">
        <f>"Poitiers"</f>
        <v>Poitiers</v>
      </c>
    </row>
    <row r="659" spans="1:43" x14ac:dyDescent="0.25">
      <c r="A659" t="str">
        <f t="shared" si="129"/>
        <v>3A,Master ES,T00000,3A Att</v>
      </c>
      <c r="B659" t="str">
        <f>"PHILBERT"</f>
        <v>PHILBERT</v>
      </c>
      <c r="C659" t="str">
        <f>"Louis"</f>
        <v>Louis</v>
      </c>
      <c r="D659" t="str">
        <f>"019-1632"</f>
        <v>019-1632</v>
      </c>
      <c r="E659" t="str">
        <f>"060066536DF"</f>
        <v>060066536DF</v>
      </c>
      <c r="F659" t="str">
        <f t="shared" si="126"/>
        <v>0352480F</v>
      </c>
      <c r="G659" t="str">
        <f t="shared" si="127"/>
        <v>O</v>
      </c>
      <c r="H659">
        <v>10</v>
      </c>
      <c r="I659">
        <v>1998</v>
      </c>
      <c r="J659">
        <v>1</v>
      </c>
      <c r="K659" t="str">
        <f>"S"</f>
        <v>S</v>
      </c>
      <c r="L659">
        <v>19</v>
      </c>
      <c r="M659">
        <v>2016</v>
      </c>
      <c r="N659" t="str">
        <f t="shared" si="128"/>
        <v>E</v>
      </c>
      <c r="O659" t="str">
        <f>"A"</f>
        <v>A</v>
      </c>
      <c r="P659">
        <v>0</v>
      </c>
      <c r="Q659">
        <v>100</v>
      </c>
      <c r="R659">
        <v>100</v>
      </c>
      <c r="S659">
        <v>92130</v>
      </c>
      <c r="T659">
        <v>100</v>
      </c>
      <c r="U659">
        <v>92130</v>
      </c>
      <c r="V659" t="str">
        <f>""</f>
        <v/>
      </c>
      <c r="W659">
        <v>0</v>
      </c>
      <c r="X659">
        <v>0</v>
      </c>
      <c r="Y659">
        <v>6000577</v>
      </c>
      <c r="Z659">
        <v>2</v>
      </c>
      <c r="AA659">
        <v>27</v>
      </c>
      <c r="AB659" t="str">
        <f>""</f>
        <v/>
      </c>
      <c r="AC659" t="str">
        <f>""</f>
        <v/>
      </c>
      <c r="AD659" t="str">
        <f>""</f>
        <v/>
      </c>
      <c r="AE659">
        <v>2016</v>
      </c>
      <c r="AF659">
        <v>2019</v>
      </c>
      <c r="AG659" t="str">
        <f>"ISSY LES MOULINEAUX"</f>
        <v>ISSY LES MOULINEAUX</v>
      </c>
      <c r="AH659" t="str">
        <f>"ISSY LES MOULINEAUX"</f>
        <v>ISSY LES MOULINEAUX</v>
      </c>
      <c r="AI659" t="str">
        <f>""</f>
        <v/>
      </c>
      <c r="AJ659" t="str">
        <f>""</f>
        <v/>
      </c>
      <c r="AK659" t="str">
        <f>""</f>
        <v/>
      </c>
      <c r="AL659">
        <v>33</v>
      </c>
      <c r="AM659" t="str">
        <f>""</f>
        <v/>
      </c>
      <c r="AN659" t="str">
        <f>""</f>
        <v/>
      </c>
      <c r="AO659" t="str">
        <f>"Roosevelt"</f>
        <v>Roosevelt</v>
      </c>
      <c r="AP659" t="str">
        <f>"REIMS"</f>
        <v>REIMS</v>
      </c>
      <c r="AQ659" t="str">
        <f>"Reims"</f>
        <v>Reims</v>
      </c>
    </row>
    <row r="660" spans="1:43" x14ac:dyDescent="0.25">
      <c r="A660" t="str">
        <f t="shared" si="129"/>
        <v>3A,Master ES,T00000,3A Att</v>
      </c>
      <c r="B660" t="str">
        <f>"RAMBAUT"</f>
        <v>RAMBAUT</v>
      </c>
      <c r="C660" t="str">
        <f>"Coline"</f>
        <v>Coline</v>
      </c>
      <c r="D660" t="str">
        <f>"020-1827"</f>
        <v>020-1827</v>
      </c>
      <c r="E660" t="str">
        <f>"081135625CF"</f>
        <v>081135625CF</v>
      </c>
      <c r="F660" t="str">
        <f t="shared" si="126"/>
        <v>0352480F</v>
      </c>
      <c r="G660" t="str">
        <f t="shared" si="127"/>
        <v>O</v>
      </c>
      <c r="H660">
        <v>10</v>
      </c>
      <c r="I660">
        <v>2000</v>
      </c>
      <c r="J660">
        <v>2</v>
      </c>
      <c r="K660" t="str">
        <f>"S"</f>
        <v>S</v>
      </c>
      <c r="L660">
        <v>6</v>
      </c>
      <c r="M660">
        <v>2018</v>
      </c>
      <c r="N660" t="str">
        <f t="shared" si="128"/>
        <v>E</v>
      </c>
      <c r="O660" t="str">
        <f>"A"</f>
        <v>A</v>
      </c>
      <c r="P660">
        <v>0</v>
      </c>
      <c r="Q660">
        <v>100</v>
      </c>
      <c r="R660">
        <v>100</v>
      </c>
      <c r="S660">
        <v>35170</v>
      </c>
      <c r="T660">
        <v>100</v>
      </c>
      <c r="U660">
        <v>35170</v>
      </c>
      <c r="V660" t="str">
        <f>""</f>
        <v/>
      </c>
      <c r="W660">
        <v>33</v>
      </c>
      <c r="X660">
        <v>0</v>
      </c>
      <c r="Y660">
        <v>6000577</v>
      </c>
      <c r="Z660">
        <v>2</v>
      </c>
      <c r="AA660">
        <v>27</v>
      </c>
      <c r="AB660" t="str">
        <f>""</f>
        <v/>
      </c>
      <c r="AC660" t="str">
        <f>""</f>
        <v/>
      </c>
      <c r="AD660" t="str">
        <f>""</f>
        <v/>
      </c>
      <c r="AE660">
        <v>2018</v>
      </c>
      <c r="AF660">
        <v>2020</v>
      </c>
      <c r="AG660" t="str">
        <f>"Bruz"</f>
        <v>Bruz</v>
      </c>
      <c r="AH660" t="str">
        <f>"Bruz"</f>
        <v>Bruz</v>
      </c>
      <c r="AI660" t="str">
        <f>""</f>
        <v/>
      </c>
      <c r="AJ660" t="str">
        <f>""</f>
        <v/>
      </c>
      <c r="AK660" t="str">
        <f>""</f>
        <v/>
      </c>
      <c r="AL660">
        <v>33</v>
      </c>
      <c r="AM660" t="str">
        <f>""</f>
        <v/>
      </c>
      <c r="AN660" t="str">
        <f>""</f>
        <v/>
      </c>
      <c r="AO660" t="str">
        <f>"Lycée Blaise Pascal"</f>
        <v>Lycée Blaise Pascal</v>
      </c>
      <c r="AP660" t="str">
        <f>"CLERMONT-FERRAND"</f>
        <v>CLERMONT-FERRAND</v>
      </c>
      <c r="AQ660" t="str">
        <f>"Clermont-Ferrand"</f>
        <v>Clermont-Ferrand</v>
      </c>
    </row>
    <row r="661" spans="1:43" x14ac:dyDescent="0.25">
      <c r="A661" t="str">
        <f t="shared" si="129"/>
        <v>3A,Master ES,T00000,3A Att</v>
      </c>
      <c r="B661" t="str">
        <f>"SAVATIER"</f>
        <v>SAVATIER</v>
      </c>
      <c r="C661" t="str">
        <f>"Charlotte"</f>
        <v>Charlotte</v>
      </c>
      <c r="D661" t="str">
        <f>"022-2213"</f>
        <v>022-2213</v>
      </c>
      <c r="E661" t="str">
        <f>"060408635FF"</f>
        <v>060408635FF</v>
      </c>
      <c r="F661" t="str">
        <f t="shared" si="126"/>
        <v>0352480F</v>
      </c>
      <c r="G661" t="str">
        <f t="shared" si="127"/>
        <v>O</v>
      </c>
      <c r="H661">
        <v>10</v>
      </c>
      <c r="I661">
        <v>2002</v>
      </c>
      <c r="J661">
        <v>2</v>
      </c>
      <c r="K661" t="str">
        <f>"S"</f>
        <v>S</v>
      </c>
      <c r="L661">
        <v>1</v>
      </c>
      <c r="M661">
        <v>2020</v>
      </c>
      <c r="N661" t="str">
        <f t="shared" si="128"/>
        <v>E</v>
      </c>
      <c r="O661" t="str">
        <f>"D"</f>
        <v>D</v>
      </c>
      <c r="P661">
        <v>0</v>
      </c>
      <c r="Q661">
        <v>100</v>
      </c>
      <c r="R661">
        <v>100</v>
      </c>
      <c r="S661" t="str">
        <f>"Renne"</f>
        <v>Renne</v>
      </c>
      <c r="T661">
        <v>100</v>
      </c>
      <c r="U661" t="str">
        <f>"Renne"</f>
        <v>Renne</v>
      </c>
      <c r="V661" t="str">
        <f>"TOEIC passé à l'ENSAI le 22/05/2023 : score 775  TOEIC 2A à l'ENSAI 08-01-2024 : 665"</f>
        <v>TOEIC passé à l'ENSAI le 22/05/2023 : score 775  TOEIC 2A à l'ENSAI 08-01-2024 : 665</v>
      </c>
      <c r="W661">
        <v>35</v>
      </c>
      <c r="X661">
        <v>0</v>
      </c>
      <c r="Y661">
        <v>6000577</v>
      </c>
      <c r="Z661">
        <v>2</v>
      </c>
      <c r="AA661">
        <v>27</v>
      </c>
      <c r="AB661" t="str">
        <f>""</f>
        <v/>
      </c>
      <c r="AC661" t="str">
        <f>""</f>
        <v/>
      </c>
      <c r="AD661" t="str">
        <f>""</f>
        <v/>
      </c>
      <c r="AE661">
        <v>2020</v>
      </c>
      <c r="AF661">
        <v>2022</v>
      </c>
      <c r="AG661" t="str">
        <f>""</f>
        <v/>
      </c>
      <c r="AH661" t="str">
        <f>""</f>
        <v/>
      </c>
      <c r="AI661" t="str">
        <f>""</f>
        <v/>
      </c>
      <c r="AJ661" t="str">
        <f>""</f>
        <v/>
      </c>
      <c r="AK661" t="str">
        <f>""</f>
        <v/>
      </c>
      <c r="AL661">
        <v>35</v>
      </c>
      <c r="AM661" t="str">
        <f>""</f>
        <v/>
      </c>
      <c r="AN661" t="str">
        <f>""</f>
        <v/>
      </c>
      <c r="AO661" t="str">
        <f>"Lycée Honoré de Balzac"</f>
        <v>Lycée Honoré de Balzac</v>
      </c>
      <c r="AP661" t="str">
        <f>"PARIS"</f>
        <v>PARIS</v>
      </c>
      <c r="AQ661" t="str">
        <f>"Paris"</f>
        <v>Paris</v>
      </c>
    </row>
    <row r="662" spans="1:43" x14ac:dyDescent="0.25">
      <c r="A662" t="str">
        <f t="shared" si="129"/>
        <v>3A,Master ES,T00000,3A Att</v>
      </c>
      <c r="B662" t="str">
        <f>"SERRE"</f>
        <v>SERRE</v>
      </c>
      <c r="C662" t="str">
        <f>"Philippe"</f>
        <v>Philippe</v>
      </c>
      <c r="D662" t="str">
        <f>"019-7637"</f>
        <v>019-7637</v>
      </c>
      <c r="E662" t="str">
        <f>"2498064735F"</f>
        <v>2498064735F</v>
      </c>
      <c r="F662" t="str">
        <f t="shared" si="126"/>
        <v>0352480F</v>
      </c>
      <c r="G662" t="str">
        <f t="shared" si="127"/>
        <v>O</v>
      </c>
      <c r="H662">
        <v>10</v>
      </c>
      <c r="I662">
        <v>1987</v>
      </c>
      <c r="J662">
        <v>1</v>
      </c>
      <c r="K662" t="str">
        <f>"ES"</f>
        <v>ES</v>
      </c>
      <c r="L662">
        <v>24</v>
      </c>
      <c r="M662">
        <v>2005</v>
      </c>
      <c r="N662" t="str">
        <f t="shared" si="128"/>
        <v>E</v>
      </c>
      <c r="O662" t="str">
        <f>"N"</f>
        <v>N</v>
      </c>
      <c r="P662">
        <v>0</v>
      </c>
      <c r="Q662">
        <v>100</v>
      </c>
      <c r="R662">
        <v>100</v>
      </c>
      <c r="S662">
        <v>78100</v>
      </c>
      <c r="T662">
        <v>100</v>
      </c>
      <c r="U662">
        <v>78100</v>
      </c>
      <c r="V662" t="str">
        <f>""</f>
        <v/>
      </c>
      <c r="W662">
        <v>0</v>
      </c>
      <c r="X662">
        <v>0</v>
      </c>
      <c r="Y662">
        <v>6000577</v>
      </c>
      <c r="Z662">
        <v>2</v>
      </c>
      <c r="AA662">
        <v>27</v>
      </c>
      <c r="AB662" t="str">
        <f>""</f>
        <v/>
      </c>
      <c r="AC662" t="str">
        <f>""</f>
        <v/>
      </c>
      <c r="AD662" t="str">
        <f>""</f>
        <v/>
      </c>
      <c r="AE662">
        <v>2005</v>
      </c>
      <c r="AF662">
        <v>2019</v>
      </c>
      <c r="AG662" t="str">
        <f>"Saint-Germain-en-Laye"</f>
        <v>Saint-Germain-en-Laye</v>
      </c>
      <c r="AH662" t="str">
        <f>"Saint-Germain-en-Laye"</f>
        <v>Saint-Germain-en-Laye</v>
      </c>
      <c r="AI662" t="str">
        <f>""</f>
        <v/>
      </c>
      <c r="AJ662" t="str">
        <f>""</f>
        <v/>
      </c>
      <c r="AK662" t="str">
        <f>""</f>
        <v/>
      </c>
      <c r="AL662">
        <v>52</v>
      </c>
      <c r="AM662" t="str">
        <f>""</f>
        <v/>
      </c>
      <c r="AN662" t="str">
        <f>""</f>
        <v/>
      </c>
      <c r="AO662" t="str">
        <f>"Lycée Blanche de Castille"</f>
        <v>Lycée Blanche de Castille</v>
      </c>
      <c r="AP662" t="str">
        <f>"VILLEMOMBLE"</f>
        <v>VILLEMOMBLE</v>
      </c>
      <c r="AQ662" t="str">
        <f>"Créteil"</f>
        <v>Créteil</v>
      </c>
    </row>
    <row r="663" spans="1:43" x14ac:dyDescent="0.25">
      <c r="A663" t="str">
        <f t="shared" si="129"/>
        <v>3A,Master ES,T00000,3A Att</v>
      </c>
      <c r="B663" t="str">
        <f>"TOURE"</f>
        <v>TOURE</v>
      </c>
      <c r="C663" t="str">
        <f>"Pierre-Issa"</f>
        <v>Pierre-Issa</v>
      </c>
      <c r="D663" t="str">
        <f>"022-2334"</f>
        <v>022-2334</v>
      </c>
      <c r="E663" t="str">
        <f>"100737138HJ"</f>
        <v>100737138HJ</v>
      </c>
      <c r="F663" t="str">
        <f t="shared" si="126"/>
        <v>0352480F</v>
      </c>
      <c r="G663" t="str">
        <f t="shared" si="127"/>
        <v>O</v>
      </c>
      <c r="H663">
        <v>10</v>
      </c>
      <c r="I663">
        <v>2001</v>
      </c>
      <c r="J663">
        <v>1</v>
      </c>
      <c r="K663" t="str">
        <f>"S"</f>
        <v>S</v>
      </c>
      <c r="L663" t="str">
        <f>""</f>
        <v/>
      </c>
      <c r="M663">
        <v>2019</v>
      </c>
      <c r="N663" t="str">
        <f t="shared" si="128"/>
        <v>E</v>
      </c>
      <c r="O663" t="str">
        <f>"D"</f>
        <v>D</v>
      </c>
      <c r="P663">
        <v>0</v>
      </c>
      <c r="Q663">
        <v>100</v>
      </c>
      <c r="R663">
        <v>100</v>
      </c>
      <c r="S663">
        <v>35136</v>
      </c>
      <c r="T663">
        <v>100</v>
      </c>
      <c r="U663">
        <v>35136</v>
      </c>
      <c r="V663" t="str">
        <f>""</f>
        <v/>
      </c>
      <c r="W663">
        <v>42</v>
      </c>
      <c r="X663">
        <v>0</v>
      </c>
      <c r="Y663">
        <v>6000577</v>
      </c>
      <c r="Z663">
        <v>2</v>
      </c>
      <c r="AA663">
        <v>27</v>
      </c>
      <c r="AB663" t="str">
        <f>""</f>
        <v/>
      </c>
      <c r="AC663" t="str">
        <f>""</f>
        <v/>
      </c>
      <c r="AD663" t="str">
        <f>""</f>
        <v/>
      </c>
      <c r="AE663">
        <v>2019</v>
      </c>
      <c r="AF663">
        <v>2022</v>
      </c>
      <c r="AG663" t="str">
        <f>"saint Jacques de la lande"</f>
        <v>saint Jacques de la lande</v>
      </c>
      <c r="AH663" t="str">
        <f>"saint Jacques de la lande"</f>
        <v>saint Jacques de la lande</v>
      </c>
      <c r="AI663" t="str">
        <f>""</f>
        <v/>
      </c>
      <c r="AJ663" t="str">
        <f>""</f>
        <v/>
      </c>
      <c r="AK663" t="str">
        <f>""</f>
        <v/>
      </c>
      <c r="AL663">
        <v>47</v>
      </c>
      <c r="AM663" t="str">
        <f>""</f>
        <v/>
      </c>
      <c r="AN663" t="str">
        <f>""</f>
        <v/>
      </c>
      <c r="AO663" t="str">
        <f>"Jules Siegfried"</f>
        <v>Jules Siegfried</v>
      </c>
      <c r="AP663" t="str">
        <f>"LE HAVRE"</f>
        <v>LE HAVRE</v>
      </c>
      <c r="AQ663" t="str">
        <f>""</f>
        <v/>
      </c>
    </row>
    <row r="664" spans="1:43" x14ac:dyDescent="0.25">
      <c r="A664" t="str">
        <f t="shared" si="129"/>
        <v>3A,Master ES,T00000,3A Att</v>
      </c>
      <c r="B664" t="str">
        <f>"VILLACAMPA"</f>
        <v>VILLACAMPA</v>
      </c>
      <c r="C664" t="str">
        <f>"Laurène"</f>
        <v>Laurène</v>
      </c>
      <c r="D664" t="str">
        <f>"021-1959"</f>
        <v>021-1959</v>
      </c>
      <c r="E664" t="str">
        <f>"2200004942V"</f>
        <v>2200004942V</v>
      </c>
      <c r="F664" t="str">
        <f t="shared" si="126"/>
        <v>0352480F</v>
      </c>
      <c r="G664" t="str">
        <f t="shared" si="127"/>
        <v>O</v>
      </c>
      <c r="H664">
        <v>10</v>
      </c>
      <c r="I664">
        <v>1989</v>
      </c>
      <c r="J664">
        <v>2</v>
      </c>
      <c r="K664" t="str">
        <f>"S"</f>
        <v>S</v>
      </c>
      <c r="L664">
        <v>22</v>
      </c>
      <c r="M664">
        <v>2007</v>
      </c>
      <c r="N664" t="str">
        <f t="shared" si="128"/>
        <v>E</v>
      </c>
      <c r="O664" t="str">
        <f>"U"</f>
        <v>U</v>
      </c>
      <c r="P664">
        <v>0</v>
      </c>
      <c r="Q664">
        <v>100</v>
      </c>
      <c r="R664">
        <v>100</v>
      </c>
      <c r="S664">
        <v>35170</v>
      </c>
      <c r="T664">
        <v>100</v>
      </c>
      <c r="U664">
        <v>35170</v>
      </c>
      <c r="V664" t="str">
        <f>"TOEIC à l'ENSAI le 19/05/2022: score 950"</f>
        <v>TOEIC à l'ENSAI le 19/05/2022: score 950</v>
      </c>
      <c r="W664">
        <v>0</v>
      </c>
      <c r="X664">
        <v>0</v>
      </c>
      <c r="Y664">
        <v>6000577</v>
      </c>
      <c r="Z664">
        <v>2</v>
      </c>
      <c r="AA664">
        <v>27</v>
      </c>
      <c r="AB664" t="str">
        <f>""</f>
        <v/>
      </c>
      <c r="AC664" t="str">
        <f>""</f>
        <v/>
      </c>
      <c r="AD664" t="str">
        <f>""</f>
        <v/>
      </c>
      <c r="AE664">
        <v>2007</v>
      </c>
      <c r="AF664">
        <v>2021</v>
      </c>
      <c r="AG664" t="str">
        <f>"Bruz"</f>
        <v>Bruz</v>
      </c>
      <c r="AH664" t="str">
        <f>"Bruz"</f>
        <v>Bruz</v>
      </c>
      <c r="AI664" t="str">
        <f>""</f>
        <v/>
      </c>
      <c r="AJ664" t="str">
        <f>""</f>
        <v/>
      </c>
      <c r="AK664" t="str">
        <f>""</f>
        <v/>
      </c>
      <c r="AL664">
        <v>0</v>
      </c>
      <c r="AM664" t="str">
        <f>""</f>
        <v/>
      </c>
      <c r="AN664" t="str">
        <f>""</f>
        <v/>
      </c>
      <c r="AO664" t="str">
        <f>"Lycée Gay Lussac"</f>
        <v>Lycée Gay Lussac</v>
      </c>
      <c r="AP664" t="str">
        <f>"LIMOGES"</f>
        <v>LIMOGES</v>
      </c>
      <c r="AQ664" t="str">
        <f>"Limoges"</f>
        <v>Limoges</v>
      </c>
    </row>
    <row r="665" spans="1:43" x14ac:dyDescent="0.25">
      <c r="A665" t="str">
        <f>"3A,Master MSP,3A Att"</f>
        <v>3A,Master MSP,3A Att</v>
      </c>
      <c r="B665" t="str">
        <f>"BOURLARD"</f>
        <v>BOURLARD</v>
      </c>
      <c r="C665" t="str">
        <f>"Thierry"</f>
        <v>Thierry</v>
      </c>
      <c r="D665" t="str">
        <f>"018-1233"</f>
        <v>018-1233</v>
      </c>
      <c r="E665" t="str">
        <f>"07JZ4T000C6"</f>
        <v>07JZ4T000C6</v>
      </c>
      <c r="F665" t="str">
        <f t="shared" si="126"/>
        <v>0352480F</v>
      </c>
      <c r="G665" t="str">
        <f t="shared" si="127"/>
        <v>O</v>
      </c>
      <c r="H665">
        <v>10</v>
      </c>
      <c r="I665">
        <v>1978</v>
      </c>
      <c r="J665">
        <v>1</v>
      </c>
      <c r="K665" t="str">
        <f>"S"</f>
        <v>S</v>
      </c>
      <c r="L665">
        <v>9</v>
      </c>
      <c r="M665">
        <v>1998</v>
      </c>
      <c r="N665" t="str">
        <f t="shared" si="128"/>
        <v>E</v>
      </c>
      <c r="O665" t="str">
        <f>"N"</f>
        <v>N</v>
      </c>
      <c r="P665">
        <v>0</v>
      </c>
      <c r="Q665">
        <v>100</v>
      </c>
      <c r="R665">
        <v>100</v>
      </c>
      <c r="S665">
        <v>62131</v>
      </c>
      <c r="T665">
        <v>100</v>
      </c>
      <c r="U665">
        <v>62131</v>
      </c>
      <c r="V665" t="str">
        <f>"score TOEIC passé à l'Ensai le 10/01/2020 : 890"</f>
        <v>score TOEIC passé à l'Ensai le 10/01/2020 : 890</v>
      </c>
      <c r="W665">
        <v>72</v>
      </c>
      <c r="X665">
        <v>0</v>
      </c>
      <c r="Y665">
        <v>6000577</v>
      </c>
      <c r="Z665">
        <v>2</v>
      </c>
      <c r="AA665">
        <v>27</v>
      </c>
      <c r="AB665" t="str">
        <f>""</f>
        <v/>
      </c>
      <c r="AC665" t="str">
        <f>""</f>
        <v/>
      </c>
      <c r="AD665" t="str">
        <f>""</f>
        <v/>
      </c>
      <c r="AE665">
        <v>1998</v>
      </c>
      <c r="AF665">
        <v>2018</v>
      </c>
      <c r="AG665" t="str">
        <f>"DROUVIN LE MARAIS"</f>
        <v>DROUVIN LE MARAIS</v>
      </c>
      <c r="AH665" t="str">
        <f>"DROUVIN LE MARAIS"</f>
        <v>DROUVIN LE MARAIS</v>
      </c>
      <c r="AI665" t="str">
        <f>""</f>
        <v/>
      </c>
      <c r="AJ665" t="str">
        <f>""</f>
        <v/>
      </c>
      <c r="AK665" t="str">
        <f>""</f>
        <v/>
      </c>
      <c r="AL665">
        <v>72</v>
      </c>
      <c r="AM665" t="str">
        <f>""</f>
        <v/>
      </c>
      <c r="AN665" t="str">
        <f>""</f>
        <v/>
      </c>
      <c r="AO665" t="str">
        <f>"Lycée Saint Dominique"</f>
        <v>Lycée Saint Dominique</v>
      </c>
      <c r="AP665" t="str">
        <f>"BETHUNE"</f>
        <v>BETHUNE</v>
      </c>
      <c r="AQ665" t="str">
        <f>"Lille"</f>
        <v>Lille</v>
      </c>
    </row>
    <row r="666" spans="1:43" x14ac:dyDescent="0.25">
      <c r="A666" t="str">
        <f>"3A,Master MSP,3A Att"</f>
        <v>3A,Master MSP,3A Att</v>
      </c>
      <c r="B666" t="str">
        <f>"RUHIER"</f>
        <v>RUHIER</v>
      </c>
      <c r="C666" t="str">
        <f>"Quentin"</f>
        <v>Quentin</v>
      </c>
      <c r="D666" t="str">
        <f>"017-1116"</f>
        <v>017-1116</v>
      </c>
      <c r="E666" t="str">
        <f>"0307018257X"</f>
        <v>0307018257X</v>
      </c>
      <c r="F666" t="str">
        <f t="shared" si="126"/>
        <v>0352480F</v>
      </c>
      <c r="G666" t="str">
        <f t="shared" si="127"/>
        <v>O</v>
      </c>
      <c r="H666">
        <v>10</v>
      </c>
      <c r="I666">
        <v>1997</v>
      </c>
      <c r="J666">
        <v>1</v>
      </c>
      <c r="K666" t="str">
        <f>"S"</f>
        <v>S</v>
      </c>
      <c r="L666">
        <v>3</v>
      </c>
      <c r="M666">
        <v>2014</v>
      </c>
      <c r="N666" t="str">
        <f t="shared" si="128"/>
        <v>E</v>
      </c>
      <c r="O666" t="str">
        <f>"D"</f>
        <v>D</v>
      </c>
      <c r="P666">
        <v>0</v>
      </c>
      <c r="Q666">
        <v>100</v>
      </c>
      <c r="R666">
        <v>100</v>
      </c>
      <c r="S666">
        <v>54500</v>
      </c>
      <c r="T666">
        <v>100</v>
      </c>
      <c r="U666">
        <v>54500</v>
      </c>
      <c r="V666" t="str">
        <f>"Obtention TOEIC passé à l'ENSAI le 28/05/2018 - score 785"</f>
        <v>Obtention TOEIC passé à l'ENSAI le 28/05/2018 - score 785</v>
      </c>
      <c r="W666">
        <v>34</v>
      </c>
      <c r="X666">
        <v>0</v>
      </c>
      <c r="Y666">
        <v>6000577</v>
      </c>
      <c r="Z666">
        <v>2</v>
      </c>
      <c r="AA666">
        <v>27</v>
      </c>
      <c r="AB666" t="str">
        <f>""</f>
        <v/>
      </c>
      <c r="AC666" t="str">
        <f>""</f>
        <v/>
      </c>
      <c r="AD666" t="str">
        <f>""</f>
        <v/>
      </c>
      <c r="AE666">
        <v>2014</v>
      </c>
      <c r="AF666">
        <v>2017</v>
      </c>
      <c r="AG666" t="str">
        <f>"Vandoeuvre-Les-Nancy"</f>
        <v>Vandoeuvre-Les-Nancy</v>
      </c>
      <c r="AH666" t="str">
        <f>"Vandoeuvre-Les-Nancy"</f>
        <v>Vandoeuvre-Les-Nancy</v>
      </c>
      <c r="AI666" t="str">
        <f>""</f>
        <v/>
      </c>
      <c r="AJ666" t="str">
        <f>""</f>
        <v/>
      </c>
      <c r="AK666" t="str">
        <f>""</f>
        <v/>
      </c>
      <c r="AL666">
        <v>43</v>
      </c>
      <c r="AM666" t="str">
        <f>""</f>
        <v/>
      </c>
      <c r="AN666" t="str">
        <f>""</f>
        <v/>
      </c>
      <c r="AO666" t="str">
        <f>"Victor Hugo"</f>
        <v>Victor Hugo</v>
      </c>
      <c r="AP666" t="str">
        <f>"BESANÇON"</f>
        <v>BESANÇON</v>
      </c>
      <c r="AQ666" t="str">
        <f>"Besançon"</f>
        <v>Besançon</v>
      </c>
    </row>
    <row r="667" spans="1:43" x14ac:dyDescent="0.25">
      <c r="A667" t="str">
        <f t="shared" ref="A667:A694" si="131">"3A,Master MSP,T00000,3A Att"</f>
        <v>3A,Master MSP,T00000,3A Att</v>
      </c>
      <c r="B667" t="str">
        <f>"AUDENAERT"</f>
        <v>AUDENAERT</v>
      </c>
      <c r="C667" t="str">
        <f>"David"</f>
        <v>David</v>
      </c>
      <c r="D667" t="str">
        <f>"017-1061"</f>
        <v>017-1061</v>
      </c>
      <c r="E667" t="str">
        <f>"0497019147D"</f>
        <v>0497019147D</v>
      </c>
      <c r="F667" t="str">
        <f t="shared" si="126"/>
        <v>0352480F</v>
      </c>
      <c r="G667" t="str">
        <f t="shared" si="127"/>
        <v>O</v>
      </c>
      <c r="H667">
        <v>10</v>
      </c>
      <c r="I667">
        <v>1986</v>
      </c>
      <c r="J667">
        <v>1</v>
      </c>
      <c r="K667" t="str">
        <f>"ES"</f>
        <v>ES</v>
      </c>
      <c r="L667">
        <v>4</v>
      </c>
      <c r="M667">
        <v>2004</v>
      </c>
      <c r="N667" t="str">
        <f t="shared" si="128"/>
        <v>E</v>
      </c>
      <c r="O667" t="str">
        <f>"U"</f>
        <v>U</v>
      </c>
      <c r="P667">
        <v>0</v>
      </c>
      <c r="Q667">
        <v>100</v>
      </c>
      <c r="R667">
        <v>100</v>
      </c>
      <c r="S667">
        <v>13004</v>
      </c>
      <c r="T667">
        <v>100</v>
      </c>
      <c r="U667">
        <v>13004</v>
      </c>
      <c r="V667" t="str">
        <f>""</f>
        <v/>
      </c>
      <c r="W667">
        <v>33</v>
      </c>
      <c r="X667">
        <v>0</v>
      </c>
      <c r="Y667">
        <v>6000577</v>
      </c>
      <c r="Z667">
        <v>2</v>
      </c>
      <c r="AA667">
        <v>27</v>
      </c>
      <c r="AB667" t="str">
        <f>""</f>
        <v/>
      </c>
      <c r="AC667" t="str">
        <f>""</f>
        <v/>
      </c>
      <c r="AD667" t="str">
        <f>""</f>
        <v/>
      </c>
      <c r="AE667">
        <v>2004</v>
      </c>
      <c r="AF667">
        <v>2017</v>
      </c>
      <c r="AG667" t="str">
        <f>"MARSEILLE"</f>
        <v>MARSEILLE</v>
      </c>
      <c r="AH667" t="str">
        <f>"MARSEILLE"</f>
        <v>MARSEILLE</v>
      </c>
      <c r="AI667" t="str">
        <f>""</f>
        <v/>
      </c>
      <c r="AJ667" t="str">
        <f>""</f>
        <v/>
      </c>
      <c r="AK667" t="str">
        <f>""</f>
        <v/>
      </c>
      <c r="AL667">
        <v>33</v>
      </c>
      <c r="AM667" t="str">
        <f>""</f>
        <v/>
      </c>
      <c r="AN667" t="str">
        <f>""</f>
        <v/>
      </c>
      <c r="AO667" t="str">
        <f>"SUD MEDOC"</f>
        <v>SUD MEDOC</v>
      </c>
      <c r="AP667" t="str">
        <f>"LE TAILLAN MEDOC"</f>
        <v>LE TAILLAN MEDOC</v>
      </c>
      <c r="AQ667" t="str">
        <f>"Bordeaux"</f>
        <v>Bordeaux</v>
      </c>
    </row>
    <row r="668" spans="1:43" x14ac:dyDescent="0.25">
      <c r="A668" t="str">
        <f t="shared" si="131"/>
        <v>3A,Master MSP,T00000,3A Att</v>
      </c>
      <c r="B668" t="str">
        <f>"AZZOUZ"</f>
        <v>AZZOUZ</v>
      </c>
      <c r="C668" t="str">
        <f>"Rayane"</f>
        <v>Rayane</v>
      </c>
      <c r="D668" t="str">
        <f>"021-2023"</f>
        <v>021-2023</v>
      </c>
      <c r="E668" t="str">
        <f>"060986278EH"</f>
        <v>060986278EH</v>
      </c>
      <c r="F668" t="str">
        <f t="shared" si="126"/>
        <v>0352480F</v>
      </c>
      <c r="G668" t="str">
        <f t="shared" si="127"/>
        <v>O</v>
      </c>
      <c r="H668">
        <v>10</v>
      </c>
      <c r="I668">
        <v>2002</v>
      </c>
      <c r="J668">
        <v>1</v>
      </c>
      <c r="K668" t="str">
        <f t="shared" ref="K668:K675" si="132">"S"</f>
        <v>S</v>
      </c>
      <c r="L668">
        <v>25</v>
      </c>
      <c r="M668">
        <v>2019</v>
      </c>
      <c r="N668" t="str">
        <f t="shared" si="128"/>
        <v>E</v>
      </c>
      <c r="O668" t="str">
        <f>"D"</f>
        <v>D</v>
      </c>
      <c r="P668">
        <v>0</v>
      </c>
      <c r="Q668">
        <v>100</v>
      </c>
      <c r="R668">
        <v>100</v>
      </c>
      <c r="S668">
        <v>35000</v>
      </c>
      <c r="T668">
        <v>100</v>
      </c>
      <c r="U668">
        <v>35000</v>
      </c>
      <c r="V668" t="str">
        <f>"TOEIC à l'ENSAI le 19/05/2022: 985"</f>
        <v>TOEIC à l'ENSAI le 19/05/2022: 985</v>
      </c>
      <c r="W668">
        <v>52</v>
      </c>
      <c r="X668">
        <v>0</v>
      </c>
      <c r="Y668">
        <v>6000577</v>
      </c>
      <c r="Z668">
        <v>2</v>
      </c>
      <c r="AA668">
        <v>27</v>
      </c>
      <c r="AB668" t="str">
        <f>""</f>
        <v/>
      </c>
      <c r="AC668" t="str">
        <f>""</f>
        <v/>
      </c>
      <c r="AD668" t="str">
        <f>""</f>
        <v/>
      </c>
      <c r="AE668">
        <v>2019</v>
      </c>
      <c r="AF668">
        <v>2021</v>
      </c>
      <c r="AG668" t="str">
        <f>"Rennes"</f>
        <v>Rennes</v>
      </c>
      <c r="AH668" t="str">
        <f>"Rennes"</f>
        <v>Rennes</v>
      </c>
      <c r="AI668" t="str">
        <f>""</f>
        <v/>
      </c>
      <c r="AJ668" t="str">
        <f>""</f>
        <v/>
      </c>
      <c r="AK668" t="str">
        <f>""</f>
        <v/>
      </c>
      <c r="AL668">
        <v>99</v>
      </c>
      <c r="AM668" t="str">
        <f>""</f>
        <v/>
      </c>
      <c r="AN668" t="str">
        <f>""</f>
        <v/>
      </c>
      <c r="AO668" t="str">
        <f>"Camille Claudel"</f>
        <v>Camille Claudel</v>
      </c>
      <c r="AP668" t="str">
        <f>"VAURÉAL"</f>
        <v>VAURÉAL</v>
      </c>
      <c r="AQ668" t="str">
        <f>"Versailles"</f>
        <v>Versailles</v>
      </c>
    </row>
    <row r="669" spans="1:43" x14ac:dyDescent="0.25">
      <c r="A669" t="str">
        <f t="shared" si="131"/>
        <v>3A,Master MSP,T00000,3A Att</v>
      </c>
      <c r="B669" t="str">
        <f>"BENOLIEL"</f>
        <v>BENOLIEL</v>
      </c>
      <c r="C669" t="str">
        <f>"Stuart"</f>
        <v>Stuart</v>
      </c>
      <c r="D669" t="str">
        <f>"022-2237"</f>
        <v>022-2237</v>
      </c>
      <c r="E669" t="str">
        <f>"110956217EG"</f>
        <v>110956217EG</v>
      </c>
      <c r="F669" t="str">
        <f t="shared" si="126"/>
        <v>0352480F</v>
      </c>
      <c r="G669" t="str">
        <f t="shared" si="127"/>
        <v>O</v>
      </c>
      <c r="H669">
        <v>10</v>
      </c>
      <c r="I669">
        <v>2002</v>
      </c>
      <c r="J669">
        <v>1</v>
      </c>
      <c r="K669" t="str">
        <f t="shared" si="132"/>
        <v>S</v>
      </c>
      <c r="L669">
        <v>2</v>
      </c>
      <c r="M669">
        <v>2020</v>
      </c>
      <c r="N669" t="str">
        <f t="shared" si="128"/>
        <v>E</v>
      </c>
      <c r="O669" t="str">
        <f>"D"</f>
        <v>D</v>
      </c>
      <c r="P669">
        <v>0</v>
      </c>
      <c r="Q669">
        <v>100</v>
      </c>
      <c r="R669">
        <v>100</v>
      </c>
      <c r="S669">
        <v>35170</v>
      </c>
      <c r="T669">
        <v>100</v>
      </c>
      <c r="U669">
        <v>35170</v>
      </c>
      <c r="V669" t="str">
        <f>"TOEIC 2A - 11/04/2024 : 950"</f>
        <v>TOEIC 2A - 11/04/2024 : 950</v>
      </c>
      <c r="W669">
        <v>45</v>
      </c>
      <c r="X669">
        <v>0</v>
      </c>
      <c r="Y669">
        <v>6000577</v>
      </c>
      <c r="Z669">
        <v>2</v>
      </c>
      <c r="AA669">
        <v>27</v>
      </c>
      <c r="AB669" t="str">
        <f>""</f>
        <v/>
      </c>
      <c r="AC669" t="str">
        <f>""</f>
        <v/>
      </c>
      <c r="AD669" t="str">
        <f>""</f>
        <v/>
      </c>
      <c r="AE669">
        <v>2020</v>
      </c>
      <c r="AF669">
        <v>2022</v>
      </c>
      <c r="AG669" t="str">
        <f>"Bruz"</f>
        <v>Bruz</v>
      </c>
      <c r="AH669" t="str">
        <f>"Bruz"</f>
        <v>Bruz</v>
      </c>
      <c r="AI669" t="str">
        <f>""</f>
        <v/>
      </c>
      <c r="AJ669" t="str">
        <f>""</f>
        <v/>
      </c>
      <c r="AK669" t="str">
        <f>""</f>
        <v/>
      </c>
      <c r="AL669">
        <v>45</v>
      </c>
      <c r="AM669" t="str">
        <f>""</f>
        <v/>
      </c>
      <c r="AN669" t="str">
        <f>""</f>
        <v/>
      </c>
      <c r="AO669" t="str">
        <f>"Lycée Saint-Charles Camas"</f>
        <v>Lycée Saint-Charles Camas</v>
      </c>
      <c r="AP669" t="str">
        <f>"MARSEILLE"</f>
        <v>MARSEILLE</v>
      </c>
      <c r="AQ669" t="str">
        <f>"Aix-Marseille"</f>
        <v>Aix-Marseille</v>
      </c>
    </row>
    <row r="670" spans="1:43" x14ac:dyDescent="0.25">
      <c r="A670" t="str">
        <f t="shared" si="131"/>
        <v>3A,Master MSP,T00000,3A Att</v>
      </c>
      <c r="B670" t="str">
        <f>"BERNARD"</f>
        <v>BERNARD</v>
      </c>
      <c r="C670" t="str">
        <f>"Julien"</f>
        <v>Julien</v>
      </c>
      <c r="D670" t="str">
        <f>"020-9443"</f>
        <v>020-9443</v>
      </c>
      <c r="E670" t="str">
        <f>"2394027602R"</f>
        <v>2394027602R</v>
      </c>
      <c r="F670" t="str">
        <f t="shared" si="126"/>
        <v>0352480F</v>
      </c>
      <c r="G670" t="str">
        <f t="shared" si="127"/>
        <v>O</v>
      </c>
      <c r="H670">
        <v>10</v>
      </c>
      <c r="I670">
        <v>1984</v>
      </c>
      <c r="J670">
        <v>1</v>
      </c>
      <c r="K670" t="str">
        <f t="shared" si="132"/>
        <v>S</v>
      </c>
      <c r="L670">
        <v>23</v>
      </c>
      <c r="M670">
        <v>2001</v>
      </c>
      <c r="N670" t="str">
        <f t="shared" si="128"/>
        <v>E</v>
      </c>
      <c r="O670" t="str">
        <f>"N"</f>
        <v>N</v>
      </c>
      <c r="P670">
        <v>0</v>
      </c>
      <c r="Q670">
        <v>100</v>
      </c>
      <c r="R670">
        <v>100</v>
      </c>
      <c r="S670">
        <v>57070</v>
      </c>
      <c r="T670">
        <v>100</v>
      </c>
      <c r="U670">
        <v>57070</v>
      </c>
      <c r="V670" t="str">
        <f>"TOEIC passé à l'ENSAI le 17/05/2021 : 980"</f>
        <v>TOEIC passé à l'ENSAI le 17/05/2021 : 980</v>
      </c>
      <c r="W670">
        <v>72</v>
      </c>
      <c r="X670">
        <v>0</v>
      </c>
      <c r="Y670">
        <v>6000577</v>
      </c>
      <c r="Z670">
        <v>2</v>
      </c>
      <c r="AA670">
        <v>27</v>
      </c>
      <c r="AB670" t="str">
        <f>""</f>
        <v/>
      </c>
      <c r="AC670" t="str">
        <f>""</f>
        <v/>
      </c>
      <c r="AD670" t="str">
        <f>""</f>
        <v/>
      </c>
      <c r="AE670">
        <v>2001</v>
      </c>
      <c r="AF670">
        <v>2020</v>
      </c>
      <c r="AG670" t="str">
        <f>"METZ"</f>
        <v>METZ</v>
      </c>
      <c r="AH670" t="str">
        <f>"METZ"</f>
        <v>METZ</v>
      </c>
      <c r="AI670" t="str">
        <f>""</f>
        <v/>
      </c>
      <c r="AJ670" t="str">
        <f>""</f>
        <v/>
      </c>
      <c r="AK670" t="str">
        <f>""</f>
        <v/>
      </c>
      <c r="AL670">
        <v>0</v>
      </c>
      <c r="AM670" t="str">
        <f>""</f>
        <v/>
      </c>
      <c r="AN670" t="str">
        <f>""</f>
        <v/>
      </c>
      <c r="AO670" t="str">
        <f>"albert camus"</f>
        <v>albert camus</v>
      </c>
      <c r="AP670" t="str">
        <f>"FRÉJUS"</f>
        <v>FRÉJUS</v>
      </c>
      <c r="AQ670" t="str">
        <f>"Nice"</f>
        <v>Nice</v>
      </c>
    </row>
    <row r="671" spans="1:43" x14ac:dyDescent="0.25">
      <c r="A671" t="str">
        <f t="shared" si="131"/>
        <v>3A,Master MSP,T00000,3A Att</v>
      </c>
      <c r="B671" t="str">
        <f>"BOUCHIAR"</f>
        <v>BOUCHIAR</v>
      </c>
      <c r="C671" t="str">
        <f>"Wahib"</f>
        <v>Wahib</v>
      </c>
      <c r="D671" t="str">
        <f>"019-1655"</f>
        <v>019-1655</v>
      </c>
      <c r="E671" t="str">
        <f>"1010014955T"</f>
        <v>1010014955T</v>
      </c>
      <c r="F671" t="str">
        <f t="shared" si="126"/>
        <v>0352480F</v>
      </c>
      <c r="G671" t="str">
        <f t="shared" si="127"/>
        <v>O</v>
      </c>
      <c r="H671">
        <v>10</v>
      </c>
      <c r="I671">
        <v>1999</v>
      </c>
      <c r="J671">
        <v>1</v>
      </c>
      <c r="K671" t="str">
        <f t="shared" si="132"/>
        <v>S</v>
      </c>
      <c r="L671">
        <v>10</v>
      </c>
      <c r="M671">
        <v>2017</v>
      </c>
      <c r="N671" t="str">
        <f t="shared" si="128"/>
        <v>E</v>
      </c>
      <c r="O671" t="str">
        <f>"D"</f>
        <v>D</v>
      </c>
      <c r="P671">
        <v>0</v>
      </c>
      <c r="Q671">
        <v>100</v>
      </c>
      <c r="R671">
        <v>100</v>
      </c>
      <c r="S671">
        <v>35170</v>
      </c>
      <c r="T671">
        <v>100</v>
      </c>
      <c r="U671">
        <v>35170</v>
      </c>
      <c r="V671" t="str">
        <f>"TOEIC passé à l'ENSAI 01/2021 : 720  TOEIC passé à l'ENSAI 28/05/2021 : 680"</f>
        <v>TOEIC passé à l'ENSAI 01/2021 : 720  TOEIC passé à l'ENSAI 28/05/2021 : 680</v>
      </c>
      <c r="W671">
        <v>47</v>
      </c>
      <c r="X671">
        <v>0</v>
      </c>
      <c r="Y671">
        <v>6000577</v>
      </c>
      <c r="Z671">
        <v>2</v>
      </c>
      <c r="AA671">
        <v>27</v>
      </c>
      <c r="AB671" t="str">
        <f>""</f>
        <v/>
      </c>
      <c r="AC671" t="str">
        <f>""</f>
        <v/>
      </c>
      <c r="AD671" t="str">
        <f>""</f>
        <v/>
      </c>
      <c r="AE671">
        <v>2017</v>
      </c>
      <c r="AF671">
        <v>2019</v>
      </c>
      <c r="AG671" t="str">
        <f>"Bruz"</f>
        <v>Bruz</v>
      </c>
      <c r="AH671" t="str">
        <f>"Bruz"</f>
        <v>Bruz</v>
      </c>
      <c r="AI671" t="str">
        <f>""</f>
        <v/>
      </c>
      <c r="AJ671" t="str">
        <f>""</f>
        <v/>
      </c>
      <c r="AK671" t="str">
        <f>""</f>
        <v/>
      </c>
      <c r="AL671">
        <v>0</v>
      </c>
      <c r="AM671" t="str">
        <f>""</f>
        <v/>
      </c>
      <c r="AN671" t="str">
        <f>""</f>
        <v/>
      </c>
      <c r="AO671" t="str">
        <f>"Lycée Arbez Carme"</f>
        <v>Lycée Arbez Carme</v>
      </c>
      <c r="AP671" t="str">
        <f>"BELLIGNAT"</f>
        <v>BELLIGNAT</v>
      </c>
      <c r="AQ671" t="str">
        <f>"Lyon"</f>
        <v>Lyon</v>
      </c>
    </row>
    <row r="672" spans="1:43" x14ac:dyDescent="0.25">
      <c r="A672" t="str">
        <f t="shared" si="131"/>
        <v>3A,Master MSP,T00000,3A Att</v>
      </c>
      <c r="B672" t="str">
        <f>"CHAPOUILLIE"</f>
        <v>CHAPOUILLIE</v>
      </c>
      <c r="C672" t="str">
        <f>"Fabien"</f>
        <v>Fabien</v>
      </c>
      <c r="D672" t="str">
        <f>"017-1062"</f>
        <v>017-1062</v>
      </c>
      <c r="E672" t="str">
        <f>"07JZ4S000H5"</f>
        <v>07JZ4S000H5</v>
      </c>
      <c r="F672" t="str">
        <f t="shared" si="126"/>
        <v>0352480F</v>
      </c>
      <c r="G672" t="str">
        <f t="shared" si="127"/>
        <v>O</v>
      </c>
      <c r="H672">
        <v>10</v>
      </c>
      <c r="I672">
        <v>1979</v>
      </c>
      <c r="J672">
        <v>1</v>
      </c>
      <c r="K672" t="str">
        <f t="shared" si="132"/>
        <v>S</v>
      </c>
      <c r="L672">
        <v>16</v>
      </c>
      <c r="M672">
        <v>1998</v>
      </c>
      <c r="N672" t="str">
        <f t="shared" si="128"/>
        <v>E</v>
      </c>
      <c r="O672" t="str">
        <f>"U"</f>
        <v>U</v>
      </c>
      <c r="P672">
        <v>0</v>
      </c>
      <c r="Q672">
        <v>100</v>
      </c>
      <c r="R672">
        <v>100</v>
      </c>
      <c r="S672">
        <v>35000</v>
      </c>
      <c r="T672">
        <v>100</v>
      </c>
      <c r="U672">
        <v>35000</v>
      </c>
      <c r="V672" t="str">
        <f>""</f>
        <v/>
      </c>
      <c r="W672">
        <v>0</v>
      </c>
      <c r="X672">
        <v>0</v>
      </c>
      <c r="Y672">
        <v>6000577</v>
      </c>
      <c r="Z672">
        <v>2</v>
      </c>
      <c r="AA672">
        <v>27</v>
      </c>
      <c r="AB672" t="str">
        <f>""</f>
        <v/>
      </c>
      <c r="AC672" t="str">
        <f>""</f>
        <v/>
      </c>
      <c r="AD672" t="str">
        <f>""</f>
        <v/>
      </c>
      <c r="AE672">
        <v>1998</v>
      </c>
      <c r="AF672">
        <v>2017</v>
      </c>
      <c r="AG672" t="str">
        <f>"Rennes"</f>
        <v>Rennes</v>
      </c>
      <c r="AH672" t="str">
        <f>"Rennes"</f>
        <v>Rennes</v>
      </c>
      <c r="AI672" t="str">
        <f>""</f>
        <v/>
      </c>
      <c r="AJ672" t="str">
        <f>""</f>
        <v/>
      </c>
      <c r="AK672" t="str">
        <f>""</f>
        <v/>
      </c>
      <c r="AL672">
        <v>0</v>
      </c>
      <c r="AM672" t="str">
        <f>""</f>
        <v/>
      </c>
      <c r="AN672" t="str">
        <f>""</f>
        <v/>
      </c>
      <c r="AO672" t="str">
        <f>"Fermat"</f>
        <v>Fermat</v>
      </c>
      <c r="AP672" t="str">
        <f>"TOULOUSE"</f>
        <v>TOULOUSE</v>
      </c>
      <c r="AQ672" t="str">
        <f>"Toulouse"</f>
        <v>Toulouse</v>
      </c>
    </row>
    <row r="673" spans="1:43" x14ac:dyDescent="0.25">
      <c r="A673" t="str">
        <f t="shared" si="131"/>
        <v>3A,Master MSP,T00000,3A Att</v>
      </c>
      <c r="B673" t="str">
        <f>"CURTET"</f>
        <v>CURTET</v>
      </c>
      <c r="C673" t="str">
        <f>"Dylan"</f>
        <v>Dylan</v>
      </c>
      <c r="D673" t="str">
        <f>"022-2337"</f>
        <v>022-2337</v>
      </c>
      <c r="E673" t="str">
        <f>"070799005DE"</f>
        <v>070799005DE</v>
      </c>
      <c r="F673" t="str">
        <f t="shared" si="126"/>
        <v>0352480F</v>
      </c>
      <c r="G673" t="str">
        <f t="shared" si="127"/>
        <v>O</v>
      </c>
      <c r="H673">
        <v>10</v>
      </c>
      <c r="I673">
        <v>2001</v>
      </c>
      <c r="J673">
        <v>1</v>
      </c>
      <c r="K673" t="str">
        <f t="shared" si="132"/>
        <v>S</v>
      </c>
      <c r="L673">
        <v>23</v>
      </c>
      <c r="M673">
        <v>2020</v>
      </c>
      <c r="N673" t="str">
        <f t="shared" si="128"/>
        <v>E</v>
      </c>
      <c r="O673" t="str">
        <f>"A"</f>
        <v>A</v>
      </c>
      <c r="P673">
        <v>0</v>
      </c>
      <c r="Q673">
        <v>100</v>
      </c>
      <c r="R673">
        <v>100</v>
      </c>
      <c r="S673">
        <v>35170</v>
      </c>
      <c r="T673">
        <v>100</v>
      </c>
      <c r="U673">
        <v>35170</v>
      </c>
      <c r="V673" t="str">
        <f>""</f>
        <v/>
      </c>
      <c r="W673">
        <v>38</v>
      </c>
      <c r="X673">
        <v>0</v>
      </c>
      <c r="Y673">
        <v>6000577</v>
      </c>
      <c r="Z673">
        <v>2</v>
      </c>
      <c r="AA673">
        <v>27</v>
      </c>
      <c r="AB673" t="str">
        <f>""</f>
        <v/>
      </c>
      <c r="AC673" t="str">
        <f>""</f>
        <v/>
      </c>
      <c r="AD673" t="str">
        <f>""</f>
        <v/>
      </c>
      <c r="AE673">
        <v>2020</v>
      </c>
      <c r="AF673">
        <v>2022</v>
      </c>
      <c r="AG673" t="str">
        <f>"Bruz"</f>
        <v>Bruz</v>
      </c>
      <c r="AH673" t="str">
        <f>"Bruz"</f>
        <v>Bruz</v>
      </c>
      <c r="AI673" t="str">
        <f>""</f>
        <v/>
      </c>
      <c r="AJ673" t="str">
        <f>""</f>
        <v/>
      </c>
      <c r="AK673" t="str">
        <f>""</f>
        <v/>
      </c>
      <c r="AL673">
        <v>38</v>
      </c>
      <c r="AM673" t="str">
        <f>""</f>
        <v/>
      </c>
      <c r="AN673" t="str">
        <f>""</f>
        <v/>
      </c>
      <c r="AO673" t="str">
        <f>"Lycée Stanislas"</f>
        <v>Lycée Stanislas</v>
      </c>
      <c r="AP673" t="str">
        <f>"NICE"</f>
        <v>NICE</v>
      </c>
      <c r="AQ673" t="str">
        <f>"Nice"</f>
        <v>Nice</v>
      </c>
    </row>
    <row r="674" spans="1:43" x14ac:dyDescent="0.25">
      <c r="A674" t="str">
        <f t="shared" si="131"/>
        <v>3A,Master MSP,T00000,3A Att</v>
      </c>
      <c r="B674" t="str">
        <f>"DAVID"</f>
        <v>DAVID</v>
      </c>
      <c r="C674" t="str">
        <f>"Mathieu"</f>
        <v>Mathieu</v>
      </c>
      <c r="D674" t="str">
        <f>"018-1231"</f>
        <v>018-1231</v>
      </c>
      <c r="E674" t="str">
        <f>"1497025103Z"</f>
        <v>1497025103Z</v>
      </c>
      <c r="F674" t="str">
        <f t="shared" si="126"/>
        <v>0352480F</v>
      </c>
      <c r="G674" t="str">
        <f t="shared" si="127"/>
        <v>O</v>
      </c>
      <c r="H674">
        <v>10</v>
      </c>
      <c r="I674">
        <v>1986</v>
      </c>
      <c r="J674">
        <v>1</v>
      </c>
      <c r="K674" t="str">
        <f t="shared" si="132"/>
        <v>S</v>
      </c>
      <c r="L674">
        <v>14</v>
      </c>
      <c r="M674">
        <v>2004</v>
      </c>
      <c r="N674" t="str">
        <f t="shared" si="128"/>
        <v>E</v>
      </c>
      <c r="O674" t="str">
        <f>"U"</f>
        <v>U</v>
      </c>
      <c r="P674">
        <v>0</v>
      </c>
      <c r="Q674">
        <v>100</v>
      </c>
      <c r="R674">
        <v>100</v>
      </c>
      <c r="S674">
        <v>44200</v>
      </c>
      <c r="T674">
        <v>100</v>
      </c>
      <c r="U674">
        <v>44200</v>
      </c>
      <c r="V674" t="str">
        <f>"score TOEIC passé à l'Ensai le 10/01/2020 : 685"</f>
        <v>score TOEIC passé à l'Ensai le 10/01/2020 : 685</v>
      </c>
      <c r="W674">
        <v>72</v>
      </c>
      <c r="X674">
        <v>0</v>
      </c>
      <c r="Y674">
        <v>6000577</v>
      </c>
      <c r="Z674">
        <v>2</v>
      </c>
      <c r="AA674">
        <v>27</v>
      </c>
      <c r="AB674" t="str">
        <f>""</f>
        <v/>
      </c>
      <c r="AC674" t="str">
        <f>""</f>
        <v/>
      </c>
      <c r="AD674" t="str">
        <f>""</f>
        <v/>
      </c>
      <c r="AE674">
        <v>2004</v>
      </c>
      <c r="AF674">
        <v>2018</v>
      </c>
      <c r="AG674" t="str">
        <f>"Nantes"</f>
        <v>Nantes</v>
      </c>
      <c r="AH674" t="str">
        <f>"Nantes"</f>
        <v>Nantes</v>
      </c>
      <c r="AI674" t="str">
        <f>""</f>
        <v/>
      </c>
      <c r="AJ674" t="str">
        <f>""</f>
        <v/>
      </c>
      <c r="AK674" t="str">
        <f>""</f>
        <v/>
      </c>
      <c r="AL674">
        <v>0</v>
      </c>
      <c r="AM674" t="str">
        <f>""</f>
        <v/>
      </c>
      <c r="AN674" t="str">
        <f>""</f>
        <v/>
      </c>
      <c r="AO674" t="str">
        <f>"Lycée la fontaine des eaux"</f>
        <v>Lycée la fontaine des eaux</v>
      </c>
      <c r="AP674" t="str">
        <f>"DINAN"</f>
        <v>DINAN</v>
      </c>
      <c r="AQ674" t="str">
        <f>"Rennes"</f>
        <v>Rennes</v>
      </c>
    </row>
    <row r="675" spans="1:43" x14ac:dyDescent="0.25">
      <c r="A675" t="str">
        <f t="shared" si="131"/>
        <v>3A,Master MSP,T00000,3A Att</v>
      </c>
      <c r="B675" t="str">
        <f>"DEBART"</f>
        <v>DEBART</v>
      </c>
      <c r="C675" t="str">
        <f>"Maxence"</f>
        <v>Maxence</v>
      </c>
      <c r="D675" t="str">
        <f>"020-1748"</f>
        <v>020-1748</v>
      </c>
      <c r="E675" t="str">
        <f>"050133864AE"</f>
        <v>050133864AE</v>
      </c>
      <c r="F675" t="str">
        <f t="shared" si="126"/>
        <v>0352480F</v>
      </c>
      <c r="G675" t="str">
        <f t="shared" si="127"/>
        <v>O</v>
      </c>
      <c r="H675">
        <v>10</v>
      </c>
      <c r="I675">
        <v>2002</v>
      </c>
      <c r="J675">
        <v>1</v>
      </c>
      <c r="K675" t="str">
        <f t="shared" si="132"/>
        <v>S</v>
      </c>
      <c r="L675">
        <v>19</v>
      </c>
      <c r="M675">
        <v>2018</v>
      </c>
      <c r="N675" t="str">
        <f t="shared" ref="N675:N709" si="133">"E"</f>
        <v>E</v>
      </c>
      <c r="O675" t="str">
        <f>"D"</f>
        <v>D</v>
      </c>
      <c r="P675">
        <v>0</v>
      </c>
      <c r="Q675">
        <v>100</v>
      </c>
      <c r="R675">
        <v>100</v>
      </c>
      <c r="S675">
        <v>35131</v>
      </c>
      <c r="T675">
        <v>100</v>
      </c>
      <c r="U675">
        <v>35131</v>
      </c>
      <c r="V675" t="str">
        <f>"TOEIC passé à l'ENSAI le 17/05/2021 : 950"</f>
        <v>TOEIC passé à l'ENSAI le 17/05/2021 : 950</v>
      </c>
      <c r="W675">
        <v>38</v>
      </c>
      <c r="X675">
        <v>0</v>
      </c>
      <c r="Y675">
        <v>6000577</v>
      </c>
      <c r="Z675">
        <v>2</v>
      </c>
      <c r="AA675">
        <v>27</v>
      </c>
      <c r="AB675" t="str">
        <f>""</f>
        <v/>
      </c>
      <c r="AC675" t="str">
        <f>""</f>
        <v/>
      </c>
      <c r="AD675" t="str">
        <f>""</f>
        <v/>
      </c>
      <c r="AE675">
        <v>2018</v>
      </c>
      <c r="AF675">
        <v>2020</v>
      </c>
      <c r="AG675" t="str">
        <f>"Chartres-de-Bretagne"</f>
        <v>Chartres-de-Bretagne</v>
      </c>
      <c r="AH675" t="str">
        <f>"Chartres-de-Bretagne"</f>
        <v>Chartres-de-Bretagne</v>
      </c>
      <c r="AI675" t="str">
        <f>""</f>
        <v/>
      </c>
      <c r="AJ675" t="str">
        <f>""</f>
        <v/>
      </c>
      <c r="AK675" t="str">
        <f>""</f>
        <v/>
      </c>
      <c r="AL675">
        <v>54</v>
      </c>
      <c r="AM675" t="str">
        <f>""</f>
        <v/>
      </c>
      <c r="AN675" t="str">
        <f>""</f>
        <v/>
      </c>
      <c r="AO675" t="str">
        <f>"Pierre BAYEN"</f>
        <v>Pierre BAYEN</v>
      </c>
      <c r="AP675" t="str">
        <f>"CHALONS-EN-CHAMPAGNE"</f>
        <v>CHALONS-EN-CHAMPAGNE</v>
      </c>
      <c r="AQ675" t="str">
        <f>"Reims"</f>
        <v>Reims</v>
      </c>
    </row>
    <row r="676" spans="1:43" x14ac:dyDescent="0.25">
      <c r="A676" t="str">
        <f t="shared" si="131"/>
        <v>3A,Master MSP,T00000,3A Att</v>
      </c>
      <c r="B676" t="str">
        <f>"ERIKSEN"</f>
        <v>ERIKSEN</v>
      </c>
      <c r="C676" t="str">
        <f>"Bastien"</f>
        <v>Bastien</v>
      </c>
      <c r="D676" t="str">
        <f>"022-2204"</f>
        <v>022-2204</v>
      </c>
      <c r="E676" t="str">
        <f>"070375427BD"</f>
        <v>070375427BD</v>
      </c>
      <c r="F676" t="str">
        <f t="shared" si="126"/>
        <v>0352480F</v>
      </c>
      <c r="G676" t="str">
        <f t="shared" si="127"/>
        <v>O</v>
      </c>
      <c r="H676">
        <v>10</v>
      </c>
      <c r="I676">
        <v>2001</v>
      </c>
      <c r="J676">
        <v>1</v>
      </c>
      <c r="K676" t="str">
        <f>"ES"</f>
        <v>ES</v>
      </c>
      <c r="L676">
        <v>25</v>
      </c>
      <c r="M676">
        <v>2019</v>
      </c>
      <c r="N676" t="str">
        <f t="shared" si="133"/>
        <v>E</v>
      </c>
      <c r="O676" t="str">
        <f>"A"</f>
        <v>A</v>
      </c>
      <c r="P676">
        <v>0</v>
      </c>
      <c r="Q676">
        <v>100</v>
      </c>
      <c r="R676">
        <v>100</v>
      </c>
      <c r="S676">
        <v>35170</v>
      </c>
      <c r="T676">
        <v>100</v>
      </c>
      <c r="U676">
        <v>35170</v>
      </c>
      <c r="V676" t="str">
        <f>"TOEIC 2A à l'ENSAI 08-01-2024 : 945"</f>
        <v>TOEIC 2A à l'ENSAI 08-01-2024 : 945</v>
      </c>
      <c r="W676">
        <v>31</v>
      </c>
      <c r="X676">
        <v>0</v>
      </c>
      <c r="Y676">
        <v>6000577</v>
      </c>
      <c r="Z676">
        <v>2</v>
      </c>
      <c r="AA676">
        <v>27</v>
      </c>
      <c r="AB676" t="str">
        <f>""</f>
        <v/>
      </c>
      <c r="AC676" t="str">
        <f>""</f>
        <v/>
      </c>
      <c r="AD676" t="str">
        <f>""</f>
        <v/>
      </c>
      <c r="AE676">
        <v>2019</v>
      </c>
      <c r="AF676">
        <v>2022</v>
      </c>
      <c r="AG676" t="str">
        <f>"Bruz"</f>
        <v>Bruz</v>
      </c>
      <c r="AH676" t="str">
        <f>"Bruz"</f>
        <v>Bruz</v>
      </c>
      <c r="AI676" t="str">
        <f>""</f>
        <v/>
      </c>
      <c r="AJ676" t="str">
        <f>""</f>
        <v/>
      </c>
      <c r="AK676" t="str">
        <f>""</f>
        <v/>
      </c>
      <c r="AL676">
        <v>99</v>
      </c>
      <c r="AM676" t="str">
        <f>""</f>
        <v/>
      </c>
      <c r="AN676" t="str">
        <f>""</f>
        <v/>
      </c>
      <c r="AO676" t="str">
        <f>"Lycée Léonard de Vinci"</f>
        <v>Lycée Léonard de Vinci</v>
      </c>
      <c r="AP676" t="str">
        <f>"LEVALLOIS-PERRET"</f>
        <v>LEVALLOIS-PERRET</v>
      </c>
      <c r="AQ676" t="str">
        <f>"Versailles"</f>
        <v>Versailles</v>
      </c>
    </row>
    <row r="677" spans="1:43" x14ac:dyDescent="0.25">
      <c r="A677" t="str">
        <f t="shared" si="131"/>
        <v>3A,Master MSP,T00000,3A Att</v>
      </c>
      <c r="B677" t="str">
        <f>"GUAY"</f>
        <v>GUAY</v>
      </c>
      <c r="C677" t="str">
        <f>"Julien"</f>
        <v>Julien</v>
      </c>
      <c r="D677" t="str">
        <f>"016-0765"</f>
        <v>016-0765</v>
      </c>
      <c r="E677" t="str">
        <f>"1700002046L"</f>
        <v>1700002046L</v>
      </c>
      <c r="F677" t="str">
        <f t="shared" si="126"/>
        <v>0352480F</v>
      </c>
      <c r="G677" t="str">
        <f t="shared" si="127"/>
        <v>O</v>
      </c>
      <c r="H677">
        <v>10</v>
      </c>
      <c r="I677">
        <v>1989</v>
      </c>
      <c r="J677">
        <v>1</v>
      </c>
      <c r="K677" t="str">
        <f t="shared" ref="K677:K683" si="134">"S"</f>
        <v>S</v>
      </c>
      <c r="L677">
        <v>17</v>
      </c>
      <c r="M677">
        <v>2007</v>
      </c>
      <c r="N677" t="str">
        <f t="shared" si="133"/>
        <v>E</v>
      </c>
      <c r="O677" t="str">
        <f>"U"</f>
        <v>U</v>
      </c>
      <c r="P677">
        <v>0</v>
      </c>
      <c r="Q677">
        <v>100</v>
      </c>
      <c r="R677">
        <v>100</v>
      </c>
      <c r="S677">
        <v>94110</v>
      </c>
      <c r="T677">
        <v>100</v>
      </c>
      <c r="U677">
        <v>94110</v>
      </c>
      <c r="V677" t="str">
        <f>"TOEIC passé le 08.01.18 - score 900"</f>
        <v>TOEIC passé le 08.01.18 - score 900</v>
      </c>
      <c r="W677">
        <v>99</v>
      </c>
      <c r="X677">
        <v>0</v>
      </c>
      <c r="Y677">
        <v>6000577</v>
      </c>
      <c r="Z677">
        <v>2</v>
      </c>
      <c r="AA677">
        <v>27</v>
      </c>
      <c r="AB677" t="str">
        <f>""</f>
        <v/>
      </c>
      <c r="AC677" t="str">
        <f>""</f>
        <v/>
      </c>
      <c r="AD677" t="str">
        <f>""</f>
        <v/>
      </c>
      <c r="AE677">
        <v>2007</v>
      </c>
      <c r="AF677">
        <v>2016</v>
      </c>
      <c r="AG677" t="str">
        <f>"ARCUEIL"</f>
        <v>ARCUEIL</v>
      </c>
      <c r="AH677" t="str">
        <f>"ARCUEIL"</f>
        <v>ARCUEIL</v>
      </c>
      <c r="AI677" t="str">
        <f>""</f>
        <v/>
      </c>
      <c r="AJ677" t="str">
        <f>""</f>
        <v/>
      </c>
      <c r="AK677" t="str">
        <f>""</f>
        <v/>
      </c>
      <c r="AL677">
        <v>34</v>
      </c>
      <c r="AM677" t="str">
        <f>""</f>
        <v/>
      </c>
      <c r="AN677" t="str">
        <f>""</f>
        <v/>
      </c>
      <c r="AO677" t="str">
        <f>"Clemenceau"</f>
        <v>Clemenceau</v>
      </c>
      <c r="AP677" t="str">
        <f>"NANTES"</f>
        <v>NANTES</v>
      </c>
      <c r="AQ677" t="str">
        <f>"Nantes"</f>
        <v>Nantes</v>
      </c>
    </row>
    <row r="678" spans="1:43" x14ac:dyDescent="0.25">
      <c r="A678" t="str">
        <f t="shared" si="131"/>
        <v>3A,Master MSP,T00000,3A Att</v>
      </c>
      <c r="B678" t="str">
        <f>"HEIDSIECK"</f>
        <v>HEIDSIECK</v>
      </c>
      <c r="C678" t="str">
        <f>"Suzanne"</f>
        <v>Suzanne</v>
      </c>
      <c r="D678" t="str">
        <f>"022-2283"</f>
        <v>022-2283</v>
      </c>
      <c r="E678" t="str">
        <f>"061340990GE"</f>
        <v>061340990GE</v>
      </c>
      <c r="F678" t="str">
        <f t="shared" si="126"/>
        <v>0352480F</v>
      </c>
      <c r="G678" t="str">
        <f t="shared" si="127"/>
        <v>O</v>
      </c>
      <c r="H678">
        <v>10</v>
      </c>
      <c r="I678">
        <v>2002</v>
      </c>
      <c r="J678">
        <v>2</v>
      </c>
      <c r="K678" t="str">
        <f t="shared" si="134"/>
        <v>S</v>
      </c>
      <c r="L678">
        <v>24</v>
      </c>
      <c r="M678">
        <v>2020</v>
      </c>
      <c r="N678" t="str">
        <f t="shared" si="133"/>
        <v>E</v>
      </c>
      <c r="O678" t="str">
        <f>"D"</f>
        <v>D</v>
      </c>
      <c r="P678">
        <v>0</v>
      </c>
      <c r="Q678">
        <v>100</v>
      </c>
      <c r="R678">
        <v>100</v>
      </c>
      <c r="S678">
        <v>35000</v>
      </c>
      <c r="T678">
        <v>100</v>
      </c>
      <c r="U678">
        <v>35000</v>
      </c>
      <c r="V678" t="str">
        <f>"TOEIC 2A à l'ENSAI 08-01-2024 : 915"</f>
        <v>TOEIC 2A à l'ENSAI 08-01-2024 : 915</v>
      </c>
      <c r="W678">
        <v>33</v>
      </c>
      <c r="X678">
        <v>0</v>
      </c>
      <c r="Y678">
        <v>6000577</v>
      </c>
      <c r="Z678">
        <v>2</v>
      </c>
      <c r="AA678">
        <v>27</v>
      </c>
      <c r="AB678" t="str">
        <f>""</f>
        <v/>
      </c>
      <c r="AC678" t="str">
        <f>""</f>
        <v/>
      </c>
      <c r="AD678" t="str">
        <f>""</f>
        <v/>
      </c>
      <c r="AE678">
        <v>2020</v>
      </c>
      <c r="AF678">
        <v>2022</v>
      </c>
      <c r="AG678" t="str">
        <f>"Rennes"</f>
        <v>Rennes</v>
      </c>
      <c r="AH678" t="str">
        <f>"Rennes"</f>
        <v>Rennes</v>
      </c>
      <c r="AI678" t="str">
        <f>""</f>
        <v/>
      </c>
      <c r="AJ678" t="str">
        <f>""</f>
        <v/>
      </c>
      <c r="AK678" t="str">
        <f>""</f>
        <v/>
      </c>
      <c r="AL678">
        <v>23</v>
      </c>
      <c r="AM678" t="str">
        <f>""</f>
        <v/>
      </c>
      <c r="AN678" t="str">
        <f>""</f>
        <v/>
      </c>
      <c r="AO678" t="str">
        <f>"Marcelin Berthelot"</f>
        <v>Marcelin Berthelot</v>
      </c>
      <c r="AP678" t="str">
        <f>"SAINT MAUR DES FOSSÉS"</f>
        <v>SAINT MAUR DES FOSSÉS</v>
      </c>
      <c r="AQ678" t="str">
        <f>"Créteil"</f>
        <v>Créteil</v>
      </c>
    </row>
    <row r="679" spans="1:43" x14ac:dyDescent="0.25">
      <c r="A679" t="str">
        <f t="shared" si="131"/>
        <v>3A,Master MSP,T00000,3A Att</v>
      </c>
      <c r="B679" t="str">
        <f>"LAURENT"</f>
        <v>LAURENT</v>
      </c>
      <c r="C679" t="str">
        <f>"Titouan"</f>
        <v>Titouan</v>
      </c>
      <c r="D679" t="str">
        <f>"022-2331"</f>
        <v>022-2331</v>
      </c>
      <c r="E679" t="str">
        <f>"101117679GJ"</f>
        <v>101117679GJ</v>
      </c>
      <c r="F679" t="str">
        <f t="shared" si="126"/>
        <v>0352480F</v>
      </c>
      <c r="G679" t="str">
        <f t="shared" si="127"/>
        <v>O</v>
      </c>
      <c r="H679">
        <v>10</v>
      </c>
      <c r="I679">
        <v>2002</v>
      </c>
      <c r="J679">
        <v>1</v>
      </c>
      <c r="K679" t="str">
        <f t="shared" si="134"/>
        <v>S</v>
      </c>
      <c r="L679">
        <v>14</v>
      </c>
      <c r="M679">
        <v>2020</v>
      </c>
      <c r="N679" t="str">
        <f t="shared" si="133"/>
        <v>E</v>
      </c>
      <c r="O679" t="str">
        <f>"A"</f>
        <v>A</v>
      </c>
      <c r="P679">
        <v>0</v>
      </c>
      <c r="Q679">
        <v>100</v>
      </c>
      <c r="R679">
        <v>100</v>
      </c>
      <c r="S679">
        <v>35000</v>
      </c>
      <c r="T679">
        <v>100</v>
      </c>
      <c r="U679">
        <v>35000</v>
      </c>
      <c r="V679" t="str">
        <f>""</f>
        <v/>
      </c>
      <c r="W679">
        <v>47</v>
      </c>
      <c r="X679">
        <v>0</v>
      </c>
      <c r="Y679">
        <v>6000577</v>
      </c>
      <c r="Z679">
        <v>2</v>
      </c>
      <c r="AA679">
        <v>27</v>
      </c>
      <c r="AB679" t="str">
        <f>""</f>
        <v/>
      </c>
      <c r="AC679" t="str">
        <f>""</f>
        <v/>
      </c>
      <c r="AD679" t="str">
        <f>""</f>
        <v/>
      </c>
      <c r="AE679">
        <v>2020</v>
      </c>
      <c r="AF679">
        <v>2022</v>
      </c>
      <c r="AG679" t="str">
        <f>"Rennes"</f>
        <v>Rennes</v>
      </c>
      <c r="AH679" t="str">
        <f>"Rennes"</f>
        <v>Rennes</v>
      </c>
      <c r="AI679" t="str">
        <f>""</f>
        <v/>
      </c>
      <c r="AJ679" t="str">
        <f>""</f>
        <v/>
      </c>
      <c r="AK679" t="str">
        <f>""</f>
        <v/>
      </c>
      <c r="AL679">
        <v>55</v>
      </c>
      <c r="AM679" t="str">
        <f>""</f>
        <v/>
      </c>
      <c r="AN679" t="str">
        <f>""</f>
        <v/>
      </c>
      <c r="AO679" t="str">
        <f>"Lycée Colbert"</f>
        <v>Lycée Colbert</v>
      </c>
      <c r="AP679" t="str">
        <f>"LORIENT"</f>
        <v>LORIENT</v>
      </c>
      <c r="AQ679" t="str">
        <f>"Rennes"</f>
        <v>Rennes</v>
      </c>
    </row>
    <row r="680" spans="1:43" x14ac:dyDescent="0.25">
      <c r="A680" t="str">
        <f t="shared" si="131"/>
        <v>3A,Master MSP,T00000,3A Att</v>
      </c>
      <c r="B680" t="str">
        <f>"MARTINEZ"</f>
        <v>MARTINEZ</v>
      </c>
      <c r="C680" t="str">
        <f>"Diégo"</f>
        <v>Diégo</v>
      </c>
      <c r="D680" t="str">
        <f>"021-1975"</f>
        <v>021-1975</v>
      </c>
      <c r="E680" t="str">
        <f>"081359691CK"</f>
        <v>081359691CK</v>
      </c>
      <c r="F680" t="str">
        <f t="shared" si="126"/>
        <v>0352480F</v>
      </c>
      <c r="G680" t="str">
        <f t="shared" si="127"/>
        <v>O</v>
      </c>
      <c r="H680">
        <v>10</v>
      </c>
      <c r="I680">
        <v>2000</v>
      </c>
      <c r="J680">
        <v>1</v>
      </c>
      <c r="K680" t="str">
        <f t="shared" si="134"/>
        <v>S</v>
      </c>
      <c r="L680">
        <v>23</v>
      </c>
      <c r="M680">
        <v>2018</v>
      </c>
      <c r="N680" t="str">
        <f t="shared" si="133"/>
        <v>E</v>
      </c>
      <c r="O680" t="str">
        <f>"D"</f>
        <v>D</v>
      </c>
      <c r="P680">
        <v>0</v>
      </c>
      <c r="Q680">
        <v>100</v>
      </c>
      <c r="R680">
        <v>100</v>
      </c>
      <c r="S680">
        <v>35230</v>
      </c>
      <c r="T680">
        <v>100</v>
      </c>
      <c r="U680">
        <v>35230</v>
      </c>
      <c r="V680" t="str">
        <f>""</f>
        <v/>
      </c>
      <c r="W680">
        <v>33</v>
      </c>
      <c r="X680">
        <v>0</v>
      </c>
      <c r="Y680">
        <v>6000577</v>
      </c>
      <c r="Z680">
        <v>2</v>
      </c>
      <c r="AA680">
        <v>27</v>
      </c>
      <c r="AB680" t="str">
        <f>""</f>
        <v/>
      </c>
      <c r="AC680" t="str">
        <f>""</f>
        <v/>
      </c>
      <c r="AD680" t="str">
        <f>""</f>
        <v/>
      </c>
      <c r="AE680">
        <v>2018</v>
      </c>
      <c r="AF680">
        <v>2021</v>
      </c>
      <c r="AG680" t="str">
        <f>"Noyal-Chatillon"</f>
        <v>Noyal-Chatillon</v>
      </c>
      <c r="AH680" t="str">
        <f>"Noyal-Chatillon"</f>
        <v>Noyal-Chatillon</v>
      </c>
      <c r="AI680" t="str">
        <f>""</f>
        <v/>
      </c>
      <c r="AJ680" t="str">
        <f>""</f>
        <v/>
      </c>
      <c r="AK680" t="str">
        <f>""</f>
        <v/>
      </c>
      <c r="AL680">
        <v>52</v>
      </c>
      <c r="AM680" t="str">
        <f>""</f>
        <v/>
      </c>
      <c r="AN680" t="str">
        <f>""</f>
        <v/>
      </c>
      <c r="AO680" t="str">
        <f>"Dumont d'Urville"</f>
        <v>Dumont d'Urville</v>
      </c>
      <c r="AP680" t="str">
        <f>"TOULON"</f>
        <v>TOULON</v>
      </c>
      <c r="AQ680" t="str">
        <f>"Nice"</f>
        <v>Nice</v>
      </c>
    </row>
    <row r="681" spans="1:43" x14ac:dyDescent="0.25">
      <c r="A681" t="str">
        <f t="shared" si="131"/>
        <v>3A,Master MSP,T00000,3A Att</v>
      </c>
      <c r="B681" t="str">
        <f>"MERGEM"</f>
        <v>MERGEM</v>
      </c>
      <c r="C681" t="str">
        <f>"Thomas"</f>
        <v>Thomas</v>
      </c>
      <c r="D681" t="str">
        <f>"022-2336"</f>
        <v>022-2336</v>
      </c>
      <c r="E681" t="str">
        <f>"050152323HC"</f>
        <v>050152323HC</v>
      </c>
      <c r="F681" t="str">
        <f t="shared" si="126"/>
        <v>0352480F</v>
      </c>
      <c r="G681" t="str">
        <f t="shared" si="127"/>
        <v>O</v>
      </c>
      <c r="H681">
        <v>10</v>
      </c>
      <c r="I681">
        <v>2002</v>
      </c>
      <c r="J681">
        <v>1</v>
      </c>
      <c r="K681" t="str">
        <f t="shared" si="134"/>
        <v>S</v>
      </c>
      <c r="L681">
        <v>19</v>
      </c>
      <c r="M681">
        <v>2020</v>
      </c>
      <c r="N681" t="str">
        <f t="shared" si="133"/>
        <v>E</v>
      </c>
      <c r="O681" t="str">
        <f>"Z"</f>
        <v>Z</v>
      </c>
      <c r="P681">
        <v>0</v>
      </c>
      <c r="Q681">
        <v>100</v>
      </c>
      <c r="R681">
        <v>100</v>
      </c>
      <c r="S681">
        <v>35650</v>
      </c>
      <c r="T681">
        <v>100</v>
      </c>
      <c r="U681">
        <v>35650</v>
      </c>
      <c r="V681" t="str">
        <f>"TOEIC passé à l'ENSAI le 22/05/2023 : score 850"</f>
        <v>TOEIC passé à l'ENSAI le 22/05/2023 : score 850</v>
      </c>
      <c r="W681">
        <v>0</v>
      </c>
      <c r="X681">
        <v>0</v>
      </c>
      <c r="Y681">
        <v>6000577</v>
      </c>
      <c r="Z681">
        <v>2</v>
      </c>
      <c r="AA681">
        <v>27</v>
      </c>
      <c r="AB681" t="str">
        <f>""</f>
        <v/>
      </c>
      <c r="AC681" t="str">
        <f>""</f>
        <v/>
      </c>
      <c r="AD681" t="str">
        <f>""</f>
        <v/>
      </c>
      <c r="AE681">
        <v>2020</v>
      </c>
      <c r="AF681">
        <v>2022</v>
      </c>
      <c r="AG681" t="str">
        <f>"Le Rheu"</f>
        <v>Le Rheu</v>
      </c>
      <c r="AH681" t="str">
        <f>"Le Rheu"</f>
        <v>Le Rheu</v>
      </c>
      <c r="AI681" t="str">
        <f>""</f>
        <v/>
      </c>
      <c r="AJ681" t="str">
        <f>""</f>
        <v/>
      </c>
      <c r="AK681" t="str">
        <f>""</f>
        <v/>
      </c>
      <c r="AL681">
        <v>0</v>
      </c>
      <c r="AM681" t="str">
        <f>""</f>
        <v/>
      </c>
      <c r="AN681" t="str">
        <f>""</f>
        <v/>
      </c>
      <c r="AO681" t="str">
        <f>"Stephane Hessel"</f>
        <v>Stephane Hessel</v>
      </c>
      <c r="AP681" t="str">
        <f>"EPERNAY"</f>
        <v>EPERNAY</v>
      </c>
      <c r="AQ681" t="str">
        <f>"Reims"</f>
        <v>Reims</v>
      </c>
    </row>
    <row r="682" spans="1:43" x14ac:dyDescent="0.25">
      <c r="A682" t="str">
        <f t="shared" si="131"/>
        <v>3A,Master MSP,T00000,3A Att</v>
      </c>
      <c r="B682" t="str">
        <f>"MESSABEL"</f>
        <v>MESSABEL</v>
      </c>
      <c r="C682" t="str">
        <f>"Ilyass"</f>
        <v>Ilyass</v>
      </c>
      <c r="D682" t="str">
        <f>"019-1570"</f>
        <v>019-1570</v>
      </c>
      <c r="E682" t="str">
        <f>"2513087099M"</f>
        <v>2513087099M</v>
      </c>
      <c r="F682" t="str">
        <f t="shared" si="126"/>
        <v>0352480F</v>
      </c>
      <c r="G682" t="str">
        <f t="shared" si="127"/>
        <v>O</v>
      </c>
      <c r="H682">
        <v>10</v>
      </c>
      <c r="I682">
        <v>1998</v>
      </c>
      <c r="J682">
        <v>1</v>
      </c>
      <c r="K682" t="str">
        <f t="shared" si="134"/>
        <v>S</v>
      </c>
      <c r="L682">
        <v>24</v>
      </c>
      <c r="M682">
        <v>2017</v>
      </c>
      <c r="N682" t="str">
        <f t="shared" si="133"/>
        <v>E</v>
      </c>
      <c r="O682" t="str">
        <f>"D"</f>
        <v>D</v>
      </c>
      <c r="P682">
        <v>0</v>
      </c>
      <c r="Q682">
        <v>127</v>
      </c>
      <c r="R682">
        <v>100</v>
      </c>
      <c r="S682">
        <v>77240</v>
      </c>
      <c r="T682">
        <v>100</v>
      </c>
      <c r="U682">
        <v>77240</v>
      </c>
      <c r="V682" t="str">
        <f>""</f>
        <v/>
      </c>
      <c r="W682">
        <v>43</v>
      </c>
      <c r="X682">
        <v>0</v>
      </c>
      <c r="Y682">
        <v>6000577</v>
      </c>
      <c r="Z682">
        <v>2</v>
      </c>
      <c r="AA682">
        <v>27</v>
      </c>
      <c r="AB682" t="str">
        <f>""</f>
        <v/>
      </c>
      <c r="AC682" t="str">
        <f>""</f>
        <v/>
      </c>
      <c r="AD682" t="str">
        <f>""</f>
        <v/>
      </c>
      <c r="AE682">
        <v>2017</v>
      </c>
      <c r="AF682">
        <v>2019</v>
      </c>
      <c r="AG682" t="str">
        <f>"Vert-Saint-Denis"</f>
        <v>Vert-Saint-Denis</v>
      </c>
      <c r="AH682" t="str">
        <f>"Vert-Saint-Denis"</f>
        <v>Vert-Saint-Denis</v>
      </c>
      <c r="AI682" t="str">
        <f>""</f>
        <v/>
      </c>
      <c r="AJ682" t="str">
        <f>""</f>
        <v/>
      </c>
      <c r="AK682" t="str">
        <f>""</f>
        <v/>
      </c>
      <c r="AL682">
        <v>0</v>
      </c>
      <c r="AM682" t="str">
        <f>""</f>
        <v/>
      </c>
      <c r="AN682" t="str">
        <f>""</f>
        <v/>
      </c>
      <c r="AO682" t="str">
        <f>"Sonia Delaunay"</f>
        <v>Sonia Delaunay</v>
      </c>
      <c r="AP682" t="str">
        <f>"CESSON"</f>
        <v>CESSON</v>
      </c>
      <c r="AQ682" t="str">
        <f>"Créteil"</f>
        <v>Créteil</v>
      </c>
    </row>
    <row r="683" spans="1:43" x14ac:dyDescent="0.25">
      <c r="A683" t="str">
        <f t="shared" si="131"/>
        <v>3A,Master MSP,T00000,3A Att</v>
      </c>
      <c r="B683" t="str">
        <f>"MOREAU"</f>
        <v>MOREAU</v>
      </c>
      <c r="C683" t="str">
        <f>"Téo"</f>
        <v>Téo</v>
      </c>
      <c r="D683" t="str">
        <f>"018-1381"</f>
        <v>018-1381</v>
      </c>
      <c r="E683" t="str">
        <f>"0708015543M"</f>
        <v>0708015543M</v>
      </c>
      <c r="F683" t="str">
        <f t="shared" si="126"/>
        <v>0352480F</v>
      </c>
      <c r="G683" t="str">
        <f t="shared" si="127"/>
        <v>O</v>
      </c>
      <c r="H683">
        <v>10</v>
      </c>
      <c r="I683">
        <v>1998</v>
      </c>
      <c r="J683">
        <v>1</v>
      </c>
      <c r="K683" t="str">
        <f t="shared" si="134"/>
        <v>S</v>
      </c>
      <c r="L683">
        <v>7</v>
      </c>
      <c r="M683">
        <v>2015</v>
      </c>
      <c r="N683" t="str">
        <f t="shared" si="133"/>
        <v>E</v>
      </c>
      <c r="O683" t="str">
        <f>"A"</f>
        <v>A</v>
      </c>
      <c r="P683">
        <v>0</v>
      </c>
      <c r="Q683">
        <v>100</v>
      </c>
      <c r="R683">
        <v>100</v>
      </c>
      <c r="S683">
        <v>92120</v>
      </c>
      <c r="T683">
        <v>100</v>
      </c>
      <c r="U683">
        <v>92120</v>
      </c>
      <c r="V683" t="str">
        <f>""</f>
        <v/>
      </c>
      <c r="W683">
        <v>0</v>
      </c>
      <c r="X683">
        <v>0</v>
      </c>
      <c r="Y683">
        <v>6000577</v>
      </c>
      <c r="Z683">
        <v>2</v>
      </c>
      <c r="AA683">
        <v>27</v>
      </c>
      <c r="AB683" t="str">
        <f>""</f>
        <v/>
      </c>
      <c r="AC683" t="str">
        <f>""</f>
        <v/>
      </c>
      <c r="AD683" t="str">
        <f>""</f>
        <v/>
      </c>
      <c r="AE683">
        <v>2015</v>
      </c>
      <c r="AF683">
        <v>2018</v>
      </c>
      <c r="AG683" t="str">
        <f>"MONTROUGE"</f>
        <v>MONTROUGE</v>
      </c>
      <c r="AH683" t="str">
        <f>"MONTROUGE"</f>
        <v>MONTROUGE</v>
      </c>
      <c r="AI683" t="str">
        <f>""</f>
        <v/>
      </c>
      <c r="AJ683" t="str">
        <f>""</f>
        <v/>
      </c>
      <c r="AK683" t="str">
        <f>""</f>
        <v/>
      </c>
      <c r="AL683">
        <v>0</v>
      </c>
      <c r="AM683" t="str">
        <f>""</f>
        <v/>
      </c>
      <c r="AN683" t="str">
        <f>""</f>
        <v/>
      </c>
      <c r="AO683" t="str">
        <f>"Anna Judic"</f>
        <v>Anna Judic</v>
      </c>
      <c r="AP683" t="str">
        <f>"SEMUR EN AUXOIS"</f>
        <v>SEMUR EN AUXOIS</v>
      </c>
      <c r="AQ683" t="str">
        <f>"Dijon"</f>
        <v>Dijon</v>
      </c>
    </row>
    <row r="684" spans="1:43" x14ac:dyDescent="0.25">
      <c r="A684" t="str">
        <f t="shared" si="131"/>
        <v>3A,Master MSP,T00000,3A Att</v>
      </c>
      <c r="B684" t="str">
        <f>"MOUFIDI"</f>
        <v>MOUFIDI</v>
      </c>
      <c r="C684" t="str">
        <f>"Jean"</f>
        <v>Jean</v>
      </c>
      <c r="D684" t="str">
        <f>"019-1571"</f>
        <v>019-1571</v>
      </c>
      <c r="E684" t="str">
        <f>"07JZ4U000W2"</f>
        <v>07JZ4U000W2</v>
      </c>
      <c r="F684" t="str">
        <f t="shared" si="126"/>
        <v>0352480F</v>
      </c>
      <c r="G684" t="str">
        <f t="shared" si="127"/>
        <v>O</v>
      </c>
      <c r="H684">
        <v>10</v>
      </c>
      <c r="I684">
        <v>1987</v>
      </c>
      <c r="J684">
        <v>1</v>
      </c>
      <c r="K684">
        <v>31</v>
      </c>
      <c r="L684">
        <v>0</v>
      </c>
      <c r="M684">
        <v>2006</v>
      </c>
      <c r="N684" t="str">
        <f t="shared" si="133"/>
        <v>E</v>
      </c>
      <c r="O684" t="str">
        <f>"E"</f>
        <v>E</v>
      </c>
      <c r="P684">
        <v>0</v>
      </c>
      <c r="Q684">
        <v>100</v>
      </c>
      <c r="R684">
        <v>100</v>
      </c>
      <c r="S684" t="str">
        <f>"7090"</f>
        <v>7090</v>
      </c>
      <c r="T684">
        <v>100</v>
      </c>
      <c r="U684" t="str">
        <f>"7090"</f>
        <v>7090</v>
      </c>
      <c r="V684" t="str">
        <f>"TOEIC à l'ENSAI octobre 2020"</f>
        <v>TOEIC à l'ENSAI octobre 2020</v>
      </c>
      <c r="W684">
        <v>99</v>
      </c>
      <c r="X684">
        <v>0</v>
      </c>
      <c r="Y684">
        <v>6000577</v>
      </c>
      <c r="Z684">
        <v>2</v>
      </c>
      <c r="AA684">
        <v>27</v>
      </c>
      <c r="AB684" t="str">
        <f>""</f>
        <v/>
      </c>
      <c r="AC684" t="str">
        <f>""</f>
        <v/>
      </c>
      <c r="AD684" t="str">
        <f>""</f>
        <v/>
      </c>
      <c r="AE684">
        <v>2008</v>
      </c>
      <c r="AF684">
        <v>2019</v>
      </c>
      <c r="AG684" t="str">
        <f>"raine-le-Comte, Belgique"</f>
        <v>raine-le-Comte, Belgique</v>
      </c>
      <c r="AH684" t="str">
        <f>"raine-le-Comte, Belgique"</f>
        <v>raine-le-Comte, Belgique</v>
      </c>
      <c r="AI684" t="str">
        <f>""</f>
        <v/>
      </c>
      <c r="AJ684" t="str">
        <f>""</f>
        <v/>
      </c>
      <c r="AK684" t="str">
        <f>""</f>
        <v/>
      </c>
      <c r="AL684">
        <v>99</v>
      </c>
      <c r="AM684" t="str">
        <f>""</f>
        <v/>
      </c>
      <c r="AN684" t="str">
        <f>""</f>
        <v/>
      </c>
      <c r="AO684" t="str">
        <f>""</f>
        <v/>
      </c>
      <c r="AP684" t="str">
        <f>""</f>
        <v/>
      </c>
      <c r="AQ684" t="str">
        <f>"Etranger"</f>
        <v>Etranger</v>
      </c>
    </row>
    <row r="685" spans="1:43" x14ac:dyDescent="0.25">
      <c r="A685" t="str">
        <f t="shared" si="131"/>
        <v>3A,Master MSP,T00000,3A Att</v>
      </c>
      <c r="B685" t="str">
        <f>"OBER"</f>
        <v>OBER</v>
      </c>
      <c r="C685" t="str">
        <f>"Rémi"</f>
        <v>Rémi</v>
      </c>
      <c r="D685" t="str">
        <f>"022-2235"</f>
        <v>022-2235</v>
      </c>
      <c r="E685" t="str">
        <f>"081502845EH"</f>
        <v>081502845EH</v>
      </c>
      <c r="F685" t="str">
        <f t="shared" si="126"/>
        <v>0352480F</v>
      </c>
      <c r="G685" t="str">
        <f t="shared" si="127"/>
        <v>O</v>
      </c>
      <c r="H685">
        <v>10</v>
      </c>
      <c r="I685">
        <v>2002</v>
      </c>
      <c r="J685">
        <v>1</v>
      </c>
      <c r="K685" t="str">
        <f>"S"</f>
        <v>S</v>
      </c>
      <c r="L685">
        <v>2</v>
      </c>
      <c r="M685">
        <v>2020</v>
      </c>
      <c r="N685" t="str">
        <f t="shared" si="133"/>
        <v>E</v>
      </c>
      <c r="O685" t="str">
        <f>"D"</f>
        <v>D</v>
      </c>
      <c r="P685">
        <v>0</v>
      </c>
      <c r="Q685">
        <v>100</v>
      </c>
      <c r="R685">
        <v>100</v>
      </c>
      <c r="S685">
        <v>35170</v>
      </c>
      <c r="T685">
        <v>100</v>
      </c>
      <c r="U685">
        <v>35170</v>
      </c>
      <c r="V685" t="str">
        <f>"TOEIC 2A - 11/04/2024 : 940"</f>
        <v>TOEIC 2A - 11/04/2024 : 940</v>
      </c>
      <c r="W685">
        <v>45</v>
      </c>
      <c r="X685">
        <v>0</v>
      </c>
      <c r="Y685">
        <v>6000577</v>
      </c>
      <c r="Z685">
        <v>2</v>
      </c>
      <c r="AA685">
        <v>27</v>
      </c>
      <c r="AB685" t="str">
        <f>""</f>
        <v/>
      </c>
      <c r="AC685" t="str">
        <f>""</f>
        <v/>
      </c>
      <c r="AD685" t="str">
        <f>""</f>
        <v/>
      </c>
      <c r="AE685">
        <v>2020</v>
      </c>
      <c r="AF685">
        <v>2022</v>
      </c>
      <c r="AG685" t="str">
        <f>"Bruz"</f>
        <v>Bruz</v>
      </c>
      <c r="AH685" t="str">
        <f>"Bruz"</f>
        <v>Bruz</v>
      </c>
      <c r="AI685" t="str">
        <f>""</f>
        <v/>
      </c>
      <c r="AJ685" t="str">
        <f>""</f>
        <v/>
      </c>
      <c r="AK685" t="str">
        <f>""</f>
        <v/>
      </c>
      <c r="AL685">
        <v>37</v>
      </c>
      <c r="AM685" t="str">
        <f>""</f>
        <v/>
      </c>
      <c r="AN685" t="str">
        <f>""</f>
        <v/>
      </c>
      <c r="AO685" t="str">
        <f>"Pierre Mendès France"</f>
        <v>Pierre Mendès France</v>
      </c>
      <c r="AP685" t="str">
        <f>"VITROLLES"</f>
        <v>VITROLLES</v>
      </c>
      <c r="AQ685" t="str">
        <f>"Aix-Marseille"</f>
        <v>Aix-Marseille</v>
      </c>
    </row>
    <row r="686" spans="1:43" x14ac:dyDescent="0.25">
      <c r="A686" t="str">
        <f t="shared" si="131"/>
        <v>3A,Master MSP,T00000,3A Att</v>
      </c>
      <c r="B686" t="str">
        <f>"POMEL"</f>
        <v>POMEL</v>
      </c>
      <c r="C686" t="str">
        <f>"Wistan"</f>
        <v>Wistan</v>
      </c>
      <c r="D686" t="str">
        <f>"022-2234"</f>
        <v>022-2234</v>
      </c>
      <c r="E686" t="str">
        <f>"070618278FA"</f>
        <v>070618278FA</v>
      </c>
      <c r="F686" t="str">
        <f t="shared" si="126"/>
        <v>0352480F</v>
      </c>
      <c r="G686" t="str">
        <f t="shared" si="127"/>
        <v>O</v>
      </c>
      <c r="H686">
        <v>10</v>
      </c>
      <c r="I686">
        <v>2002</v>
      </c>
      <c r="J686">
        <v>1</v>
      </c>
      <c r="K686" t="str">
        <f>"S"</f>
        <v>S</v>
      </c>
      <c r="L686">
        <v>25</v>
      </c>
      <c r="M686">
        <v>2020</v>
      </c>
      <c r="N686" t="str">
        <f t="shared" si="133"/>
        <v>E</v>
      </c>
      <c r="O686" t="str">
        <f>"D"</f>
        <v>D</v>
      </c>
      <c r="P686">
        <v>0</v>
      </c>
      <c r="Q686">
        <v>100</v>
      </c>
      <c r="R686">
        <v>100</v>
      </c>
      <c r="S686">
        <v>35700</v>
      </c>
      <c r="T686">
        <v>100</v>
      </c>
      <c r="U686">
        <v>35700</v>
      </c>
      <c r="V686" t="str">
        <f>""</f>
        <v/>
      </c>
      <c r="W686">
        <v>47</v>
      </c>
      <c r="X686">
        <v>0</v>
      </c>
      <c r="Y686">
        <v>6000577</v>
      </c>
      <c r="Z686">
        <v>2</v>
      </c>
      <c r="AA686">
        <v>27</v>
      </c>
      <c r="AB686" t="str">
        <f>""</f>
        <v/>
      </c>
      <c r="AC686" t="str">
        <f>""</f>
        <v/>
      </c>
      <c r="AD686" t="str">
        <f>""</f>
        <v/>
      </c>
      <c r="AE686">
        <v>2020</v>
      </c>
      <c r="AF686">
        <v>2022</v>
      </c>
      <c r="AG686" t="str">
        <f>"Rennes"</f>
        <v>Rennes</v>
      </c>
      <c r="AH686" t="str">
        <f>"Rennes"</f>
        <v>Rennes</v>
      </c>
      <c r="AI686" t="str">
        <f>""</f>
        <v/>
      </c>
      <c r="AJ686" t="str">
        <f>""</f>
        <v/>
      </c>
      <c r="AK686" t="str">
        <f>""</f>
        <v/>
      </c>
      <c r="AL686">
        <v>47</v>
      </c>
      <c r="AM686" t="str">
        <f>""</f>
        <v/>
      </c>
      <c r="AN686" t="str">
        <f>""</f>
        <v/>
      </c>
      <c r="AO686" t="str">
        <f>"Lycée Jules Ferry"</f>
        <v>Lycée Jules Ferry</v>
      </c>
      <c r="AP686" t="str">
        <f>"VERSAILLES"</f>
        <v>VERSAILLES</v>
      </c>
      <c r="AQ686" t="str">
        <f>"Versailles"</f>
        <v>Versailles</v>
      </c>
    </row>
    <row r="687" spans="1:43" x14ac:dyDescent="0.25">
      <c r="A687" t="str">
        <f t="shared" si="131"/>
        <v>3A,Master MSP,T00000,3A Att</v>
      </c>
      <c r="B687" t="str">
        <f>"RYO-LE ROUX"</f>
        <v>RYO-LE ROUX</v>
      </c>
      <c r="C687" t="str">
        <f>"Laouen"</f>
        <v>Laouen</v>
      </c>
      <c r="D687" t="str">
        <f>"022-2219"</f>
        <v>022-2219</v>
      </c>
      <c r="E687" t="str">
        <f>"060092983GK"</f>
        <v>060092983GK</v>
      </c>
      <c r="F687" t="str">
        <f t="shared" si="126"/>
        <v>0352480F</v>
      </c>
      <c r="G687" t="str">
        <f t="shared" si="127"/>
        <v>O</v>
      </c>
      <c r="H687">
        <v>10</v>
      </c>
      <c r="I687">
        <v>2002</v>
      </c>
      <c r="J687">
        <v>1</v>
      </c>
      <c r="K687" t="str">
        <f>"S"</f>
        <v>S</v>
      </c>
      <c r="L687">
        <v>17</v>
      </c>
      <c r="M687">
        <v>2020</v>
      </c>
      <c r="N687" t="str">
        <f t="shared" si="133"/>
        <v>E</v>
      </c>
      <c r="O687" t="str">
        <f>"D"</f>
        <v>D</v>
      </c>
      <c r="P687">
        <v>0</v>
      </c>
      <c r="Q687">
        <v>100</v>
      </c>
      <c r="R687">
        <v>100</v>
      </c>
      <c r="S687">
        <v>35170</v>
      </c>
      <c r="T687">
        <v>100</v>
      </c>
      <c r="U687">
        <v>35170</v>
      </c>
      <c r="V687" t="str">
        <f>"TOEIC 2A - 11/04/2024 : 720"</f>
        <v>TOEIC 2A - 11/04/2024 : 720</v>
      </c>
      <c r="W687">
        <v>34</v>
      </c>
      <c r="X687">
        <v>0</v>
      </c>
      <c r="Y687">
        <v>6000577</v>
      </c>
      <c r="Z687">
        <v>2</v>
      </c>
      <c r="AA687">
        <v>27</v>
      </c>
      <c r="AB687" t="str">
        <f>""</f>
        <v/>
      </c>
      <c r="AC687" t="str">
        <f>""</f>
        <v/>
      </c>
      <c r="AD687" t="str">
        <f>""</f>
        <v/>
      </c>
      <c r="AE687">
        <v>2020</v>
      </c>
      <c r="AF687">
        <v>2022</v>
      </c>
      <c r="AG687" t="str">
        <f>"BRUZ"</f>
        <v>BRUZ</v>
      </c>
      <c r="AH687" t="str">
        <f>"BRUZ"</f>
        <v>BRUZ</v>
      </c>
      <c r="AI687" t="str">
        <f>""</f>
        <v/>
      </c>
      <c r="AJ687" t="str">
        <f>""</f>
        <v/>
      </c>
      <c r="AK687" t="str">
        <f>""</f>
        <v/>
      </c>
      <c r="AL687">
        <v>34</v>
      </c>
      <c r="AM687" t="str">
        <f>""</f>
        <v/>
      </c>
      <c r="AN687" t="str">
        <f>""</f>
        <v/>
      </c>
      <c r="AO687" t="str">
        <f>"Lycée Eugène Livet"</f>
        <v>Lycée Eugène Livet</v>
      </c>
      <c r="AP687" t="str">
        <f>"NANTES"</f>
        <v>NANTES</v>
      </c>
      <c r="AQ687" t="str">
        <f>"Nantes"</f>
        <v>Nantes</v>
      </c>
    </row>
    <row r="688" spans="1:43" x14ac:dyDescent="0.25">
      <c r="A688" t="str">
        <f t="shared" si="131"/>
        <v>3A,Master MSP,T00000,3A Att</v>
      </c>
      <c r="B688" t="str">
        <f>"SAINT-DENIS"</f>
        <v>SAINT-DENIS</v>
      </c>
      <c r="C688" t="str">
        <f>"Axel"</f>
        <v>Axel</v>
      </c>
      <c r="D688" t="str">
        <f>"022-2238"</f>
        <v>022-2238</v>
      </c>
      <c r="E688" t="str">
        <f>"071937738JB"</f>
        <v>071937738JB</v>
      </c>
      <c r="F688" t="str">
        <f t="shared" si="126"/>
        <v>0352480F</v>
      </c>
      <c r="G688" t="str">
        <f t="shared" si="127"/>
        <v>O</v>
      </c>
      <c r="H688">
        <v>10</v>
      </c>
      <c r="I688">
        <v>2002</v>
      </c>
      <c r="J688">
        <v>1</v>
      </c>
      <c r="K688" t="str">
        <f>"S"</f>
        <v>S</v>
      </c>
      <c r="L688">
        <v>11</v>
      </c>
      <c r="M688">
        <v>2020</v>
      </c>
      <c r="N688" t="str">
        <f t="shared" si="133"/>
        <v>E</v>
      </c>
      <c r="O688" t="str">
        <f>"D"</f>
        <v>D</v>
      </c>
      <c r="P688">
        <v>0</v>
      </c>
      <c r="Q688">
        <v>100</v>
      </c>
      <c r="R688">
        <v>100</v>
      </c>
      <c r="S688">
        <v>35580</v>
      </c>
      <c r="T688">
        <v>100</v>
      </c>
      <c r="U688">
        <v>35580</v>
      </c>
      <c r="V688" t="str">
        <f>""</f>
        <v/>
      </c>
      <c r="W688">
        <v>48</v>
      </c>
      <c r="X688">
        <v>0</v>
      </c>
      <c r="Y688">
        <v>6000577</v>
      </c>
      <c r="Z688">
        <v>2</v>
      </c>
      <c r="AA688">
        <v>27</v>
      </c>
      <c r="AB688" t="str">
        <f>""</f>
        <v/>
      </c>
      <c r="AC688" t="str">
        <f>""</f>
        <v/>
      </c>
      <c r="AD688" t="str">
        <f>""</f>
        <v/>
      </c>
      <c r="AE688">
        <v>2020</v>
      </c>
      <c r="AF688">
        <v>2022</v>
      </c>
      <c r="AG688" t="str">
        <f>"GUICHEN"</f>
        <v>GUICHEN</v>
      </c>
      <c r="AH688" t="str">
        <f>"GUICHEN"</f>
        <v>GUICHEN</v>
      </c>
      <c r="AI688" t="str">
        <f>""</f>
        <v/>
      </c>
      <c r="AJ688" t="str">
        <f>""</f>
        <v/>
      </c>
      <c r="AK688" t="str">
        <f>""</f>
        <v/>
      </c>
      <c r="AL688">
        <v>55</v>
      </c>
      <c r="AM688" t="str">
        <f>""</f>
        <v/>
      </c>
      <c r="AN688" t="str">
        <f>""</f>
        <v/>
      </c>
      <c r="AO688" t="str">
        <f>"Lycée Germaine Tillion"</f>
        <v>Lycée Germaine Tillion</v>
      </c>
      <c r="AP688" t="str">
        <f>"CASTELNAUDARY"</f>
        <v>CASTELNAUDARY</v>
      </c>
      <c r="AQ688" t="str">
        <f>"Montpellier"</f>
        <v>Montpellier</v>
      </c>
    </row>
    <row r="689" spans="1:43" x14ac:dyDescent="0.25">
      <c r="A689" t="str">
        <f t="shared" si="131"/>
        <v>3A,Master MSP,T00000,3A Att</v>
      </c>
      <c r="B689" t="str">
        <f>"SAMYN"</f>
        <v>SAMYN</v>
      </c>
      <c r="C689" t="str">
        <f>"Sébastien"</f>
        <v>Sébastien</v>
      </c>
      <c r="D689" t="str">
        <f>"018-1230"</f>
        <v>018-1230</v>
      </c>
      <c r="E689" t="str">
        <f>"07JZ4T000M6"</f>
        <v>07JZ4T000M6</v>
      </c>
      <c r="F689" t="str">
        <f t="shared" si="126"/>
        <v>0352480F</v>
      </c>
      <c r="G689" t="str">
        <f t="shared" si="127"/>
        <v>O</v>
      </c>
      <c r="H689">
        <v>10</v>
      </c>
      <c r="I689">
        <v>1977</v>
      </c>
      <c r="J689">
        <v>1</v>
      </c>
      <c r="K689" t="str">
        <f>"C"</f>
        <v>C</v>
      </c>
      <c r="L689">
        <v>9</v>
      </c>
      <c r="M689">
        <v>1994</v>
      </c>
      <c r="N689" t="str">
        <f t="shared" si="133"/>
        <v>E</v>
      </c>
      <c r="O689" t="str">
        <f>"U"</f>
        <v>U</v>
      </c>
      <c r="P689">
        <v>0</v>
      </c>
      <c r="Q689">
        <v>100</v>
      </c>
      <c r="R689">
        <v>100</v>
      </c>
      <c r="S689">
        <v>59166</v>
      </c>
      <c r="T689">
        <v>100</v>
      </c>
      <c r="U689">
        <v>59166</v>
      </c>
      <c r="V689" t="str">
        <f>""</f>
        <v/>
      </c>
      <c r="W689">
        <v>43</v>
      </c>
      <c r="X689">
        <v>0</v>
      </c>
      <c r="Y689">
        <v>6000577</v>
      </c>
      <c r="Z689">
        <v>2</v>
      </c>
      <c r="AA689">
        <v>27</v>
      </c>
      <c r="AB689" t="str">
        <f>""</f>
        <v/>
      </c>
      <c r="AC689" t="str">
        <f>""</f>
        <v/>
      </c>
      <c r="AD689" t="str">
        <f>""</f>
        <v/>
      </c>
      <c r="AE689">
        <v>1995</v>
      </c>
      <c r="AF689">
        <v>2018</v>
      </c>
      <c r="AG689" t="str">
        <f>"Bousbecque"</f>
        <v>Bousbecque</v>
      </c>
      <c r="AH689" t="str">
        <f>"Bousbecque"</f>
        <v>Bousbecque</v>
      </c>
      <c r="AI689" t="str">
        <f>""</f>
        <v/>
      </c>
      <c r="AJ689" t="str">
        <f>""</f>
        <v/>
      </c>
      <c r="AK689" t="str">
        <f>""</f>
        <v/>
      </c>
      <c r="AL689">
        <v>42</v>
      </c>
      <c r="AM689" t="str">
        <f>""</f>
        <v/>
      </c>
      <c r="AN689" t="str">
        <f>""</f>
        <v/>
      </c>
      <c r="AO689" t="str">
        <f>"JEAN XXIII (devenu Saint-Rémy)"</f>
        <v>JEAN XXIII (devenu Saint-Rémy)</v>
      </c>
      <c r="AP689" t="str">
        <f>"ROUBAIX"</f>
        <v>ROUBAIX</v>
      </c>
      <c r="AQ689" t="str">
        <f>"Lille"</f>
        <v>Lille</v>
      </c>
    </row>
    <row r="690" spans="1:43" x14ac:dyDescent="0.25">
      <c r="A690" t="str">
        <f t="shared" si="131"/>
        <v>3A,Master MSP,T00000,3A Att</v>
      </c>
      <c r="B690" t="str">
        <f>"SOULIE"</f>
        <v>SOULIE</v>
      </c>
      <c r="C690" t="str">
        <f>"Thomas"</f>
        <v>Thomas</v>
      </c>
      <c r="D690" t="str">
        <f>"021-1976"</f>
        <v>021-1976</v>
      </c>
      <c r="E690" t="str">
        <f>"153343626JF"</f>
        <v>153343626JF</v>
      </c>
      <c r="F690" t="str">
        <f t="shared" si="126"/>
        <v>0352480F</v>
      </c>
      <c r="G690" t="str">
        <f t="shared" si="127"/>
        <v>O</v>
      </c>
      <c r="H690">
        <v>10</v>
      </c>
      <c r="I690">
        <v>2000</v>
      </c>
      <c r="J690">
        <v>1</v>
      </c>
      <c r="K690" t="str">
        <f>"S"</f>
        <v>S</v>
      </c>
      <c r="L690">
        <v>11</v>
      </c>
      <c r="M690">
        <v>2018</v>
      </c>
      <c r="N690" t="str">
        <f t="shared" si="133"/>
        <v>E</v>
      </c>
      <c r="O690" t="str">
        <f>"D"</f>
        <v>D</v>
      </c>
      <c r="P690">
        <v>0</v>
      </c>
      <c r="Q690">
        <v>100</v>
      </c>
      <c r="R690">
        <v>100</v>
      </c>
      <c r="S690">
        <v>35170</v>
      </c>
      <c r="T690">
        <v>100</v>
      </c>
      <c r="U690">
        <v>35170</v>
      </c>
      <c r="V690" t="str">
        <f>"TOEIC 2A - 11/04/2024 : 920"</f>
        <v>TOEIC 2A - 11/04/2024 : 920</v>
      </c>
      <c r="W690">
        <v>37</v>
      </c>
      <c r="X690">
        <v>0</v>
      </c>
      <c r="Y690">
        <v>6000577</v>
      </c>
      <c r="Z690">
        <v>2</v>
      </c>
      <c r="AA690">
        <v>27</v>
      </c>
      <c r="AB690" t="str">
        <f>""</f>
        <v/>
      </c>
      <c r="AC690" t="str">
        <f>""</f>
        <v/>
      </c>
      <c r="AD690" t="str">
        <f>""</f>
        <v/>
      </c>
      <c r="AE690">
        <v>2018</v>
      </c>
      <c r="AF690">
        <v>2021</v>
      </c>
      <c r="AG690" t="str">
        <f>"Bruz"</f>
        <v>Bruz</v>
      </c>
      <c r="AH690" t="str">
        <f>"Bruz"</f>
        <v>Bruz</v>
      </c>
      <c r="AI690" t="str">
        <f>""</f>
        <v/>
      </c>
      <c r="AJ690" t="str">
        <f>""</f>
        <v/>
      </c>
      <c r="AK690" t="str">
        <f>""</f>
        <v/>
      </c>
      <c r="AL690">
        <v>34</v>
      </c>
      <c r="AM690" t="str">
        <f>""</f>
        <v/>
      </c>
      <c r="AN690" t="str">
        <f>""</f>
        <v/>
      </c>
      <c r="AO690" t="str">
        <f>"Lycée Paul Sabatier"</f>
        <v>Lycée Paul Sabatier</v>
      </c>
      <c r="AP690" t="str">
        <f>"CARCASSONNE"</f>
        <v>CARCASSONNE</v>
      </c>
      <c r="AQ690" t="str">
        <f>"Montpellier"</f>
        <v>Montpellier</v>
      </c>
    </row>
    <row r="691" spans="1:43" x14ac:dyDescent="0.25">
      <c r="A691" t="str">
        <f t="shared" si="131"/>
        <v>3A,Master MSP,T00000,3A Att</v>
      </c>
      <c r="B691" t="str">
        <f>"SZEMPRUCH"</f>
        <v>SZEMPRUCH</v>
      </c>
      <c r="C691" t="str">
        <f>"Dimitri"</f>
        <v>Dimitri</v>
      </c>
      <c r="D691" t="str">
        <f>"022-2232"</f>
        <v>022-2232</v>
      </c>
      <c r="E691" t="str">
        <f>"071056189KE"</f>
        <v>071056189KE</v>
      </c>
      <c r="F691" t="str">
        <f t="shared" si="126"/>
        <v>0352480F</v>
      </c>
      <c r="G691" t="str">
        <f t="shared" si="127"/>
        <v>O</v>
      </c>
      <c r="H691">
        <v>10</v>
      </c>
      <c r="I691">
        <v>2003</v>
      </c>
      <c r="J691">
        <v>1</v>
      </c>
      <c r="K691" t="str">
        <f>"S"</f>
        <v>S</v>
      </c>
      <c r="L691">
        <v>10</v>
      </c>
      <c r="M691">
        <v>2020</v>
      </c>
      <c r="N691" t="str">
        <f t="shared" si="133"/>
        <v>E</v>
      </c>
      <c r="O691" t="str">
        <f>"D"</f>
        <v>D</v>
      </c>
      <c r="P691">
        <v>0</v>
      </c>
      <c r="Q691">
        <v>100</v>
      </c>
      <c r="R691">
        <v>100</v>
      </c>
      <c r="S691">
        <v>35170</v>
      </c>
      <c r="T691">
        <v>100</v>
      </c>
      <c r="U691">
        <v>35170</v>
      </c>
      <c r="V691" t="str">
        <f>"TOEIC 2A à l'ENSAI 08-01-2024 : 920"</f>
        <v>TOEIC 2A à l'ENSAI 08-01-2024 : 920</v>
      </c>
      <c r="W691">
        <v>33</v>
      </c>
      <c r="X691">
        <v>0</v>
      </c>
      <c r="Y691">
        <v>6000577</v>
      </c>
      <c r="Z691">
        <v>2</v>
      </c>
      <c r="AA691">
        <v>27</v>
      </c>
      <c r="AB691" t="str">
        <f>""</f>
        <v/>
      </c>
      <c r="AC691" t="str">
        <f>""</f>
        <v/>
      </c>
      <c r="AD691" t="str">
        <f>""</f>
        <v/>
      </c>
      <c r="AE691">
        <v>2020</v>
      </c>
      <c r="AF691">
        <v>2022</v>
      </c>
      <c r="AG691" t="str">
        <f>"Bruz"</f>
        <v>Bruz</v>
      </c>
      <c r="AH691" t="str">
        <f>"Bruz"</f>
        <v>Bruz</v>
      </c>
      <c r="AI691" t="str">
        <f>""</f>
        <v/>
      </c>
      <c r="AJ691" t="str">
        <f>""</f>
        <v/>
      </c>
      <c r="AK691" t="str">
        <f>""</f>
        <v/>
      </c>
      <c r="AL691">
        <v>34</v>
      </c>
      <c r="AM691" t="str">
        <f>""</f>
        <v/>
      </c>
      <c r="AN691" t="str">
        <f>""</f>
        <v/>
      </c>
      <c r="AO691" t="str">
        <f>"Lycée Ella Fitzgerald"</f>
        <v>Lycée Ella Fitzgerald</v>
      </c>
      <c r="AP691" t="str">
        <f>"SAINT ROMAIN EN GALLE"</f>
        <v>SAINT ROMAIN EN GALLE</v>
      </c>
      <c r="AQ691" t="str">
        <f>"Lyon"</f>
        <v>Lyon</v>
      </c>
    </row>
    <row r="692" spans="1:43" x14ac:dyDescent="0.25">
      <c r="A692" t="str">
        <f t="shared" si="131"/>
        <v>3A,Master MSP,T00000,3A Att</v>
      </c>
      <c r="B692" t="str">
        <f>"TASSIN"</f>
        <v>TASSIN</v>
      </c>
      <c r="C692" t="str">
        <f>"Tangi"</f>
        <v>Tangi</v>
      </c>
      <c r="D692" t="str">
        <f>"021-1898"</f>
        <v>021-1898</v>
      </c>
      <c r="E692" t="str">
        <f>"1408023047J"</f>
        <v>1408023047J</v>
      </c>
      <c r="F692" t="str">
        <f t="shared" si="126"/>
        <v>0352480F</v>
      </c>
      <c r="G692" t="str">
        <f t="shared" si="127"/>
        <v>O</v>
      </c>
      <c r="H692">
        <v>10</v>
      </c>
      <c r="I692">
        <v>1997</v>
      </c>
      <c r="J692">
        <v>1</v>
      </c>
      <c r="K692" t="str">
        <f>"S"</f>
        <v>S</v>
      </c>
      <c r="L692">
        <v>14</v>
      </c>
      <c r="M692">
        <v>2016</v>
      </c>
      <c r="N692" t="str">
        <f t="shared" si="133"/>
        <v>E</v>
      </c>
      <c r="O692" t="str">
        <f>"D"</f>
        <v>D</v>
      </c>
      <c r="P692">
        <v>0</v>
      </c>
      <c r="Q692">
        <v>100</v>
      </c>
      <c r="R692">
        <v>100</v>
      </c>
      <c r="S692">
        <v>35700</v>
      </c>
      <c r="T692">
        <v>100</v>
      </c>
      <c r="U692">
        <v>35700</v>
      </c>
      <c r="V692" t="str">
        <f>"TOEIC passé à l'INSA-Rennes le 08/04/2022 : 985"</f>
        <v>TOEIC passé à l'INSA-Rennes le 08/04/2022 : 985</v>
      </c>
      <c r="W692">
        <v>37</v>
      </c>
      <c r="X692">
        <v>0</v>
      </c>
      <c r="Y692">
        <v>6000577</v>
      </c>
      <c r="Z692">
        <v>2</v>
      </c>
      <c r="AA692">
        <v>27</v>
      </c>
      <c r="AB692" t="str">
        <f>""</f>
        <v/>
      </c>
      <c r="AC692" t="str">
        <f>""</f>
        <v/>
      </c>
      <c r="AD692" t="str">
        <f>""</f>
        <v/>
      </c>
      <c r="AE692">
        <v>2016</v>
      </c>
      <c r="AF692">
        <v>2021</v>
      </c>
      <c r="AG692" t="str">
        <f>"Rennes"</f>
        <v>Rennes</v>
      </c>
      <c r="AH692" t="str">
        <f>"Rennes"</f>
        <v>Rennes</v>
      </c>
      <c r="AI692" t="str">
        <f>""</f>
        <v/>
      </c>
      <c r="AJ692" t="str">
        <f>""</f>
        <v/>
      </c>
      <c r="AK692" t="str">
        <f>""</f>
        <v/>
      </c>
      <c r="AL692">
        <v>46</v>
      </c>
      <c r="AM692" t="str">
        <f>""</f>
        <v/>
      </c>
      <c r="AN692" t="str">
        <f>""</f>
        <v/>
      </c>
      <c r="AO692" t="str">
        <f>"Charles de Gaulle"</f>
        <v>Charles de Gaulle</v>
      </c>
      <c r="AP692" t="str">
        <f>"VANNES"</f>
        <v>VANNES</v>
      </c>
      <c r="AQ692" t="str">
        <f>"Rennes"</f>
        <v>Rennes</v>
      </c>
    </row>
    <row r="693" spans="1:43" x14ac:dyDescent="0.25">
      <c r="A693" t="str">
        <f t="shared" si="131"/>
        <v>3A,Master MSP,T00000,3A Att</v>
      </c>
      <c r="B693" t="str">
        <f>"THOMAS"</f>
        <v>THOMAS</v>
      </c>
      <c r="C693" t="str">
        <f>"Anysia"</f>
        <v>Anysia</v>
      </c>
      <c r="D693" t="str">
        <f>"022-2225"</f>
        <v>022-2225</v>
      </c>
      <c r="E693" t="str">
        <f>"1212901480Z"</f>
        <v>1212901480Z</v>
      </c>
      <c r="F693" t="str">
        <f t="shared" si="126"/>
        <v>0352480F</v>
      </c>
      <c r="G693" t="str">
        <f t="shared" si="127"/>
        <v>O</v>
      </c>
      <c r="H693">
        <v>10</v>
      </c>
      <c r="I693">
        <v>1996</v>
      </c>
      <c r="J693">
        <v>2</v>
      </c>
      <c r="K693" t="str">
        <f>"L"</f>
        <v>L</v>
      </c>
      <c r="L693">
        <v>12</v>
      </c>
      <c r="M693">
        <v>2013</v>
      </c>
      <c r="N693" t="str">
        <f t="shared" si="133"/>
        <v>E</v>
      </c>
      <c r="O693" t="str">
        <f>"N"</f>
        <v>N</v>
      </c>
      <c r="P693">
        <v>0</v>
      </c>
      <c r="Q693">
        <v>100</v>
      </c>
      <c r="R693">
        <v>100</v>
      </c>
      <c r="S693">
        <v>35230</v>
      </c>
      <c r="T693">
        <v>100</v>
      </c>
      <c r="U693">
        <v>35230</v>
      </c>
      <c r="V693" t="str">
        <f>"TOEIC 2A - 11/04/2024 : 855"</f>
        <v>TOEIC 2A - 11/04/2024 : 855</v>
      </c>
      <c r="W693">
        <v>0</v>
      </c>
      <c r="X693">
        <v>0</v>
      </c>
      <c r="Y693">
        <v>6000577</v>
      </c>
      <c r="Z693">
        <v>2</v>
      </c>
      <c r="AA693">
        <v>27</v>
      </c>
      <c r="AB693" t="str">
        <f>""</f>
        <v/>
      </c>
      <c r="AC693" t="str">
        <f>""</f>
        <v/>
      </c>
      <c r="AD693" t="str">
        <f>""</f>
        <v/>
      </c>
      <c r="AE693">
        <v>2013</v>
      </c>
      <c r="AF693">
        <v>2022</v>
      </c>
      <c r="AG693" t="str">
        <f>"NOYAL CHATILLON SUR SEICHE"</f>
        <v>NOYAL CHATILLON SUR SEICHE</v>
      </c>
      <c r="AH693" t="str">
        <f>"NOYAL CHATILLON SUR SEICHE"</f>
        <v>NOYAL CHATILLON SUR SEICHE</v>
      </c>
      <c r="AI693" t="str">
        <f>""</f>
        <v/>
      </c>
      <c r="AJ693" t="str">
        <f>""</f>
        <v/>
      </c>
      <c r="AK693" t="str">
        <f>""</f>
        <v/>
      </c>
      <c r="AL693">
        <v>33</v>
      </c>
      <c r="AM693" t="str">
        <f>""</f>
        <v/>
      </c>
      <c r="AN693" t="str">
        <f>""</f>
        <v/>
      </c>
      <c r="AO693" t="str">
        <f>"Lycée Jules Ferry"</f>
        <v>Lycée Jules Ferry</v>
      </c>
      <c r="AP693" t="str">
        <f>"SAINT-DIÉ DES VOSGES"</f>
        <v>SAINT-DIÉ DES VOSGES</v>
      </c>
      <c r="AQ693" t="str">
        <f>"Nancy-Metz"</f>
        <v>Nancy-Metz</v>
      </c>
    </row>
    <row r="694" spans="1:43" x14ac:dyDescent="0.25">
      <c r="A694" t="str">
        <f t="shared" si="131"/>
        <v>3A,Master MSP,T00000,3A Att</v>
      </c>
      <c r="B694" t="str">
        <f>"WARNOD"</f>
        <v>WARNOD</v>
      </c>
      <c r="C694" t="str">
        <f>"Raymond"</f>
        <v>Raymond</v>
      </c>
      <c r="D694" t="str">
        <f>"022-7335"</f>
        <v>022-7335</v>
      </c>
      <c r="E694" t="str">
        <f>"0498047691L"</f>
        <v>0498047691L</v>
      </c>
      <c r="F694" t="str">
        <f t="shared" si="126"/>
        <v>0352480F</v>
      </c>
      <c r="G694" t="str">
        <f t="shared" si="127"/>
        <v>O</v>
      </c>
      <c r="H694">
        <v>10</v>
      </c>
      <c r="I694">
        <v>1980</v>
      </c>
      <c r="J694">
        <v>1</v>
      </c>
      <c r="K694" t="str">
        <f>"STG"</f>
        <v>STG</v>
      </c>
      <c r="L694">
        <v>4</v>
      </c>
      <c r="M694">
        <v>1999</v>
      </c>
      <c r="N694" t="str">
        <f t="shared" si="133"/>
        <v>E</v>
      </c>
      <c r="O694" t="str">
        <f>"U"</f>
        <v>U</v>
      </c>
      <c r="P694">
        <v>0</v>
      </c>
      <c r="Q694">
        <v>100</v>
      </c>
      <c r="R694">
        <v>100</v>
      </c>
      <c r="S694">
        <v>35000</v>
      </c>
      <c r="T694">
        <v>100</v>
      </c>
      <c r="U694">
        <v>35000</v>
      </c>
      <c r="V694" t="str">
        <f>""</f>
        <v/>
      </c>
      <c r="W694">
        <v>72</v>
      </c>
      <c r="X694">
        <v>0</v>
      </c>
      <c r="Y694">
        <v>6000577</v>
      </c>
      <c r="Z694">
        <v>2</v>
      </c>
      <c r="AA694">
        <v>27</v>
      </c>
      <c r="AB694" t="str">
        <f>""</f>
        <v/>
      </c>
      <c r="AC694" t="str">
        <f>""</f>
        <v/>
      </c>
      <c r="AD694" t="str">
        <f>""</f>
        <v/>
      </c>
      <c r="AE694">
        <v>1999</v>
      </c>
      <c r="AF694">
        <v>2022</v>
      </c>
      <c r="AG694" t="str">
        <f>"RENNES"</f>
        <v>RENNES</v>
      </c>
      <c r="AH694" t="str">
        <f>"RENNES"</f>
        <v>RENNES</v>
      </c>
      <c r="AI694" t="str">
        <f>""</f>
        <v/>
      </c>
      <c r="AJ694" t="str">
        <f>""</f>
        <v/>
      </c>
      <c r="AK694" t="str">
        <f>""</f>
        <v/>
      </c>
      <c r="AL694">
        <v>56</v>
      </c>
      <c r="AM694" t="str">
        <f>""</f>
        <v/>
      </c>
      <c r="AN694" t="str">
        <f>""</f>
        <v/>
      </c>
      <c r="AO694" t="str">
        <f>"Saint Caprais"</f>
        <v>Saint Caprais</v>
      </c>
      <c r="AP694" t="str">
        <f>"AGEN"</f>
        <v>AGEN</v>
      </c>
      <c r="AQ694" t="str">
        <f>"Bordeaux"</f>
        <v>Bordeaux</v>
      </c>
    </row>
    <row r="695" spans="1:43" x14ac:dyDescent="0.25">
      <c r="A695" t="str">
        <f t="shared" ref="A695:A701" si="135">"3A,Master STD Analyste,T00000,3A Att"</f>
        <v>3A,Master STD Analyste,T00000,3A Att</v>
      </c>
      <c r="B695" t="str">
        <f>"BOULFRAD"</f>
        <v>BOULFRAD</v>
      </c>
      <c r="C695" t="str">
        <f>"Youcef"</f>
        <v>Youcef</v>
      </c>
      <c r="D695" t="str">
        <f>"022-2198"</f>
        <v>022-2198</v>
      </c>
      <c r="E695" t="str">
        <f>"2404904036B"</f>
        <v>2404904036B</v>
      </c>
      <c r="F695" t="str">
        <f t="shared" si="126"/>
        <v>0352480F</v>
      </c>
      <c r="G695" t="str">
        <f t="shared" si="127"/>
        <v>O</v>
      </c>
      <c r="H695">
        <v>10</v>
      </c>
      <c r="I695">
        <v>1987</v>
      </c>
      <c r="J695">
        <v>1</v>
      </c>
      <c r="K695" t="str">
        <f t="shared" ref="K695:K701" si="136">"S"</f>
        <v>S</v>
      </c>
      <c r="L695">
        <v>24</v>
      </c>
      <c r="M695">
        <v>2005</v>
      </c>
      <c r="N695" t="str">
        <f t="shared" si="133"/>
        <v>E</v>
      </c>
      <c r="O695" t="str">
        <f>"U"</f>
        <v>U</v>
      </c>
      <c r="P695">
        <v>0</v>
      </c>
      <c r="Q695">
        <v>100</v>
      </c>
      <c r="R695">
        <v>100</v>
      </c>
      <c r="S695">
        <v>35310</v>
      </c>
      <c r="T695">
        <v>100</v>
      </c>
      <c r="U695">
        <v>35310</v>
      </c>
      <c r="V695" t="str">
        <f>"CLES 2 Anglais le 15/02/2011 - valide le niveau B2 à vie  TOEIC passé à l'ENSAI le 22/05/2023 : score 975"</f>
        <v>CLES 2 Anglais le 15/02/2011 - valide le niveau B2 à vie  TOEIC passé à l'ENSAI le 22/05/2023 : score 975</v>
      </c>
      <c r="W695">
        <v>0</v>
      </c>
      <c r="X695">
        <v>0</v>
      </c>
      <c r="Y695">
        <v>6000577</v>
      </c>
      <c r="Z695">
        <v>3</v>
      </c>
      <c r="AA695">
        <v>27</v>
      </c>
      <c r="AB695" t="str">
        <f>""</f>
        <v/>
      </c>
      <c r="AC695" t="str">
        <f>""</f>
        <v/>
      </c>
      <c r="AD695" t="str">
        <f>""</f>
        <v/>
      </c>
      <c r="AE695">
        <v>2005</v>
      </c>
      <c r="AF695">
        <v>2022</v>
      </c>
      <c r="AG695" t="str">
        <f>"MORDELLES"</f>
        <v>MORDELLES</v>
      </c>
      <c r="AH695" t="str">
        <f>"MORDELLES"</f>
        <v>MORDELLES</v>
      </c>
      <c r="AI695" t="str">
        <f>""</f>
        <v/>
      </c>
      <c r="AJ695" t="str">
        <f>""</f>
        <v/>
      </c>
      <c r="AK695" t="str">
        <f>""</f>
        <v/>
      </c>
      <c r="AL695">
        <v>47</v>
      </c>
      <c r="AM695" t="str">
        <f>""</f>
        <v/>
      </c>
      <c r="AN695" t="str">
        <f>""</f>
        <v/>
      </c>
      <c r="AO695" t="str">
        <f>"Jean Vilar"</f>
        <v>Jean Vilar</v>
      </c>
      <c r="AP695" t="str">
        <f>"MEAUX (77)"</f>
        <v>MEAUX (77)</v>
      </c>
      <c r="AQ695" t="str">
        <f>"Créteil"</f>
        <v>Créteil</v>
      </c>
    </row>
    <row r="696" spans="1:43" x14ac:dyDescent="0.25">
      <c r="A696" t="str">
        <f t="shared" si="135"/>
        <v>3A,Master STD Analyste,T00000,3A Att</v>
      </c>
      <c r="B696" t="str">
        <f>"CARRERE"</f>
        <v>CARRERE</v>
      </c>
      <c r="C696" t="str">
        <f>"Charles"</f>
        <v>Charles</v>
      </c>
      <c r="D696" t="str">
        <f>"022-2328"</f>
        <v>022-2328</v>
      </c>
      <c r="E696" t="str">
        <f>"060358598EA"</f>
        <v>060358598EA</v>
      </c>
      <c r="F696" t="str">
        <f t="shared" si="126"/>
        <v>0352480F</v>
      </c>
      <c r="G696" t="str">
        <f t="shared" si="127"/>
        <v>O</v>
      </c>
      <c r="H696">
        <v>10</v>
      </c>
      <c r="I696">
        <v>2002</v>
      </c>
      <c r="J696">
        <v>1</v>
      </c>
      <c r="K696" t="str">
        <f t="shared" si="136"/>
        <v>S</v>
      </c>
      <c r="L696">
        <v>1</v>
      </c>
      <c r="M696">
        <v>2020</v>
      </c>
      <c r="N696" t="str">
        <f t="shared" si="133"/>
        <v>E</v>
      </c>
      <c r="O696" t="str">
        <f>"D"</f>
        <v>D</v>
      </c>
      <c r="P696">
        <v>0</v>
      </c>
      <c r="Q696">
        <v>100</v>
      </c>
      <c r="R696">
        <v>100</v>
      </c>
      <c r="S696">
        <v>35136</v>
      </c>
      <c r="T696">
        <v>100</v>
      </c>
      <c r="U696">
        <v>35136</v>
      </c>
      <c r="V696" t="str">
        <f>""</f>
        <v/>
      </c>
      <c r="W696">
        <v>55</v>
      </c>
      <c r="X696">
        <v>0</v>
      </c>
      <c r="Y696">
        <v>6000577</v>
      </c>
      <c r="Z696">
        <v>3</v>
      </c>
      <c r="AA696">
        <v>27</v>
      </c>
      <c r="AB696" t="str">
        <f>""</f>
        <v/>
      </c>
      <c r="AC696" t="str">
        <f>""</f>
        <v/>
      </c>
      <c r="AD696" t="str">
        <f>""</f>
        <v/>
      </c>
      <c r="AE696">
        <v>2020</v>
      </c>
      <c r="AF696">
        <v>2022</v>
      </c>
      <c r="AG696" t="str">
        <f>"Saint Jacque de la Lande"</f>
        <v>Saint Jacque de la Lande</v>
      </c>
      <c r="AH696" t="str">
        <f>"Saint Jacque de la Lande"</f>
        <v>Saint Jacque de la Lande</v>
      </c>
      <c r="AI696" t="str">
        <f>""</f>
        <v/>
      </c>
      <c r="AJ696" t="str">
        <f>""</f>
        <v/>
      </c>
      <c r="AK696" t="str">
        <f>""</f>
        <v/>
      </c>
      <c r="AL696">
        <v>37</v>
      </c>
      <c r="AM696" t="str">
        <f>""</f>
        <v/>
      </c>
      <c r="AN696" t="str">
        <f>""</f>
        <v/>
      </c>
      <c r="AO696" t="str">
        <f>"Rocroy Saint-Vincent-de-Paul"</f>
        <v>Rocroy Saint-Vincent-de-Paul</v>
      </c>
      <c r="AP696" t="str">
        <f>"PARIS"</f>
        <v>PARIS</v>
      </c>
      <c r="AQ696" t="str">
        <f>"Paris"</f>
        <v>Paris</v>
      </c>
    </row>
    <row r="697" spans="1:43" x14ac:dyDescent="0.25">
      <c r="A697" t="str">
        <f t="shared" si="135"/>
        <v>3A,Master STD Analyste,T00000,3A Att</v>
      </c>
      <c r="B697" t="str">
        <f>"COLLÉAUX"</f>
        <v>COLLÉAUX</v>
      </c>
      <c r="C697" t="str">
        <f>"Yanis"</f>
        <v>Yanis</v>
      </c>
      <c r="D697" t="str">
        <f>"022-2304"</f>
        <v>022-2304</v>
      </c>
      <c r="E697" t="str">
        <f>"071931364FD"</f>
        <v>071931364FD</v>
      </c>
      <c r="F697" t="str">
        <f t="shared" si="126"/>
        <v>0352480F</v>
      </c>
      <c r="G697" t="str">
        <f t="shared" si="127"/>
        <v>O</v>
      </c>
      <c r="H697">
        <v>10</v>
      </c>
      <c r="I697">
        <v>2003</v>
      </c>
      <c r="J697">
        <v>1</v>
      </c>
      <c r="K697" t="str">
        <f t="shared" si="136"/>
        <v>S</v>
      </c>
      <c r="L697">
        <v>14</v>
      </c>
      <c r="M697">
        <v>2020</v>
      </c>
      <c r="N697" t="str">
        <f t="shared" si="133"/>
        <v>E</v>
      </c>
      <c r="O697" t="str">
        <f>"A"</f>
        <v>A</v>
      </c>
      <c r="P697">
        <v>0</v>
      </c>
      <c r="Q697">
        <v>100</v>
      </c>
      <c r="R697">
        <v>100</v>
      </c>
      <c r="S697">
        <v>35170</v>
      </c>
      <c r="T697">
        <v>100</v>
      </c>
      <c r="U697">
        <v>35170</v>
      </c>
      <c r="V697" t="str">
        <f>"TOEIC passé à l'ENSAI le 22/05/2023 : score 990"</f>
        <v>TOEIC passé à l'ENSAI le 22/05/2023 : score 990</v>
      </c>
      <c r="W697">
        <v>0</v>
      </c>
      <c r="X697">
        <v>0</v>
      </c>
      <c r="Y697">
        <v>6000577</v>
      </c>
      <c r="Z697">
        <v>3</v>
      </c>
      <c r="AA697">
        <v>27</v>
      </c>
      <c r="AB697" t="str">
        <f>""</f>
        <v/>
      </c>
      <c r="AC697" t="str">
        <f>""</f>
        <v/>
      </c>
      <c r="AD697" t="str">
        <f>""</f>
        <v/>
      </c>
      <c r="AE697">
        <v>2020</v>
      </c>
      <c r="AF697">
        <v>2022</v>
      </c>
      <c r="AG697" t="str">
        <f>"Bruz"</f>
        <v>Bruz</v>
      </c>
      <c r="AH697" t="str">
        <f>"Bruz"</f>
        <v>Bruz</v>
      </c>
      <c r="AI697" t="str">
        <f>""</f>
        <v/>
      </c>
      <c r="AJ697" t="str">
        <f>""</f>
        <v/>
      </c>
      <c r="AK697" t="str">
        <f>""</f>
        <v/>
      </c>
      <c r="AL697">
        <v>0</v>
      </c>
      <c r="AM697" t="str">
        <f>""</f>
        <v/>
      </c>
      <c r="AN697" t="str">
        <f>""</f>
        <v/>
      </c>
      <c r="AO697" t="str">
        <f>"Lycée Colbert"</f>
        <v>Lycée Colbert</v>
      </c>
      <c r="AP697" t="str">
        <f>"LORIENT"</f>
        <v>LORIENT</v>
      </c>
      <c r="AQ697" t="str">
        <f>"Rennes"</f>
        <v>Rennes</v>
      </c>
    </row>
    <row r="698" spans="1:43" x14ac:dyDescent="0.25">
      <c r="A698" t="str">
        <f t="shared" si="135"/>
        <v>3A,Master STD Analyste,T00000,3A Att</v>
      </c>
      <c r="B698" t="str">
        <f>"FAHIM"</f>
        <v>FAHIM</v>
      </c>
      <c r="C698" t="str">
        <f>"Rania"</f>
        <v>Rania</v>
      </c>
      <c r="D698" t="str">
        <f>"022-2233"</f>
        <v>022-2233</v>
      </c>
      <c r="E698" t="str">
        <f>"070156763DK"</f>
        <v>070156763DK</v>
      </c>
      <c r="F698" t="str">
        <f t="shared" si="126"/>
        <v>0352480F</v>
      </c>
      <c r="G698" t="str">
        <f t="shared" si="127"/>
        <v>O</v>
      </c>
      <c r="H698">
        <v>10</v>
      </c>
      <c r="I698">
        <v>2002</v>
      </c>
      <c r="J698">
        <v>2</v>
      </c>
      <c r="K698" t="str">
        <f t="shared" si="136"/>
        <v>S</v>
      </c>
      <c r="L698">
        <v>8</v>
      </c>
      <c r="M698">
        <v>2020</v>
      </c>
      <c r="N698" t="str">
        <f t="shared" si="133"/>
        <v>E</v>
      </c>
      <c r="O698" t="str">
        <f>"N"</f>
        <v>N</v>
      </c>
      <c r="P698">
        <v>0</v>
      </c>
      <c r="Q698">
        <v>100</v>
      </c>
      <c r="R698">
        <v>100</v>
      </c>
      <c r="S698">
        <v>35000</v>
      </c>
      <c r="T698">
        <v>100</v>
      </c>
      <c r="U698">
        <v>35000</v>
      </c>
      <c r="V698" t="str">
        <f>"TOEIC passé à l'ENSAI le 22/05/2023 : score 935"</f>
        <v>TOEIC passé à l'ENSAI le 22/05/2023 : score 935</v>
      </c>
      <c r="W698">
        <v>56</v>
      </c>
      <c r="X698">
        <v>0</v>
      </c>
      <c r="Y698">
        <v>6000577</v>
      </c>
      <c r="Z698">
        <v>3</v>
      </c>
      <c r="AA698">
        <v>27</v>
      </c>
      <c r="AB698" t="str">
        <f>""</f>
        <v/>
      </c>
      <c r="AC698" t="str">
        <f>""</f>
        <v/>
      </c>
      <c r="AD698" t="str">
        <f>""</f>
        <v/>
      </c>
      <c r="AE698">
        <v>2020</v>
      </c>
      <c r="AF698">
        <v>2022</v>
      </c>
      <c r="AG698" t="str">
        <f>"Rennes"</f>
        <v>Rennes</v>
      </c>
      <c r="AH698" t="str">
        <f>"Rennes"</f>
        <v>Rennes</v>
      </c>
      <c r="AI698" t="str">
        <f>""</f>
        <v/>
      </c>
      <c r="AJ698" t="str">
        <f>""</f>
        <v/>
      </c>
      <c r="AK698" t="str">
        <f>""</f>
        <v/>
      </c>
      <c r="AL698">
        <v>34</v>
      </c>
      <c r="AM698" t="str">
        <f>""</f>
        <v/>
      </c>
      <c r="AN698" t="str">
        <f>""</f>
        <v/>
      </c>
      <c r="AO698" t="str">
        <f>"Lycée La Pléiade"</f>
        <v>Lycée La Pléiade</v>
      </c>
      <c r="AP698" t="str">
        <f>"PONT DE CHÉRUY"</f>
        <v>PONT DE CHÉRUY</v>
      </c>
      <c r="AQ698" t="str">
        <f>"Grenoble"</f>
        <v>Grenoble</v>
      </c>
    </row>
    <row r="699" spans="1:43" x14ac:dyDescent="0.25">
      <c r="A699" t="str">
        <f t="shared" si="135"/>
        <v>3A,Master STD Analyste,T00000,3A Att</v>
      </c>
      <c r="B699" t="str">
        <f>"FAVRE-BONVIN"</f>
        <v>FAVRE-BONVIN</v>
      </c>
      <c r="C699" t="str">
        <f>"Arnaud"</f>
        <v>Arnaud</v>
      </c>
      <c r="D699" t="str">
        <f>"022-2330"</f>
        <v>022-2330</v>
      </c>
      <c r="E699" t="str">
        <f>"070695091GB"</f>
        <v>070695091GB</v>
      </c>
      <c r="F699" t="str">
        <f t="shared" si="126"/>
        <v>0352480F</v>
      </c>
      <c r="G699" t="str">
        <f t="shared" si="127"/>
        <v>O</v>
      </c>
      <c r="H699">
        <v>10</v>
      </c>
      <c r="I699">
        <v>2002</v>
      </c>
      <c r="J699">
        <v>1</v>
      </c>
      <c r="K699" t="str">
        <f t="shared" si="136"/>
        <v>S</v>
      </c>
      <c r="L699">
        <v>8</v>
      </c>
      <c r="M699">
        <v>2020</v>
      </c>
      <c r="N699" t="str">
        <f t="shared" si="133"/>
        <v>E</v>
      </c>
      <c r="O699" t="str">
        <f>"D"</f>
        <v>D</v>
      </c>
      <c r="P699">
        <v>0</v>
      </c>
      <c r="Q699">
        <v>100</v>
      </c>
      <c r="R699">
        <v>100</v>
      </c>
      <c r="S699">
        <v>35170</v>
      </c>
      <c r="T699">
        <v>100</v>
      </c>
      <c r="U699">
        <v>35170</v>
      </c>
      <c r="V699" t="str">
        <f>"TOEIC passé à l'ENSAI le 22/05/2023 : score 970"</f>
        <v>TOEIC passé à l'ENSAI le 22/05/2023 : score 970</v>
      </c>
      <c r="W699">
        <v>21</v>
      </c>
      <c r="X699">
        <v>0</v>
      </c>
      <c r="Y699">
        <v>6000577</v>
      </c>
      <c r="Z699">
        <v>3</v>
      </c>
      <c r="AA699">
        <v>27</v>
      </c>
      <c r="AB699" t="str">
        <f>""</f>
        <v/>
      </c>
      <c r="AC699" t="str">
        <f>""</f>
        <v/>
      </c>
      <c r="AD699" t="str">
        <f>""</f>
        <v/>
      </c>
      <c r="AE699">
        <v>2020</v>
      </c>
      <c r="AF699">
        <v>2022</v>
      </c>
      <c r="AG699" t="str">
        <f>"Bruz"</f>
        <v>Bruz</v>
      </c>
      <c r="AH699" t="str">
        <f>"Bruz"</f>
        <v>Bruz</v>
      </c>
      <c r="AI699" t="str">
        <f>""</f>
        <v/>
      </c>
      <c r="AJ699" t="str">
        <f>""</f>
        <v/>
      </c>
      <c r="AK699" t="str">
        <f>""</f>
        <v/>
      </c>
      <c r="AL699">
        <v>56</v>
      </c>
      <c r="AM699" t="str">
        <f>""</f>
        <v/>
      </c>
      <c r="AN699" t="str">
        <f>""</f>
        <v/>
      </c>
      <c r="AO699" t="str">
        <f>"Lycée René Perrin"</f>
        <v>Lycée René Perrin</v>
      </c>
      <c r="AP699" t="str">
        <f>"UGINE"</f>
        <v>UGINE</v>
      </c>
      <c r="AQ699" t="str">
        <f>"Grenoble"</f>
        <v>Grenoble</v>
      </c>
    </row>
    <row r="700" spans="1:43" x14ac:dyDescent="0.25">
      <c r="A700" t="str">
        <f t="shared" si="135"/>
        <v>3A,Master STD Analyste,T00000,3A Att</v>
      </c>
      <c r="B700" t="str">
        <f>"MALLEVILLE"</f>
        <v>MALLEVILLE</v>
      </c>
      <c r="C700" t="str">
        <f>"Rémi"</f>
        <v>Rémi</v>
      </c>
      <c r="D700" t="str">
        <f>"022-2240"</f>
        <v>022-2240</v>
      </c>
      <c r="E700" t="str">
        <f>"0393020337U"</f>
        <v>0393020337U</v>
      </c>
      <c r="F700" t="str">
        <f t="shared" si="126"/>
        <v>0352480F</v>
      </c>
      <c r="G700" t="str">
        <f t="shared" si="127"/>
        <v>O</v>
      </c>
      <c r="H700">
        <v>10</v>
      </c>
      <c r="I700">
        <v>1980</v>
      </c>
      <c r="J700">
        <v>1</v>
      </c>
      <c r="K700" t="str">
        <f t="shared" si="136"/>
        <v>S</v>
      </c>
      <c r="L700">
        <v>3</v>
      </c>
      <c r="M700">
        <v>1998</v>
      </c>
      <c r="N700" t="str">
        <f t="shared" si="133"/>
        <v>E</v>
      </c>
      <c r="O700" t="str">
        <f>"U"</f>
        <v>U</v>
      </c>
      <c r="P700">
        <v>0</v>
      </c>
      <c r="Q700">
        <v>100</v>
      </c>
      <c r="R700">
        <v>100</v>
      </c>
      <c r="S700">
        <v>35172</v>
      </c>
      <c r="T700">
        <v>100</v>
      </c>
      <c r="U700">
        <v>35172</v>
      </c>
      <c r="V700" t="str">
        <f>"TOEIC passé à l'ENSAI le 22/05/2023 : score 990"</f>
        <v>TOEIC passé à l'ENSAI le 22/05/2023 : score 990</v>
      </c>
      <c r="W700">
        <v>0</v>
      </c>
      <c r="X700">
        <v>0</v>
      </c>
      <c r="Y700">
        <v>6000577</v>
      </c>
      <c r="Z700">
        <v>3</v>
      </c>
      <c r="AA700">
        <v>27</v>
      </c>
      <c r="AB700" t="str">
        <f>""</f>
        <v/>
      </c>
      <c r="AC700" t="str">
        <f>""</f>
        <v/>
      </c>
      <c r="AD700" t="str">
        <f>""</f>
        <v/>
      </c>
      <c r="AE700">
        <v>1998</v>
      </c>
      <c r="AF700">
        <v>2022</v>
      </c>
      <c r="AG700" t="str">
        <f>"BRUZ cedex"</f>
        <v>BRUZ cedex</v>
      </c>
      <c r="AH700" t="str">
        <f>"BRUZ cedex"</f>
        <v>BRUZ cedex</v>
      </c>
      <c r="AI700" t="str">
        <f>""</f>
        <v/>
      </c>
      <c r="AJ700" t="str">
        <f>""</f>
        <v/>
      </c>
      <c r="AK700" t="str">
        <f>""</f>
        <v/>
      </c>
      <c r="AL700">
        <v>0</v>
      </c>
      <c r="AM700" t="str">
        <f>""</f>
        <v/>
      </c>
      <c r="AN700" t="str">
        <f>""</f>
        <v/>
      </c>
      <c r="AO700" t="str">
        <f>"Sainte-Marie"</f>
        <v>Sainte-Marie</v>
      </c>
      <c r="AP700" t="str">
        <f>"BELFORT"</f>
        <v>BELFORT</v>
      </c>
      <c r="AQ700" t="str">
        <f>"Besançon"</f>
        <v>Besançon</v>
      </c>
    </row>
    <row r="701" spans="1:43" x14ac:dyDescent="0.25">
      <c r="A701" t="str">
        <f t="shared" si="135"/>
        <v>3A,Master STD Analyste,T00000,3A Att</v>
      </c>
      <c r="B701" t="str">
        <f>"TIO"</f>
        <v>TIO</v>
      </c>
      <c r="C701" t="str">
        <f>"Maxime"</f>
        <v>Maxime</v>
      </c>
      <c r="D701" t="str">
        <f>"022-2321"</f>
        <v>022-2321</v>
      </c>
      <c r="E701" t="str">
        <f>"081716229GD"</f>
        <v>081716229GD</v>
      </c>
      <c r="F701" t="str">
        <f t="shared" si="126"/>
        <v>0352480F</v>
      </c>
      <c r="G701" t="str">
        <f t="shared" si="127"/>
        <v>O</v>
      </c>
      <c r="H701">
        <v>10</v>
      </c>
      <c r="I701">
        <v>2002</v>
      </c>
      <c r="J701">
        <v>1</v>
      </c>
      <c r="K701" t="str">
        <f t="shared" si="136"/>
        <v>S</v>
      </c>
      <c r="L701">
        <v>9</v>
      </c>
      <c r="M701">
        <v>2020</v>
      </c>
      <c r="N701" t="str">
        <f t="shared" si="133"/>
        <v>E</v>
      </c>
      <c r="O701" t="str">
        <f>"D"</f>
        <v>D</v>
      </c>
      <c r="P701">
        <v>0</v>
      </c>
      <c r="Q701">
        <v>100</v>
      </c>
      <c r="R701">
        <v>100</v>
      </c>
      <c r="S701">
        <v>35170</v>
      </c>
      <c r="T701">
        <v>100</v>
      </c>
      <c r="U701">
        <v>35170</v>
      </c>
      <c r="V701" t="str">
        <f>"TOEIC passé à l'ENSAI le 22/05/2023 : score 980"</f>
        <v>TOEIC passé à l'ENSAI le 22/05/2023 : score 980</v>
      </c>
      <c r="W701">
        <v>0</v>
      </c>
      <c r="X701">
        <v>0</v>
      </c>
      <c r="Y701">
        <v>6000577</v>
      </c>
      <c r="Z701">
        <v>3</v>
      </c>
      <c r="AA701">
        <v>27</v>
      </c>
      <c r="AB701" t="str">
        <f>""</f>
        <v/>
      </c>
      <c r="AC701" t="str">
        <f>""</f>
        <v/>
      </c>
      <c r="AD701" t="str">
        <f>""</f>
        <v/>
      </c>
      <c r="AE701">
        <v>2020</v>
      </c>
      <c r="AF701">
        <v>2022</v>
      </c>
      <c r="AG701" t="str">
        <f>"BRUZ"</f>
        <v>BRUZ</v>
      </c>
      <c r="AH701" t="str">
        <f>"BRUZ"</f>
        <v>BRUZ</v>
      </c>
      <c r="AI701" t="str">
        <f>""</f>
        <v/>
      </c>
      <c r="AJ701" t="str">
        <f>""</f>
        <v/>
      </c>
      <c r="AK701" t="str">
        <f>""</f>
        <v/>
      </c>
      <c r="AL701">
        <v>52</v>
      </c>
      <c r="AM701" t="str">
        <f>""</f>
        <v/>
      </c>
      <c r="AN701" t="str">
        <f>""</f>
        <v/>
      </c>
      <c r="AO701" t="str">
        <f>"Lycée du Noordover"</f>
        <v>Lycée du Noordover</v>
      </c>
      <c r="AP701" t="str">
        <f>"GRANDE-SYNTHE"</f>
        <v>GRANDE-SYNTHE</v>
      </c>
      <c r="AQ701" t="str">
        <f>"Lille"</f>
        <v>Lille</v>
      </c>
    </row>
    <row r="702" spans="1:43" x14ac:dyDescent="0.25">
      <c r="A702" t="str">
        <f>"3A,T00000,3A Att,SAPIENZA"</f>
        <v>3A,T00000,3A Att,SAPIENZA</v>
      </c>
      <c r="B702" t="str">
        <f>"CAMBONI"</f>
        <v>CAMBONI</v>
      </c>
      <c r="C702" t="str">
        <f>"Enzo"</f>
        <v>Enzo</v>
      </c>
      <c r="D702" t="str">
        <f>"022-2207"</f>
        <v>022-2207</v>
      </c>
      <c r="E702" t="str">
        <f>"081917883HC"</f>
        <v>081917883HC</v>
      </c>
      <c r="F702" t="str">
        <f t="shared" si="126"/>
        <v>0352480F</v>
      </c>
      <c r="G702" t="str">
        <f t="shared" si="127"/>
        <v>O</v>
      </c>
      <c r="H702">
        <v>10</v>
      </c>
      <c r="I702">
        <v>2002</v>
      </c>
      <c r="J702">
        <v>1</v>
      </c>
      <c r="K702" t="str">
        <f>"ES"</f>
        <v>ES</v>
      </c>
      <c r="L702">
        <v>2</v>
      </c>
      <c r="M702">
        <v>2020</v>
      </c>
      <c r="N702" t="str">
        <f t="shared" si="133"/>
        <v>E</v>
      </c>
      <c r="O702" t="str">
        <f>"N"</f>
        <v>N</v>
      </c>
      <c r="P702">
        <v>0</v>
      </c>
      <c r="Q702">
        <v>100</v>
      </c>
      <c r="R702">
        <v>100</v>
      </c>
      <c r="S702">
        <v>13220</v>
      </c>
      <c r="T702">
        <v>100</v>
      </c>
      <c r="U702">
        <v>13220</v>
      </c>
      <c r="V702" t="str">
        <f>"TOEIC passé à l'ENSAI le 22/05/2023 : score 855"</f>
        <v>TOEIC passé à l'ENSAI le 22/05/2023 : score 855</v>
      </c>
      <c r="W702">
        <v>0</v>
      </c>
      <c r="X702">
        <v>0</v>
      </c>
      <c r="Y702">
        <v>6000577</v>
      </c>
      <c r="Z702">
        <v>3</v>
      </c>
      <c r="AA702">
        <v>27</v>
      </c>
      <c r="AB702" t="str">
        <f>""</f>
        <v/>
      </c>
      <c r="AC702" t="str">
        <f>""</f>
        <v/>
      </c>
      <c r="AD702" t="str">
        <f>""</f>
        <v/>
      </c>
      <c r="AE702">
        <v>2020</v>
      </c>
      <c r="AF702">
        <v>2022</v>
      </c>
      <c r="AG702" t="str">
        <f>"Châteauneuf-les-Martigues"</f>
        <v>Châteauneuf-les-Martigues</v>
      </c>
      <c r="AH702" t="str">
        <f>"Châteauneuf-les-Martigues"</f>
        <v>Châteauneuf-les-Martigues</v>
      </c>
      <c r="AI702" t="str">
        <f>""</f>
        <v/>
      </c>
      <c r="AJ702" t="str">
        <f>""</f>
        <v/>
      </c>
      <c r="AK702" t="str">
        <f>""</f>
        <v/>
      </c>
      <c r="AL702">
        <v>0</v>
      </c>
      <c r="AM702" t="str">
        <f>""</f>
        <v/>
      </c>
      <c r="AN702" t="str">
        <f>""</f>
        <v/>
      </c>
      <c r="AO702" t="str">
        <f>"Lycée Georges Duby"</f>
        <v>Lycée Georges Duby</v>
      </c>
      <c r="AP702" t="str">
        <f>"LUYNES"</f>
        <v>LUYNES</v>
      </c>
      <c r="AQ702" t="str">
        <f>"Aix-Marseille"</f>
        <v>Aix-Marseille</v>
      </c>
    </row>
    <row r="703" spans="1:43" x14ac:dyDescent="0.25">
      <c r="A703" t="str">
        <f>"3A,T00000,3A Att,SAPIENZA"</f>
        <v>3A,T00000,3A Att,SAPIENZA</v>
      </c>
      <c r="B703" t="str">
        <f>"KERHOUSSE"</f>
        <v>KERHOUSSE</v>
      </c>
      <c r="C703" t="str">
        <f>"Léa"</f>
        <v>Léa</v>
      </c>
      <c r="D703" t="str">
        <f>"022-2236"</f>
        <v>022-2236</v>
      </c>
      <c r="E703" t="str">
        <f>"070219957JK"</f>
        <v>070219957JK</v>
      </c>
      <c r="F703" t="str">
        <f t="shared" si="126"/>
        <v>0352480F</v>
      </c>
      <c r="G703" t="str">
        <f t="shared" si="127"/>
        <v>O</v>
      </c>
      <c r="H703">
        <v>10</v>
      </c>
      <c r="I703">
        <v>2001</v>
      </c>
      <c r="J703">
        <v>2</v>
      </c>
      <c r="K703" t="str">
        <f>"S"</f>
        <v>S</v>
      </c>
      <c r="L703">
        <v>14</v>
      </c>
      <c r="M703">
        <v>2019</v>
      </c>
      <c r="N703" t="str">
        <f t="shared" si="133"/>
        <v>E</v>
      </c>
      <c r="O703" t="str">
        <f>"D"</f>
        <v>D</v>
      </c>
      <c r="P703">
        <v>0</v>
      </c>
      <c r="Q703">
        <v>100</v>
      </c>
      <c r="R703">
        <v>100</v>
      </c>
      <c r="S703">
        <v>35700</v>
      </c>
      <c r="T703">
        <v>100</v>
      </c>
      <c r="U703">
        <v>35700</v>
      </c>
      <c r="V703" t="str">
        <f>"TOEIC 2A à l'ENSAI 08-01-2024 : 795"</f>
        <v>TOEIC 2A à l'ENSAI 08-01-2024 : 795</v>
      </c>
      <c r="W703">
        <v>31</v>
      </c>
      <c r="X703">
        <v>0</v>
      </c>
      <c r="Y703">
        <v>6000577</v>
      </c>
      <c r="Z703">
        <v>3</v>
      </c>
      <c r="AA703">
        <v>27</v>
      </c>
      <c r="AB703" t="str">
        <f>""</f>
        <v/>
      </c>
      <c r="AC703" t="str">
        <f>""</f>
        <v/>
      </c>
      <c r="AD703" t="str">
        <f>""</f>
        <v/>
      </c>
      <c r="AE703">
        <v>2019</v>
      </c>
      <c r="AF703">
        <v>2022</v>
      </c>
      <c r="AG703" t="str">
        <f>"Rennes"</f>
        <v>Rennes</v>
      </c>
      <c r="AH703" t="str">
        <f>"Rennes"</f>
        <v>Rennes</v>
      </c>
      <c r="AI703" t="str">
        <f>""</f>
        <v/>
      </c>
      <c r="AJ703" t="str">
        <f>""</f>
        <v/>
      </c>
      <c r="AK703" t="str">
        <f>""</f>
        <v/>
      </c>
      <c r="AL703">
        <v>34</v>
      </c>
      <c r="AM703" t="str">
        <f>""</f>
        <v/>
      </c>
      <c r="AN703" t="str">
        <f>""</f>
        <v/>
      </c>
      <c r="AO703" t="str">
        <f>"Lycée Ernest Renan"</f>
        <v>Lycée Ernest Renan</v>
      </c>
      <c r="AP703" t="str">
        <f>"SAINT-BRIEUC"</f>
        <v>SAINT-BRIEUC</v>
      </c>
      <c r="AQ703" t="str">
        <f>"Rennes"</f>
        <v>Rennes</v>
      </c>
    </row>
    <row r="704" spans="1:43" x14ac:dyDescent="0.25">
      <c r="A704" t="str">
        <f>"3A,T01850,3A Ing"</f>
        <v>3A,T01850,3A Ing</v>
      </c>
      <c r="B704" t="str">
        <f>"PRADELLE"</f>
        <v>PRADELLE</v>
      </c>
      <c r="C704" t="str">
        <f>"Félix"</f>
        <v>Félix</v>
      </c>
      <c r="D704" t="str">
        <f>"022-2242"</f>
        <v>022-2242</v>
      </c>
      <c r="E704" t="str">
        <f>"060417901AE"</f>
        <v>060417901AE</v>
      </c>
      <c r="F704" t="str">
        <f t="shared" si="126"/>
        <v>0352480F</v>
      </c>
      <c r="G704" t="str">
        <f t="shared" si="127"/>
        <v>O</v>
      </c>
      <c r="H704">
        <v>10</v>
      </c>
      <c r="I704">
        <v>2003</v>
      </c>
      <c r="J704">
        <v>1</v>
      </c>
      <c r="K704" t="str">
        <f>"S"</f>
        <v>S</v>
      </c>
      <c r="L704">
        <v>2</v>
      </c>
      <c r="M704">
        <v>2020</v>
      </c>
      <c r="N704" t="str">
        <f t="shared" si="133"/>
        <v>E</v>
      </c>
      <c r="O704" t="str">
        <f>"A"</f>
        <v>A</v>
      </c>
      <c r="P704">
        <v>0</v>
      </c>
      <c r="Q704">
        <v>100</v>
      </c>
      <c r="R704">
        <v>100</v>
      </c>
      <c r="S704">
        <v>35000</v>
      </c>
      <c r="T704">
        <v>100</v>
      </c>
      <c r="U704">
        <v>35000</v>
      </c>
      <c r="V704" t="str">
        <f>"TOEIC 2A à l'ENSAI 08-01-2024 : 745"</f>
        <v>TOEIC 2A à l'ENSAI 08-01-2024 : 745</v>
      </c>
      <c r="W704">
        <v>38</v>
      </c>
      <c r="X704">
        <v>0</v>
      </c>
      <c r="Y704">
        <v>6000577</v>
      </c>
      <c r="Z704">
        <v>3</v>
      </c>
      <c r="AA704">
        <v>27</v>
      </c>
      <c r="AB704" t="str">
        <f>""</f>
        <v/>
      </c>
      <c r="AC704" t="str">
        <f>""</f>
        <v/>
      </c>
      <c r="AD704" t="str">
        <f>""</f>
        <v/>
      </c>
      <c r="AE704">
        <v>2020</v>
      </c>
      <c r="AF704">
        <v>2022</v>
      </c>
      <c r="AG704" t="str">
        <f>""</f>
        <v/>
      </c>
      <c r="AH704" t="str">
        <f>""</f>
        <v/>
      </c>
      <c r="AI704" t="str">
        <f>""</f>
        <v/>
      </c>
      <c r="AJ704" t="str">
        <f>""</f>
        <v/>
      </c>
      <c r="AK704" t="str">
        <f>""</f>
        <v/>
      </c>
      <c r="AL704">
        <v>38</v>
      </c>
      <c r="AM704" t="str">
        <f>""</f>
        <v/>
      </c>
      <c r="AN704" t="str">
        <f>""</f>
        <v/>
      </c>
      <c r="AO704" t="str">
        <f>"Lycée Thiers"</f>
        <v>Lycée Thiers</v>
      </c>
      <c r="AP704" t="str">
        <f>"MARSEILLE"</f>
        <v>MARSEILLE</v>
      </c>
      <c r="AQ704" t="str">
        <f>"Aix-Marseille"</f>
        <v>Aix-Marseille</v>
      </c>
    </row>
    <row r="705" spans="1:43" x14ac:dyDescent="0.25">
      <c r="A705" t="str">
        <f>"Doctorant sortant"</f>
        <v>Doctorant sortant</v>
      </c>
      <c r="B705" t="str">
        <f>"FRANCHI"</f>
        <v>FRANCHI</v>
      </c>
      <c r="C705" t="str">
        <f>"Guillaume"</f>
        <v>Guillaume</v>
      </c>
      <c r="D705" t="str">
        <f>"020-1810"</f>
        <v>020-1810</v>
      </c>
      <c r="E705" t="str">
        <f>"1499011264V"</f>
        <v>1499011264V</v>
      </c>
      <c r="F705" t="str">
        <f t="shared" si="126"/>
        <v>0352480F</v>
      </c>
      <c r="G705" t="str">
        <f t="shared" si="127"/>
        <v>O</v>
      </c>
      <c r="H705">
        <v>10</v>
      </c>
      <c r="I705">
        <v>1988</v>
      </c>
      <c r="J705">
        <v>1</v>
      </c>
      <c r="K705" t="str">
        <f>"S"</f>
        <v>S</v>
      </c>
      <c r="L705">
        <v>17</v>
      </c>
      <c r="M705">
        <v>2006</v>
      </c>
      <c r="N705" t="str">
        <f t="shared" si="133"/>
        <v>E</v>
      </c>
      <c r="O705" t="str">
        <f>"U"</f>
        <v>U</v>
      </c>
      <c r="P705">
        <v>0</v>
      </c>
      <c r="Q705">
        <v>100</v>
      </c>
      <c r="R705">
        <v>100</v>
      </c>
      <c r="S705">
        <v>56350</v>
      </c>
      <c r="T705">
        <v>100</v>
      </c>
      <c r="U705">
        <v>56350</v>
      </c>
      <c r="V705" t="str">
        <f>""</f>
        <v/>
      </c>
      <c r="W705">
        <v>82</v>
      </c>
      <c r="X705">
        <v>0</v>
      </c>
      <c r="Y705">
        <v>6000577</v>
      </c>
      <c r="Z705" t="str">
        <f>""</f>
        <v/>
      </c>
      <c r="AA705">
        <v>27</v>
      </c>
      <c r="AB705" t="str">
        <f>""</f>
        <v/>
      </c>
      <c r="AC705" t="str">
        <f>""</f>
        <v/>
      </c>
      <c r="AD705" t="str">
        <f>""</f>
        <v/>
      </c>
      <c r="AE705">
        <v>2006</v>
      </c>
      <c r="AF705">
        <v>2020</v>
      </c>
      <c r="AG705" t="str">
        <f>"Rieux"</f>
        <v>Rieux</v>
      </c>
      <c r="AH705" t="str">
        <f>"Rieux"</f>
        <v>Rieux</v>
      </c>
      <c r="AI705" t="str">
        <f>""</f>
        <v/>
      </c>
      <c r="AJ705" t="str">
        <f>""</f>
        <v/>
      </c>
      <c r="AK705" t="str">
        <f>""</f>
        <v/>
      </c>
      <c r="AL705">
        <v>34</v>
      </c>
      <c r="AM705" t="str">
        <f>""</f>
        <v/>
      </c>
      <c r="AN705" t="str">
        <f>""</f>
        <v/>
      </c>
      <c r="AO705" t="str">
        <f>"Lycée Lavoisier"</f>
        <v>Lycée Lavoisier</v>
      </c>
      <c r="AP705" t="str">
        <f>"MAYENNE"</f>
        <v>MAYENNE</v>
      </c>
      <c r="AQ705" t="str">
        <f>"Nantes"</f>
        <v>Nantes</v>
      </c>
    </row>
    <row r="706" spans="1:43" x14ac:dyDescent="0.25">
      <c r="A706" t="str">
        <f>"Doctorant sortant,T00000"</f>
        <v>Doctorant sortant,T00000</v>
      </c>
      <c r="B706" t="str">
        <f>"CHEDEMAIL"</f>
        <v>CHEDEMAIL</v>
      </c>
      <c r="C706" t="str">
        <f>"Elie"</f>
        <v>Elie</v>
      </c>
      <c r="D706" t="str">
        <f>"016-0790"</f>
        <v>016-0790</v>
      </c>
      <c r="E706" t="str">
        <f>"1406045999U"</f>
        <v>1406045999U</v>
      </c>
      <c r="F706" t="str">
        <f t="shared" ref="F706:F769" si="137">"0352480F"</f>
        <v>0352480F</v>
      </c>
      <c r="G706" t="str">
        <f t="shared" ref="G706:G769" si="138">"O"</f>
        <v>O</v>
      </c>
      <c r="H706">
        <v>10</v>
      </c>
      <c r="I706">
        <v>1995</v>
      </c>
      <c r="J706">
        <v>1</v>
      </c>
      <c r="K706" t="str">
        <f>"ES"</f>
        <v>ES</v>
      </c>
      <c r="L706">
        <v>14</v>
      </c>
      <c r="M706">
        <v>2013</v>
      </c>
      <c r="N706" t="str">
        <f t="shared" si="133"/>
        <v>E</v>
      </c>
      <c r="O706" t="str">
        <f>"E"</f>
        <v>E</v>
      </c>
      <c r="P706">
        <v>0</v>
      </c>
      <c r="Q706">
        <v>100</v>
      </c>
      <c r="R706">
        <v>100</v>
      </c>
      <c r="S706">
        <v>35700</v>
      </c>
      <c r="T706">
        <v>100</v>
      </c>
      <c r="U706">
        <v>35700</v>
      </c>
      <c r="V706" t="str">
        <f>"Erasmus 2A : Sheffield University - UK"</f>
        <v>Erasmus 2A : Sheffield University - UK</v>
      </c>
      <c r="W706">
        <v>42</v>
      </c>
      <c r="X706">
        <v>0</v>
      </c>
      <c r="Y706">
        <v>6000577</v>
      </c>
      <c r="Z706" t="str">
        <f>""</f>
        <v/>
      </c>
      <c r="AA706">
        <v>27</v>
      </c>
      <c r="AB706" t="str">
        <f>""</f>
        <v/>
      </c>
      <c r="AC706" t="str">
        <f>""</f>
        <v/>
      </c>
      <c r="AD706" t="str">
        <f>""</f>
        <v/>
      </c>
      <c r="AE706">
        <v>2013</v>
      </c>
      <c r="AF706">
        <v>2016</v>
      </c>
      <c r="AG706" t="str">
        <f>"RENNES"</f>
        <v>RENNES</v>
      </c>
      <c r="AH706" t="str">
        <f>"RENNES"</f>
        <v>RENNES</v>
      </c>
      <c r="AI706" t="str">
        <f>""</f>
        <v/>
      </c>
      <c r="AJ706" t="str">
        <f>""</f>
        <v/>
      </c>
      <c r="AK706" t="str">
        <f>""</f>
        <v/>
      </c>
      <c r="AL706">
        <v>66</v>
      </c>
      <c r="AM706" t="str">
        <f>""</f>
        <v/>
      </c>
      <c r="AN706" t="str">
        <f>""</f>
        <v/>
      </c>
      <c r="AO706" t="str">
        <f>"Saint-Vincent Providence"</f>
        <v>Saint-Vincent Providence</v>
      </c>
      <c r="AP706" t="str">
        <f>"RENNES"</f>
        <v>RENNES</v>
      </c>
      <c r="AQ706" t="str">
        <f>"Rennes"</f>
        <v>Rennes</v>
      </c>
    </row>
    <row r="707" spans="1:43" x14ac:dyDescent="0.25">
      <c r="A707" t="str">
        <f>"Doctorant sortant,T00000"</f>
        <v>Doctorant sortant,T00000</v>
      </c>
      <c r="B707" t="str">
        <f>"FLAMENT"</f>
        <v>FLAMENT</v>
      </c>
      <c r="C707" t="str">
        <f>"Guillaume"</f>
        <v>Guillaume</v>
      </c>
      <c r="D707" t="str">
        <f>"017-1136"</f>
        <v>017-1136</v>
      </c>
      <c r="E707" t="str">
        <f>"2507072424X"</f>
        <v>2507072424X</v>
      </c>
      <c r="F707" t="str">
        <f t="shared" si="137"/>
        <v>0352480F</v>
      </c>
      <c r="G707" t="str">
        <f t="shared" si="138"/>
        <v>O</v>
      </c>
      <c r="H707">
        <v>10</v>
      </c>
      <c r="I707">
        <v>1996</v>
      </c>
      <c r="J707">
        <v>1</v>
      </c>
      <c r="K707" t="str">
        <f>"S"</f>
        <v>S</v>
      </c>
      <c r="L707">
        <v>25</v>
      </c>
      <c r="M707">
        <v>2014</v>
      </c>
      <c r="N707" t="str">
        <f t="shared" si="133"/>
        <v>E</v>
      </c>
      <c r="O707" t="str">
        <f>"D"</f>
        <v>D</v>
      </c>
      <c r="P707">
        <v>0</v>
      </c>
      <c r="Q707">
        <v>100</v>
      </c>
      <c r="R707">
        <v>100</v>
      </c>
      <c r="S707">
        <v>35170</v>
      </c>
      <c r="T707">
        <v>100</v>
      </c>
      <c r="U707">
        <v>35170</v>
      </c>
      <c r="V707" t="str">
        <f>"Obtention TOEIC passé à l'ENSAI le 28/05/2018 - score 940"</f>
        <v>Obtention TOEIC passé à l'ENSAI le 28/05/2018 - score 940</v>
      </c>
      <c r="W707">
        <v>38</v>
      </c>
      <c r="X707">
        <v>0</v>
      </c>
      <c r="Y707">
        <v>6000577</v>
      </c>
      <c r="Z707" t="str">
        <f>""</f>
        <v/>
      </c>
      <c r="AA707">
        <v>27</v>
      </c>
      <c r="AB707" t="str">
        <f>""</f>
        <v/>
      </c>
      <c r="AC707" t="str">
        <f>""</f>
        <v/>
      </c>
      <c r="AD707" t="str">
        <f>""</f>
        <v/>
      </c>
      <c r="AE707">
        <v>2014</v>
      </c>
      <c r="AF707">
        <v>2017</v>
      </c>
      <c r="AG707" t="str">
        <f>"Bruz"</f>
        <v>Bruz</v>
      </c>
      <c r="AH707" t="str">
        <f>"Bruz"</f>
        <v>Bruz</v>
      </c>
      <c r="AI707" t="str">
        <f>""</f>
        <v/>
      </c>
      <c r="AJ707" t="str">
        <f>""</f>
        <v/>
      </c>
      <c r="AK707" t="str">
        <f>""</f>
        <v/>
      </c>
      <c r="AL707">
        <v>34</v>
      </c>
      <c r="AM707" t="str">
        <f>""</f>
        <v/>
      </c>
      <c r="AN707" t="str">
        <f>""</f>
        <v/>
      </c>
      <c r="AO707" t="str">
        <f>"Notre Dame de Sannois"</f>
        <v>Notre Dame de Sannois</v>
      </c>
      <c r="AP707" t="str">
        <f>"SANNOIS"</f>
        <v>SANNOIS</v>
      </c>
      <c r="AQ707" t="str">
        <f>"Versailles"</f>
        <v>Versailles</v>
      </c>
    </row>
    <row r="708" spans="1:43" x14ac:dyDescent="0.25">
      <c r="A708" t="str">
        <f t="shared" ref="A708:A717" si="139">"Doctorant,T00391"</f>
        <v>Doctorant,T00391</v>
      </c>
      <c r="B708" t="str">
        <f>"AMEZOUWUI"</f>
        <v>AMEZOUWUI</v>
      </c>
      <c r="C708" t="str">
        <f>"Koffi"</f>
        <v>Koffi</v>
      </c>
      <c r="D708" t="str">
        <f>"023-2563"</f>
        <v>023-2563</v>
      </c>
      <c r="E708" t="str">
        <f>"203424628JG"</f>
        <v>203424628JG</v>
      </c>
      <c r="F708" t="str">
        <f t="shared" si="137"/>
        <v>0352480F</v>
      </c>
      <c r="G708" t="str">
        <f t="shared" si="138"/>
        <v>O</v>
      </c>
      <c r="H708">
        <v>10</v>
      </c>
      <c r="I708">
        <v>1995</v>
      </c>
      <c r="J708">
        <v>1</v>
      </c>
      <c r="K708" t="str">
        <f>"D"</f>
        <v>D</v>
      </c>
      <c r="L708">
        <v>0</v>
      </c>
      <c r="M708">
        <v>2013</v>
      </c>
      <c r="N708" t="str">
        <f t="shared" si="133"/>
        <v>E</v>
      </c>
      <c r="O708" t="str">
        <f>"E"</f>
        <v>E</v>
      </c>
      <c r="P708">
        <v>0</v>
      </c>
      <c r="Q708">
        <v>345</v>
      </c>
      <c r="R708">
        <v>100</v>
      </c>
      <c r="S708">
        <v>35200</v>
      </c>
      <c r="T708">
        <v>100</v>
      </c>
      <c r="U708">
        <v>35200</v>
      </c>
      <c r="V708" t="str">
        <f>""</f>
        <v/>
      </c>
      <c r="W708">
        <v>47</v>
      </c>
      <c r="X708">
        <v>0</v>
      </c>
      <c r="Y708">
        <v>6000577</v>
      </c>
      <c r="Z708" t="str">
        <f>""</f>
        <v/>
      </c>
      <c r="AA708">
        <v>27</v>
      </c>
      <c r="AB708" t="str">
        <f>""</f>
        <v/>
      </c>
      <c r="AC708" t="str">
        <f>""</f>
        <v/>
      </c>
      <c r="AD708" t="str">
        <f>""</f>
        <v/>
      </c>
      <c r="AE708">
        <v>2021</v>
      </c>
      <c r="AF708">
        <v>2023</v>
      </c>
      <c r="AG708" t="str">
        <f>"RENNES"</f>
        <v>RENNES</v>
      </c>
      <c r="AH708" t="str">
        <f>"RENNES"</f>
        <v>RENNES</v>
      </c>
      <c r="AI708" t="str">
        <f>""</f>
        <v/>
      </c>
      <c r="AJ708" t="str">
        <f>""</f>
        <v/>
      </c>
      <c r="AK708" t="str">
        <f>""</f>
        <v/>
      </c>
      <c r="AL708">
        <v>69</v>
      </c>
      <c r="AM708" t="str">
        <f>""</f>
        <v/>
      </c>
      <c r="AN708" t="str">
        <f>""</f>
        <v/>
      </c>
      <c r="AO708" t="str">
        <f>"LYCEE DE DJAGBLE"</f>
        <v>LYCEE DE DJAGBLE</v>
      </c>
      <c r="AP708" t="str">
        <f>"DJAGBLE"</f>
        <v>DJAGBLE</v>
      </c>
      <c r="AQ708" t="str">
        <f>"Etranger"</f>
        <v>Etranger</v>
      </c>
    </row>
    <row r="709" spans="1:43" x14ac:dyDescent="0.25">
      <c r="A709" t="str">
        <f t="shared" si="139"/>
        <v>Doctorant,T00391</v>
      </c>
      <c r="B709" t="str">
        <f>"AUROUET"</f>
        <v>AUROUET</v>
      </c>
      <c r="C709" t="str">
        <f>"Daphné"</f>
        <v>Daphné</v>
      </c>
      <c r="D709" t="str">
        <f>"021-2127"</f>
        <v>021-2127</v>
      </c>
      <c r="E709" t="str">
        <f>"2304004080L"</f>
        <v>2304004080L</v>
      </c>
      <c r="F709" t="str">
        <f t="shared" si="137"/>
        <v>0352480F</v>
      </c>
      <c r="G709" t="str">
        <f t="shared" si="138"/>
        <v>O</v>
      </c>
      <c r="H709">
        <v>10</v>
      </c>
      <c r="I709">
        <v>1993</v>
      </c>
      <c r="J709">
        <v>2</v>
      </c>
      <c r="K709" t="str">
        <f>"ES"</f>
        <v>ES</v>
      </c>
      <c r="L709">
        <v>23</v>
      </c>
      <c r="M709">
        <v>2011</v>
      </c>
      <c r="N709" t="str">
        <f t="shared" si="133"/>
        <v>E</v>
      </c>
      <c r="O709" t="str">
        <f>"Q"</f>
        <v>Q</v>
      </c>
      <c r="P709">
        <v>0</v>
      </c>
      <c r="Q709">
        <v>100</v>
      </c>
      <c r="R709">
        <v>100</v>
      </c>
      <c r="S709">
        <v>35136</v>
      </c>
      <c r="T709">
        <v>100</v>
      </c>
      <c r="U709">
        <v>35136</v>
      </c>
      <c r="V709" t="str">
        <f>""</f>
        <v/>
      </c>
      <c r="W709">
        <v>23</v>
      </c>
      <c r="X709">
        <v>0</v>
      </c>
      <c r="Y709">
        <v>6000577</v>
      </c>
      <c r="Z709" t="str">
        <f>""</f>
        <v/>
      </c>
      <c r="AA709">
        <v>27</v>
      </c>
      <c r="AB709" t="str">
        <f>""</f>
        <v/>
      </c>
      <c r="AC709" t="str">
        <f>""</f>
        <v/>
      </c>
      <c r="AD709" t="str">
        <f>""</f>
        <v/>
      </c>
      <c r="AE709">
        <v>2015</v>
      </c>
      <c r="AF709">
        <v>2021</v>
      </c>
      <c r="AG709" t="str">
        <f>"Saint Jacques de la Lande"</f>
        <v>Saint Jacques de la Lande</v>
      </c>
      <c r="AH709" t="str">
        <f>"Saint Jacques de la Lande"</f>
        <v>Saint Jacques de la Lande</v>
      </c>
      <c r="AI709" t="str">
        <f>""</f>
        <v/>
      </c>
      <c r="AJ709" t="str">
        <f>""</f>
        <v/>
      </c>
      <c r="AK709" t="str">
        <f>""</f>
        <v/>
      </c>
      <c r="AL709">
        <v>38</v>
      </c>
      <c r="AM709" t="str">
        <f>""</f>
        <v/>
      </c>
      <c r="AN709" t="str">
        <f>""</f>
        <v/>
      </c>
      <c r="AO709" t="str">
        <f>"Lycée régional de Valbonne (renommé lycée Simone V"</f>
        <v>Lycée régional de Valbonne (renommé lycée Simone V</v>
      </c>
      <c r="AP709" t="str">
        <f>"VALBONNE"</f>
        <v>VALBONNE</v>
      </c>
      <c r="AQ709" t="str">
        <f>"Nice"</f>
        <v>Nice</v>
      </c>
    </row>
    <row r="710" spans="1:43" x14ac:dyDescent="0.25">
      <c r="A710" t="str">
        <f t="shared" si="139"/>
        <v>Doctorant,T00391</v>
      </c>
      <c r="B710" t="str">
        <f>"BETTINGER"</f>
        <v>BETTINGER</v>
      </c>
      <c r="C710" t="str">
        <f>"Jérémy"</f>
        <v>Jérémy</v>
      </c>
      <c r="D710" t="str">
        <f>"024-2840"</f>
        <v>024-2840</v>
      </c>
      <c r="E710" t="str">
        <f>"081298328JJ"</f>
        <v>081298328JJ</v>
      </c>
      <c r="F710" t="str">
        <f t="shared" si="137"/>
        <v>0352480F</v>
      </c>
      <c r="G710" t="str">
        <f t="shared" si="138"/>
        <v>O</v>
      </c>
      <c r="H710">
        <v>10</v>
      </c>
      <c r="I710">
        <v>2001</v>
      </c>
      <c r="J710">
        <v>1</v>
      </c>
      <c r="K710" t="str">
        <f>"S"</f>
        <v>S</v>
      </c>
      <c r="L710">
        <v>12</v>
      </c>
      <c r="M710">
        <v>2018</v>
      </c>
      <c r="N710" t="str">
        <f>"H"</f>
        <v>H</v>
      </c>
      <c r="O710" t="str">
        <f>"R"</f>
        <v>R</v>
      </c>
      <c r="P710">
        <v>0</v>
      </c>
      <c r="Q710">
        <v>100</v>
      </c>
      <c r="R710">
        <v>100</v>
      </c>
      <c r="S710">
        <v>35000</v>
      </c>
      <c r="T710">
        <v>100</v>
      </c>
      <c r="U710">
        <v>35000</v>
      </c>
      <c r="V710" t="str">
        <f>""</f>
        <v/>
      </c>
      <c r="W710">
        <v>99</v>
      </c>
      <c r="X710">
        <v>0</v>
      </c>
      <c r="Y710">
        <v>6000577</v>
      </c>
      <c r="Z710" t="str">
        <f>""</f>
        <v/>
      </c>
      <c r="AA710">
        <v>27</v>
      </c>
      <c r="AB710" t="str">
        <f>""</f>
        <v/>
      </c>
      <c r="AC710" t="str">
        <f>""</f>
        <v/>
      </c>
      <c r="AD710" t="str">
        <f>""</f>
        <v/>
      </c>
      <c r="AE710">
        <v>2018</v>
      </c>
      <c r="AF710">
        <v>2024</v>
      </c>
      <c r="AG710" t="str">
        <f t="shared" ref="AG710:AH712" si="140">"Rennes"</f>
        <v>Rennes</v>
      </c>
      <c r="AH710" t="str">
        <f t="shared" si="140"/>
        <v>Rennes</v>
      </c>
      <c r="AI710" t="str">
        <f>""</f>
        <v/>
      </c>
      <c r="AJ710" t="str">
        <f>""</f>
        <v/>
      </c>
      <c r="AK710" t="str">
        <f>""</f>
        <v/>
      </c>
      <c r="AL710">
        <v>54</v>
      </c>
      <c r="AM710" t="str">
        <f>""</f>
        <v/>
      </c>
      <c r="AN710" t="str">
        <f>""</f>
        <v/>
      </c>
      <c r="AO710" t="str">
        <f>"Henri Nominé"</f>
        <v>Henri Nominé</v>
      </c>
      <c r="AP710" t="str">
        <f>"SARREGUEMINES"</f>
        <v>SARREGUEMINES</v>
      </c>
      <c r="AQ710" t="str">
        <f>"Nancy-Metz"</f>
        <v>Nancy-Metz</v>
      </c>
    </row>
    <row r="711" spans="1:43" x14ac:dyDescent="0.25">
      <c r="A711" t="str">
        <f t="shared" si="139"/>
        <v>Doctorant,T00391</v>
      </c>
      <c r="B711" t="str">
        <f>"EL HASNAOUI"</f>
        <v>EL HASNAOUI</v>
      </c>
      <c r="C711" t="str">
        <f>"Mohamed"</f>
        <v>Mohamed</v>
      </c>
      <c r="D711" t="str">
        <f>"023-2566"</f>
        <v>023-2566</v>
      </c>
      <c r="E711" t="str">
        <f>"213225364DG"</f>
        <v>213225364DG</v>
      </c>
      <c r="F711" t="str">
        <f t="shared" si="137"/>
        <v>0352480F</v>
      </c>
      <c r="G711" t="str">
        <f t="shared" si="138"/>
        <v>O</v>
      </c>
      <c r="H711">
        <v>10</v>
      </c>
      <c r="I711">
        <v>1998</v>
      </c>
      <c r="J711">
        <v>1</v>
      </c>
      <c r="K711">
        <v>31</v>
      </c>
      <c r="L711">
        <v>0</v>
      </c>
      <c r="M711">
        <v>2016</v>
      </c>
      <c r="N711" t="str">
        <f>"E"</f>
        <v>E</v>
      </c>
      <c r="O711" t="str">
        <f>"F"</f>
        <v>F</v>
      </c>
      <c r="P711">
        <v>0</v>
      </c>
      <c r="Q711">
        <v>350</v>
      </c>
      <c r="R711">
        <v>100</v>
      </c>
      <c r="S711">
        <v>35700</v>
      </c>
      <c r="T711">
        <v>100</v>
      </c>
      <c r="U711">
        <v>35700</v>
      </c>
      <c r="V711" t="str">
        <f>"elhasnaoui.mohamed.mp@gmail.com"</f>
        <v>elhasnaoui.mohamed.mp@gmail.com</v>
      </c>
      <c r="W711">
        <v>73</v>
      </c>
      <c r="X711">
        <v>0</v>
      </c>
      <c r="Y711">
        <v>6000577</v>
      </c>
      <c r="Z711" t="str">
        <f>""</f>
        <v/>
      </c>
      <c r="AA711">
        <v>27</v>
      </c>
      <c r="AB711" t="str">
        <f>""</f>
        <v/>
      </c>
      <c r="AC711" t="str">
        <f>""</f>
        <v/>
      </c>
      <c r="AD711" t="str">
        <f>""</f>
        <v/>
      </c>
      <c r="AE711">
        <v>2022</v>
      </c>
      <c r="AF711">
        <v>2023</v>
      </c>
      <c r="AG711" t="str">
        <f t="shared" si="140"/>
        <v>Rennes</v>
      </c>
      <c r="AH711" t="str">
        <f t="shared" si="140"/>
        <v>Rennes</v>
      </c>
      <c r="AI711" t="str">
        <f>""</f>
        <v/>
      </c>
      <c r="AJ711" t="str">
        <f>""</f>
        <v/>
      </c>
      <c r="AK711" t="str">
        <f>""</f>
        <v/>
      </c>
      <c r="AL711">
        <v>82</v>
      </c>
      <c r="AM711" t="str">
        <f>""</f>
        <v/>
      </c>
      <c r="AN711" t="str">
        <f>""</f>
        <v/>
      </c>
      <c r="AO711" t="str">
        <f>"Plateau Bensouda"</f>
        <v>Plateau Bensouda</v>
      </c>
      <c r="AP711" t="str">
        <f>"SAFI (MAROC)"</f>
        <v>SAFI (MAROC)</v>
      </c>
      <c r="AQ711" t="str">
        <f>"Etranger"</f>
        <v>Etranger</v>
      </c>
    </row>
    <row r="712" spans="1:43" x14ac:dyDescent="0.25">
      <c r="A712" t="str">
        <f t="shared" si="139"/>
        <v>Doctorant,T00391</v>
      </c>
      <c r="B712" t="str">
        <f>"KASSI"</f>
        <v>KASSI</v>
      </c>
      <c r="C712" t="str">
        <f>"Omar"</f>
        <v>Omar</v>
      </c>
      <c r="D712" t="str">
        <f>"022-2335"</f>
        <v>022-2335</v>
      </c>
      <c r="E712" t="str">
        <f>"0JJ0DT06L02"</f>
        <v>0JJ0DT06L02</v>
      </c>
      <c r="F712" t="str">
        <f t="shared" si="137"/>
        <v>0352480F</v>
      </c>
      <c r="G712" t="str">
        <f t="shared" si="138"/>
        <v>O</v>
      </c>
      <c r="H712">
        <v>10</v>
      </c>
      <c r="I712">
        <v>1996</v>
      </c>
      <c r="J712">
        <v>1</v>
      </c>
      <c r="K712">
        <v>31</v>
      </c>
      <c r="L712">
        <v>0</v>
      </c>
      <c r="M712">
        <v>2014</v>
      </c>
      <c r="N712" t="str">
        <f>"E"</f>
        <v>E</v>
      </c>
      <c r="O712" t="str">
        <f>"U"</f>
        <v>U</v>
      </c>
      <c r="P712">
        <v>0</v>
      </c>
      <c r="Q712">
        <v>350</v>
      </c>
      <c r="R712">
        <v>100</v>
      </c>
      <c r="S712">
        <v>35000</v>
      </c>
      <c r="T712">
        <v>100</v>
      </c>
      <c r="U712">
        <v>35000</v>
      </c>
      <c r="V712" t="str">
        <f>""</f>
        <v/>
      </c>
      <c r="W712">
        <v>99</v>
      </c>
      <c r="X712">
        <v>0</v>
      </c>
      <c r="Y712">
        <v>6000577</v>
      </c>
      <c r="Z712" t="str">
        <f>""</f>
        <v/>
      </c>
      <c r="AA712">
        <v>27</v>
      </c>
      <c r="AB712" t="str">
        <f>""</f>
        <v/>
      </c>
      <c r="AC712" t="str">
        <f>""</f>
        <v/>
      </c>
      <c r="AD712" t="str">
        <f>""</f>
        <v/>
      </c>
      <c r="AE712">
        <v>2018</v>
      </c>
      <c r="AF712">
        <v>2022</v>
      </c>
      <c r="AG712" t="str">
        <f t="shared" si="140"/>
        <v>Rennes</v>
      </c>
      <c r="AH712" t="str">
        <f t="shared" si="140"/>
        <v>Rennes</v>
      </c>
      <c r="AI712" t="str">
        <f>""</f>
        <v/>
      </c>
      <c r="AJ712" t="str">
        <f>""</f>
        <v/>
      </c>
      <c r="AK712" t="str">
        <f>""</f>
        <v/>
      </c>
      <c r="AL712">
        <v>99</v>
      </c>
      <c r="AM712" t="str">
        <f>""</f>
        <v/>
      </c>
      <c r="AN712" t="str">
        <f>""</f>
        <v/>
      </c>
      <c r="AO712" t="str">
        <f>"Lycée Ibn El-haytam"</f>
        <v>Lycée Ibn El-haytam</v>
      </c>
      <c r="AP712" t="str">
        <f>"OUARZAZATE (MAROC)"</f>
        <v>OUARZAZATE (MAROC)</v>
      </c>
      <c r="AQ712" t="str">
        <f>"Etranger"</f>
        <v>Etranger</v>
      </c>
    </row>
    <row r="713" spans="1:43" x14ac:dyDescent="0.25">
      <c r="A713" t="str">
        <f t="shared" si="139"/>
        <v>Doctorant,T00391</v>
      </c>
      <c r="B713" t="str">
        <f>"MAISSORO MALAM IDI"</f>
        <v>MAISSORO MALAM IDI</v>
      </c>
      <c r="C713" t="str">
        <f>"Elhadji Hassan"</f>
        <v>Elhadji Hassan</v>
      </c>
      <c r="D713" t="str">
        <f>"019-1499"</f>
        <v>019-1499</v>
      </c>
      <c r="E713" t="str">
        <f>"07JZ4U000E4"</f>
        <v>07JZ4U000E4</v>
      </c>
      <c r="F713" t="str">
        <f t="shared" si="137"/>
        <v>0352480F</v>
      </c>
      <c r="G713" t="str">
        <f t="shared" si="138"/>
        <v>O</v>
      </c>
      <c r="H713">
        <v>10</v>
      </c>
      <c r="I713">
        <v>1995</v>
      </c>
      <c r="J713">
        <v>1</v>
      </c>
      <c r="K713">
        <v>31</v>
      </c>
      <c r="L713">
        <v>0</v>
      </c>
      <c r="M713">
        <v>2015</v>
      </c>
      <c r="N713" t="str">
        <f>"E"</f>
        <v>E</v>
      </c>
      <c r="O713">
        <v>2</v>
      </c>
      <c r="P713">
        <v>0</v>
      </c>
      <c r="Q713">
        <v>337</v>
      </c>
      <c r="R713">
        <v>100</v>
      </c>
      <c r="S713">
        <v>91300</v>
      </c>
      <c r="T713">
        <v>100</v>
      </c>
      <c r="U713">
        <v>91300</v>
      </c>
      <c r="V713" t="str">
        <f>"Score TOEIC passé à l'ENSAI  le 17/02/2021 : 805"</f>
        <v>Score TOEIC passé à l'ENSAI  le 17/02/2021 : 805</v>
      </c>
      <c r="W713">
        <v>38</v>
      </c>
      <c r="X713">
        <v>0</v>
      </c>
      <c r="Y713">
        <v>6000577</v>
      </c>
      <c r="Z713" t="str">
        <f>""</f>
        <v/>
      </c>
      <c r="AA713">
        <v>27</v>
      </c>
      <c r="AB713" t="str">
        <f>""</f>
        <v/>
      </c>
      <c r="AC713" t="str">
        <f>""</f>
        <v/>
      </c>
      <c r="AD713" t="str">
        <f>""</f>
        <v/>
      </c>
      <c r="AE713">
        <v>2019</v>
      </c>
      <c r="AF713">
        <v>2019</v>
      </c>
      <c r="AG713" t="str">
        <f>"MASSY"</f>
        <v>MASSY</v>
      </c>
      <c r="AH713" t="str">
        <f>"MASSY"</f>
        <v>MASSY</v>
      </c>
      <c r="AI713" t="str">
        <f>""</f>
        <v/>
      </c>
      <c r="AJ713" t="str">
        <f>""</f>
        <v/>
      </c>
      <c r="AK713" t="str">
        <f>""</f>
        <v/>
      </c>
      <c r="AL713">
        <v>42</v>
      </c>
      <c r="AM713" t="str">
        <f>""</f>
        <v/>
      </c>
      <c r="AN713" t="str">
        <f>""</f>
        <v/>
      </c>
      <c r="AO713" t="str">
        <f>"LYCEE D'EXCELLENCE DE NIAMEY"</f>
        <v>LYCEE D'EXCELLENCE DE NIAMEY</v>
      </c>
      <c r="AP713" t="str">
        <f>"NIAMEY"</f>
        <v>NIAMEY</v>
      </c>
      <c r="AQ713" t="str">
        <f>"Etranger"</f>
        <v>Etranger</v>
      </c>
    </row>
    <row r="714" spans="1:43" x14ac:dyDescent="0.25">
      <c r="A714" t="str">
        <f t="shared" si="139"/>
        <v>Doctorant,T00391</v>
      </c>
      <c r="B714" t="str">
        <f>"MASTRILLI"</f>
        <v>MASTRILLI</v>
      </c>
      <c r="C714" t="str">
        <f>"Gabriel"</f>
        <v>Gabriel</v>
      </c>
      <c r="D714" t="str">
        <f>"0-2535"</f>
        <v>0-2535</v>
      </c>
      <c r="E714" t="str">
        <f>"2814902330W"</f>
        <v>2814902330W</v>
      </c>
      <c r="F714" t="str">
        <f t="shared" si="137"/>
        <v>0352480F</v>
      </c>
      <c r="G714" t="str">
        <f t="shared" si="138"/>
        <v>O</v>
      </c>
      <c r="H714">
        <v>10</v>
      </c>
      <c r="I714">
        <v>1998</v>
      </c>
      <c r="J714">
        <v>1</v>
      </c>
      <c r="K714" t="str">
        <f>"S"</f>
        <v>S</v>
      </c>
      <c r="L714">
        <v>28</v>
      </c>
      <c r="M714">
        <v>2015</v>
      </c>
      <c r="N714" t="str">
        <f>"E"</f>
        <v>E</v>
      </c>
      <c r="O714" t="str">
        <f>"R"</f>
        <v>R</v>
      </c>
      <c r="P714">
        <v>0</v>
      </c>
      <c r="Q714">
        <v>100</v>
      </c>
      <c r="R714">
        <v>100</v>
      </c>
      <c r="S714">
        <v>35700</v>
      </c>
      <c r="T714">
        <v>100</v>
      </c>
      <c r="U714">
        <v>35700</v>
      </c>
      <c r="V714" t="str">
        <f>""</f>
        <v/>
      </c>
      <c r="W714">
        <v>31</v>
      </c>
      <c r="X714">
        <v>0</v>
      </c>
      <c r="Y714">
        <v>6000577</v>
      </c>
      <c r="Z714" t="str">
        <f>""</f>
        <v/>
      </c>
      <c r="AA714">
        <v>27</v>
      </c>
      <c r="AB714" t="str">
        <f>""</f>
        <v/>
      </c>
      <c r="AC714" t="str">
        <f>""</f>
        <v/>
      </c>
      <c r="AD714" t="str">
        <f>""</f>
        <v/>
      </c>
      <c r="AE714">
        <v>2015</v>
      </c>
      <c r="AF714" t="str">
        <f>""</f>
        <v/>
      </c>
      <c r="AG714" t="str">
        <f>"Rennes"</f>
        <v>Rennes</v>
      </c>
      <c r="AH714" t="str">
        <f>"Rennes"</f>
        <v>Rennes</v>
      </c>
      <c r="AI714" t="str">
        <f>""</f>
        <v/>
      </c>
      <c r="AJ714" t="str">
        <f>""</f>
        <v/>
      </c>
      <c r="AK714" t="str">
        <f>""</f>
        <v/>
      </c>
      <c r="AL714">
        <v>99</v>
      </c>
      <c r="AM714" t="str">
        <f>""</f>
        <v/>
      </c>
      <c r="AN714" t="str">
        <f>""</f>
        <v/>
      </c>
      <c r="AO714" t="str">
        <f>"Jean Joly"</f>
        <v>Jean Joly</v>
      </c>
      <c r="AP714" t="str">
        <f>"LA RIVIÈRE ST LOUIS"</f>
        <v>LA RIVIÈRE ST LOUIS</v>
      </c>
      <c r="AQ714" t="str">
        <f>"La Réunion"</f>
        <v>La Réunion</v>
      </c>
    </row>
    <row r="715" spans="1:43" x14ac:dyDescent="0.25">
      <c r="A715" t="str">
        <f t="shared" si="139"/>
        <v>Doctorant,T00391</v>
      </c>
      <c r="B715" t="str">
        <f>"RUBIN"</f>
        <v>RUBIN</v>
      </c>
      <c r="C715" t="str">
        <f>"Jean"</f>
        <v>Jean</v>
      </c>
      <c r="D715" t="str">
        <f>"022-2347"</f>
        <v>022-2347</v>
      </c>
      <c r="E715" t="str">
        <f>"0808020050N"</f>
        <v>0808020050N</v>
      </c>
      <c r="F715" t="str">
        <f t="shared" si="137"/>
        <v>0352480F</v>
      </c>
      <c r="G715" t="str">
        <f t="shared" si="138"/>
        <v>O</v>
      </c>
      <c r="H715">
        <v>10</v>
      </c>
      <c r="I715">
        <v>1998</v>
      </c>
      <c r="J715">
        <v>1</v>
      </c>
      <c r="K715" t="str">
        <f>"S"</f>
        <v>S</v>
      </c>
      <c r="L715">
        <v>8</v>
      </c>
      <c r="M715">
        <v>2015</v>
      </c>
      <c r="N715" t="str">
        <f>"E"</f>
        <v>E</v>
      </c>
      <c r="O715" t="str">
        <f>"E"</f>
        <v>E</v>
      </c>
      <c r="P715">
        <v>0</v>
      </c>
      <c r="Q715">
        <v>100</v>
      </c>
      <c r="R715">
        <v>100</v>
      </c>
      <c r="S715">
        <v>92120</v>
      </c>
      <c r="T715">
        <v>100</v>
      </c>
      <c r="U715">
        <v>92120</v>
      </c>
      <c r="V715" t="str">
        <f>""</f>
        <v/>
      </c>
      <c r="W715">
        <v>0</v>
      </c>
      <c r="X715">
        <v>0</v>
      </c>
      <c r="Y715">
        <v>6000577</v>
      </c>
      <c r="Z715" t="str">
        <f>""</f>
        <v/>
      </c>
      <c r="AA715">
        <v>27</v>
      </c>
      <c r="AB715" t="str">
        <f>""</f>
        <v/>
      </c>
      <c r="AC715" t="str">
        <f>""</f>
        <v/>
      </c>
      <c r="AD715" t="str">
        <f>""</f>
        <v/>
      </c>
      <c r="AE715">
        <v>2017</v>
      </c>
      <c r="AF715">
        <v>2022</v>
      </c>
      <c r="AG715" t="str">
        <f>"MONTROUGE"</f>
        <v>MONTROUGE</v>
      </c>
      <c r="AH715" t="str">
        <f>"MONTROUGE"</f>
        <v>MONTROUGE</v>
      </c>
      <c r="AI715" t="str">
        <f>""</f>
        <v/>
      </c>
      <c r="AJ715" t="str">
        <f>""</f>
        <v/>
      </c>
      <c r="AK715" t="str">
        <f>""</f>
        <v/>
      </c>
      <c r="AL715">
        <v>38</v>
      </c>
      <c r="AM715" t="str">
        <f>""</f>
        <v/>
      </c>
      <c r="AN715" t="str">
        <f>""</f>
        <v/>
      </c>
      <c r="AO715" t="str">
        <f>"Lycée Vaugelas"</f>
        <v>Lycée Vaugelas</v>
      </c>
      <c r="AP715" t="str">
        <f>"CHAMBÉRY"</f>
        <v>CHAMBÉRY</v>
      </c>
      <c r="AQ715" t="str">
        <f>"Grenoble"</f>
        <v>Grenoble</v>
      </c>
    </row>
    <row r="716" spans="1:43" x14ac:dyDescent="0.25">
      <c r="A716" t="str">
        <f t="shared" si="139"/>
        <v>Doctorant,T00391</v>
      </c>
      <c r="B716" t="str">
        <f>"VIEL"</f>
        <v>VIEL</v>
      </c>
      <c r="C716" t="str">
        <f>"Simon"</f>
        <v>Simon</v>
      </c>
      <c r="D716" t="str">
        <f>"024-2839"</f>
        <v>024-2839</v>
      </c>
      <c r="E716" t="str">
        <f>"061273425CA"</f>
        <v>061273425CA</v>
      </c>
      <c r="F716" t="str">
        <f t="shared" si="137"/>
        <v>0352480F</v>
      </c>
      <c r="G716" t="str">
        <f t="shared" si="138"/>
        <v>O</v>
      </c>
      <c r="H716">
        <v>10</v>
      </c>
      <c r="I716">
        <v>2001</v>
      </c>
      <c r="J716">
        <v>1</v>
      </c>
      <c r="K716" t="str">
        <f>"S"</f>
        <v>S</v>
      </c>
      <c r="L716">
        <v>5</v>
      </c>
      <c r="M716">
        <v>2018</v>
      </c>
      <c r="N716" t="str">
        <f>"K"</f>
        <v>K</v>
      </c>
      <c r="O716" t="str">
        <f>"R"</f>
        <v>R</v>
      </c>
      <c r="P716">
        <v>0</v>
      </c>
      <c r="Q716">
        <v>100</v>
      </c>
      <c r="R716">
        <v>100</v>
      </c>
      <c r="S716">
        <v>35170</v>
      </c>
      <c r="T716">
        <v>100</v>
      </c>
      <c r="U716">
        <v>35170</v>
      </c>
      <c r="V716" t="str">
        <f>""</f>
        <v/>
      </c>
      <c r="W716">
        <v>54</v>
      </c>
      <c r="X716">
        <v>0</v>
      </c>
      <c r="Y716">
        <v>6000577</v>
      </c>
      <c r="Z716" t="str">
        <f>""</f>
        <v/>
      </c>
      <c r="AA716">
        <v>27</v>
      </c>
      <c r="AB716" t="str">
        <f>""</f>
        <v/>
      </c>
      <c r="AC716" t="str">
        <f>""</f>
        <v/>
      </c>
      <c r="AD716" t="str">
        <f>""</f>
        <v/>
      </c>
      <c r="AE716">
        <v>2018</v>
      </c>
      <c r="AF716">
        <v>2024</v>
      </c>
      <c r="AG716" t="str">
        <f>"Bruz"</f>
        <v>Bruz</v>
      </c>
      <c r="AH716" t="str">
        <f>"Bruz"</f>
        <v>Bruz</v>
      </c>
      <c r="AI716" t="str">
        <f>""</f>
        <v/>
      </c>
      <c r="AJ716" t="str">
        <f>""</f>
        <v/>
      </c>
      <c r="AK716" t="str">
        <f>""</f>
        <v/>
      </c>
      <c r="AL716">
        <v>37</v>
      </c>
      <c r="AM716" t="str">
        <f>""</f>
        <v/>
      </c>
      <c r="AN716" t="str">
        <f>""</f>
        <v/>
      </c>
      <c r="AO716" t="str">
        <f>"Lycée Henri Cornat"</f>
        <v>Lycée Henri Cornat</v>
      </c>
      <c r="AP716" t="str">
        <f>"VALOGNES"</f>
        <v>VALOGNES</v>
      </c>
      <c r="AQ716" t="str">
        <f>"Caen"</f>
        <v>Caen</v>
      </c>
    </row>
    <row r="717" spans="1:43" x14ac:dyDescent="0.25">
      <c r="A717" t="str">
        <f t="shared" si="139"/>
        <v>Doctorant,T00391</v>
      </c>
      <c r="B717" t="str">
        <f>"WANG GUANG WEI"</f>
        <v>WANG GUANG WEI</v>
      </c>
      <c r="C717" t="str">
        <f>"Sunny"</f>
        <v>Sunny</v>
      </c>
      <c r="D717" t="str">
        <f>"021-2098"</f>
        <v>021-2098</v>
      </c>
      <c r="E717" t="str">
        <f>"06O9IS00JX7"</f>
        <v>06O9IS00JX7</v>
      </c>
      <c r="F717" t="str">
        <f t="shared" si="137"/>
        <v>0352480F</v>
      </c>
      <c r="G717" t="str">
        <f t="shared" si="138"/>
        <v>O</v>
      </c>
      <c r="H717">
        <v>10</v>
      </c>
      <c r="I717">
        <v>1993</v>
      </c>
      <c r="J717">
        <v>1</v>
      </c>
      <c r="K717">
        <v>31</v>
      </c>
      <c r="L717">
        <v>0</v>
      </c>
      <c r="M717">
        <v>2011</v>
      </c>
      <c r="N717" t="str">
        <f t="shared" ref="N717:N723" si="141">"E"</f>
        <v>E</v>
      </c>
      <c r="O717" t="str">
        <f>"Y"</f>
        <v>Y</v>
      </c>
      <c r="P717">
        <v>0</v>
      </c>
      <c r="Q717">
        <v>226</v>
      </c>
      <c r="R717">
        <v>100</v>
      </c>
      <c r="S717">
        <v>35000</v>
      </c>
      <c r="T717">
        <v>100</v>
      </c>
      <c r="U717">
        <v>35000</v>
      </c>
      <c r="V717" t="str">
        <f>""</f>
        <v/>
      </c>
      <c r="W717">
        <v>0</v>
      </c>
      <c r="X717">
        <v>0</v>
      </c>
      <c r="Y717">
        <v>6000577</v>
      </c>
      <c r="Z717" t="str">
        <f>""</f>
        <v/>
      </c>
      <c r="AA717">
        <v>27</v>
      </c>
      <c r="AB717" t="str">
        <f>""</f>
        <v/>
      </c>
      <c r="AC717" t="str">
        <f>""</f>
        <v/>
      </c>
      <c r="AD717" t="str">
        <f>""</f>
        <v/>
      </c>
      <c r="AE717">
        <v>2019</v>
      </c>
      <c r="AF717">
        <v>2021</v>
      </c>
      <c r="AG717" t="str">
        <f>"Rennes"</f>
        <v>Rennes</v>
      </c>
      <c r="AH717" t="str">
        <f>"Rennes"</f>
        <v>Rennes</v>
      </c>
      <c r="AI717" t="str">
        <f>""</f>
        <v/>
      </c>
      <c r="AJ717" t="str">
        <f>""</f>
        <v/>
      </c>
      <c r="AK717" t="str">
        <f>""</f>
        <v/>
      </c>
      <c r="AL717">
        <v>0</v>
      </c>
      <c r="AM717" t="str">
        <f>""</f>
        <v/>
      </c>
      <c r="AN717" t="str">
        <f>""</f>
        <v/>
      </c>
      <c r="AO717" t="str">
        <f>"Anglo Chinese Junior College"</f>
        <v>Anglo Chinese Junior College</v>
      </c>
      <c r="AP717" t="str">
        <f>""</f>
        <v/>
      </c>
      <c r="AQ717" t="str">
        <f>"Etranger"</f>
        <v>Etranger</v>
      </c>
    </row>
    <row r="718" spans="1:43" x14ac:dyDescent="0.25">
      <c r="A718" t="str">
        <f>"MS Datascience sortant,T00000"</f>
        <v>MS Datascience sortant,T00000</v>
      </c>
      <c r="B718" t="str">
        <f>"ADUAYOM MESSAN"</f>
        <v>ADUAYOM MESSAN</v>
      </c>
      <c r="C718" t="str">
        <f>"Messan Daniel"</f>
        <v>Messan Daniel</v>
      </c>
      <c r="D718" t="str">
        <f>"023-2480"</f>
        <v>023-2480</v>
      </c>
      <c r="E718" t="str">
        <f>"0HDZXU00682"</f>
        <v>0HDZXU00682</v>
      </c>
      <c r="F718" t="str">
        <f t="shared" si="137"/>
        <v>0352480F</v>
      </c>
      <c r="G718" t="str">
        <f t="shared" si="138"/>
        <v>O</v>
      </c>
      <c r="H718">
        <v>10</v>
      </c>
      <c r="I718">
        <v>2000</v>
      </c>
      <c r="J718">
        <v>1</v>
      </c>
      <c r="K718" t="str">
        <f>"S"</f>
        <v>S</v>
      </c>
      <c r="L718">
        <v>0</v>
      </c>
      <c r="M718">
        <v>2018</v>
      </c>
      <c r="N718" t="str">
        <f t="shared" si="141"/>
        <v>E</v>
      </c>
      <c r="O718" t="str">
        <f>"N"</f>
        <v>N</v>
      </c>
      <c r="P718">
        <v>0</v>
      </c>
      <c r="Q718">
        <v>345</v>
      </c>
      <c r="R718">
        <v>100</v>
      </c>
      <c r="S718">
        <v>35000</v>
      </c>
      <c r="T718">
        <v>100</v>
      </c>
      <c r="U718">
        <v>35000</v>
      </c>
      <c r="V718" t="str">
        <f>""</f>
        <v/>
      </c>
      <c r="W718">
        <v>47</v>
      </c>
      <c r="X718">
        <v>0</v>
      </c>
      <c r="Y718">
        <v>6000577</v>
      </c>
      <c r="Z718" t="str">
        <f>""</f>
        <v/>
      </c>
      <c r="AA718">
        <v>27</v>
      </c>
      <c r="AB718" t="str">
        <f>""</f>
        <v/>
      </c>
      <c r="AC718" t="str">
        <f>""</f>
        <v/>
      </c>
      <c r="AD718" t="str">
        <f>""</f>
        <v/>
      </c>
      <c r="AE718">
        <v>2020</v>
      </c>
      <c r="AF718">
        <v>2023</v>
      </c>
      <c r="AG718" t="str">
        <f>"Rennes"</f>
        <v>Rennes</v>
      </c>
      <c r="AH718" t="str">
        <f>"Rennes"</f>
        <v>Rennes</v>
      </c>
      <c r="AI718" t="str">
        <f>""</f>
        <v/>
      </c>
      <c r="AJ718" t="str">
        <f>""</f>
        <v/>
      </c>
      <c r="AK718" t="str">
        <f>""</f>
        <v/>
      </c>
      <c r="AL718">
        <v>22</v>
      </c>
      <c r="AM718" t="str">
        <f>""</f>
        <v/>
      </c>
      <c r="AN718" t="str">
        <f>""</f>
        <v/>
      </c>
      <c r="AO718" t="str">
        <f>"Collège et Lycée Notre Dame de la Trinité"</f>
        <v>Collège et Lycée Notre Dame de la Trinité</v>
      </c>
      <c r="AP718" t="str">
        <f>"LOMÉ"</f>
        <v>LOMÉ</v>
      </c>
      <c r="AQ718" t="str">
        <f>"Etranger"</f>
        <v>Etranger</v>
      </c>
    </row>
    <row r="719" spans="1:43" x14ac:dyDescent="0.25">
      <c r="A719" t="str">
        <f>"MS Datascience sortant,T00000"</f>
        <v>MS Datascience sortant,T00000</v>
      </c>
      <c r="B719" t="str">
        <f>"BAYARD"</f>
        <v>BAYARD</v>
      </c>
      <c r="C719" t="str">
        <f>"Davyd"</f>
        <v>Davyd</v>
      </c>
      <c r="D719" t="str">
        <f>"023-2559"</f>
        <v>023-2559</v>
      </c>
      <c r="E719" t="str">
        <f>"071424076DB"</f>
        <v>071424076DB</v>
      </c>
      <c r="F719" t="str">
        <f t="shared" si="137"/>
        <v>0352480F</v>
      </c>
      <c r="G719" t="str">
        <f t="shared" si="138"/>
        <v>O</v>
      </c>
      <c r="H719">
        <v>10</v>
      </c>
      <c r="I719">
        <v>2000</v>
      </c>
      <c r="J719">
        <v>1</v>
      </c>
      <c r="K719" t="str">
        <f>""</f>
        <v/>
      </c>
      <c r="L719" t="str">
        <f>""</f>
        <v/>
      </c>
      <c r="M719" t="str">
        <f>""</f>
        <v/>
      </c>
      <c r="N719" t="str">
        <f t="shared" si="141"/>
        <v>E</v>
      </c>
      <c r="O719" t="str">
        <f>""</f>
        <v/>
      </c>
      <c r="P719">
        <v>0</v>
      </c>
      <c r="Q719" t="str">
        <f>""</f>
        <v/>
      </c>
      <c r="R719">
        <v>100</v>
      </c>
      <c r="S719" t="str">
        <f>""</f>
        <v/>
      </c>
      <c r="T719">
        <v>100</v>
      </c>
      <c r="U719" t="str">
        <f>""</f>
        <v/>
      </c>
      <c r="V719" t="str">
        <f>""</f>
        <v/>
      </c>
      <c r="W719">
        <v>0</v>
      </c>
      <c r="X719">
        <v>0</v>
      </c>
      <c r="Y719">
        <v>6000577</v>
      </c>
      <c r="Z719" t="str">
        <f>""</f>
        <v/>
      </c>
      <c r="AA719">
        <v>27</v>
      </c>
      <c r="AB719" t="str">
        <f>""</f>
        <v/>
      </c>
      <c r="AC719" t="str">
        <f>""</f>
        <v/>
      </c>
      <c r="AD719" t="str">
        <f>""</f>
        <v/>
      </c>
      <c r="AE719" t="str">
        <f>""</f>
        <v/>
      </c>
      <c r="AF719">
        <v>2023</v>
      </c>
      <c r="AG719" t="str">
        <f>""</f>
        <v/>
      </c>
      <c r="AH719" t="str">
        <f>""</f>
        <v/>
      </c>
      <c r="AI719" t="str">
        <f>""</f>
        <v/>
      </c>
      <c r="AJ719" t="str">
        <f>""</f>
        <v/>
      </c>
      <c r="AK719" t="str">
        <f>""</f>
        <v/>
      </c>
      <c r="AL719">
        <v>0</v>
      </c>
      <c r="AM719" t="str">
        <f>""</f>
        <v/>
      </c>
      <c r="AN719" t="str">
        <f>""</f>
        <v/>
      </c>
      <c r="AO719" t="str">
        <f>""</f>
        <v/>
      </c>
      <c r="AP719" t="str">
        <f>""</f>
        <v/>
      </c>
      <c r="AQ719" t="str">
        <f>""</f>
        <v/>
      </c>
    </row>
    <row r="720" spans="1:43" x14ac:dyDescent="0.25">
      <c r="A720" t="str">
        <f>"MS Datascience sortant,T00000"</f>
        <v>MS Datascience sortant,T00000</v>
      </c>
      <c r="B720" t="str">
        <f>"DIAKITE"</f>
        <v>DIAKITE</v>
      </c>
      <c r="C720" t="str">
        <f>"Gaoussou"</f>
        <v>Gaoussou</v>
      </c>
      <c r="D720" t="str">
        <f>"023-2565"</f>
        <v>023-2565</v>
      </c>
      <c r="E720" t="str">
        <f>"0K65ZT02IY4"</f>
        <v>0K65ZT02IY4</v>
      </c>
      <c r="F720" t="str">
        <f t="shared" si="137"/>
        <v>0352480F</v>
      </c>
      <c r="G720" t="str">
        <f t="shared" si="138"/>
        <v>O</v>
      </c>
      <c r="H720">
        <v>10</v>
      </c>
      <c r="I720">
        <v>2000</v>
      </c>
      <c r="J720">
        <v>1</v>
      </c>
      <c r="K720" t="str">
        <f>"STG"</f>
        <v>STG</v>
      </c>
      <c r="L720">
        <v>0</v>
      </c>
      <c r="M720">
        <v>2017</v>
      </c>
      <c r="N720" t="str">
        <f t="shared" si="141"/>
        <v>E</v>
      </c>
      <c r="O720" t="str">
        <f>"U"</f>
        <v>U</v>
      </c>
      <c r="P720">
        <v>0</v>
      </c>
      <c r="Q720">
        <v>335</v>
      </c>
      <c r="R720">
        <v>100</v>
      </c>
      <c r="S720">
        <v>93360</v>
      </c>
      <c r="T720">
        <v>100</v>
      </c>
      <c r="U720">
        <v>93360</v>
      </c>
      <c r="V720" t="str">
        <f>""</f>
        <v/>
      </c>
      <c r="W720">
        <v>0</v>
      </c>
      <c r="X720">
        <v>0</v>
      </c>
      <c r="Y720">
        <v>6000577</v>
      </c>
      <c r="Z720" t="str">
        <f>""</f>
        <v/>
      </c>
      <c r="AA720">
        <v>27</v>
      </c>
      <c r="AB720" t="str">
        <f>""</f>
        <v/>
      </c>
      <c r="AC720" t="str">
        <f>""</f>
        <v/>
      </c>
      <c r="AD720" t="str">
        <f>""</f>
        <v/>
      </c>
      <c r="AE720">
        <v>2018</v>
      </c>
      <c r="AF720">
        <v>2023</v>
      </c>
      <c r="AG720" t="str">
        <f>"NEUILLY PLAISANCE"</f>
        <v>NEUILLY PLAISANCE</v>
      </c>
      <c r="AH720" t="str">
        <f>"NEUILLY PLAISANCE"</f>
        <v>NEUILLY PLAISANCE</v>
      </c>
      <c r="AI720" t="str">
        <f>""</f>
        <v/>
      </c>
      <c r="AJ720" t="str">
        <f>""</f>
        <v/>
      </c>
      <c r="AK720" t="str">
        <f>""</f>
        <v/>
      </c>
      <c r="AL720">
        <v>0</v>
      </c>
      <c r="AM720" t="str">
        <f>""</f>
        <v/>
      </c>
      <c r="AN720" t="str">
        <f>""</f>
        <v/>
      </c>
      <c r="AO720" t="str">
        <f>"Lycée Technique"</f>
        <v>Lycée Technique</v>
      </c>
      <c r="AP720" t="str">
        <f>"BAMAKO"</f>
        <v>BAMAKO</v>
      </c>
      <c r="AQ720" t="str">
        <f>"Etranger"</f>
        <v>Etranger</v>
      </c>
    </row>
    <row r="721" spans="1:43" x14ac:dyDescent="0.25">
      <c r="A721" t="str">
        <f>"MS Datascience sortant,T00000"</f>
        <v>MS Datascience sortant,T00000</v>
      </c>
      <c r="B721" t="str">
        <f>"POIRIER"</f>
        <v>POIRIER</v>
      </c>
      <c r="C721" t="str">
        <f>"Guillaume"</f>
        <v>Guillaume</v>
      </c>
      <c r="D721" t="str">
        <f>"023-2479"</f>
        <v>023-2479</v>
      </c>
      <c r="E721" t="str">
        <f>"1307016662K"</f>
        <v>1307016662K</v>
      </c>
      <c r="F721" t="str">
        <f t="shared" si="137"/>
        <v>0352480F</v>
      </c>
      <c r="G721" t="str">
        <f t="shared" si="138"/>
        <v>O</v>
      </c>
      <c r="H721">
        <v>10</v>
      </c>
      <c r="I721">
        <v>1996</v>
      </c>
      <c r="J721">
        <v>1</v>
      </c>
      <c r="K721" t="str">
        <f>"S"</f>
        <v>S</v>
      </c>
      <c r="L721">
        <v>13</v>
      </c>
      <c r="M721">
        <v>2014</v>
      </c>
      <c r="N721" t="str">
        <f t="shared" si="141"/>
        <v>E</v>
      </c>
      <c r="O721" t="str">
        <f>"E"</f>
        <v>E</v>
      </c>
      <c r="P721">
        <v>0</v>
      </c>
      <c r="Q721">
        <v>100</v>
      </c>
      <c r="R721">
        <v>100</v>
      </c>
      <c r="S721">
        <v>17800</v>
      </c>
      <c r="T721">
        <v>100</v>
      </c>
      <c r="U721">
        <v>17800</v>
      </c>
      <c r="V721" t="str">
        <f>""</f>
        <v/>
      </c>
      <c r="W721">
        <v>52</v>
      </c>
      <c r="X721">
        <v>0</v>
      </c>
      <c r="Y721">
        <v>6000577</v>
      </c>
      <c r="Z721" t="str">
        <f>""</f>
        <v/>
      </c>
      <c r="AA721">
        <v>27</v>
      </c>
      <c r="AB721" t="str">
        <f>""</f>
        <v/>
      </c>
      <c r="AC721" t="str">
        <f>""</f>
        <v/>
      </c>
      <c r="AD721" t="str">
        <f>""</f>
        <v/>
      </c>
      <c r="AE721">
        <v>2014</v>
      </c>
      <c r="AF721">
        <v>2023</v>
      </c>
      <c r="AG721" t="str">
        <f>"Marignac"</f>
        <v>Marignac</v>
      </c>
      <c r="AH721" t="str">
        <f>"Marignac"</f>
        <v>Marignac</v>
      </c>
      <c r="AI721" t="str">
        <f>""</f>
        <v/>
      </c>
      <c r="AJ721" t="str">
        <f>""</f>
        <v/>
      </c>
      <c r="AK721" t="str">
        <f>""</f>
        <v/>
      </c>
      <c r="AL721">
        <v>21</v>
      </c>
      <c r="AM721" t="str">
        <f>""</f>
        <v/>
      </c>
      <c r="AN721" t="str">
        <f>""</f>
        <v/>
      </c>
      <c r="AO721" t="str">
        <f>"Lycée Emile Combes"</f>
        <v>Lycée Emile Combes</v>
      </c>
      <c r="AP721" t="str">
        <f>"PONS"</f>
        <v>PONS</v>
      </c>
      <c r="AQ721" t="str">
        <f>"Poitiers"</f>
        <v>Poitiers</v>
      </c>
    </row>
    <row r="722" spans="1:43" x14ac:dyDescent="0.25">
      <c r="A722" t="str">
        <f>"MS Datascience sortant,T00000"</f>
        <v>MS Datascience sortant,T00000</v>
      </c>
      <c r="B722" t="str">
        <f>"SADIO"</f>
        <v>SADIO</v>
      </c>
      <c r="C722" t="str">
        <f>"Ndeye Salimata"</f>
        <v>Ndeye Salimata</v>
      </c>
      <c r="D722" t="str">
        <f>"023-2516"</f>
        <v>023-2516</v>
      </c>
      <c r="E722" t="str">
        <f>"0GC96V004R5"</f>
        <v>0GC96V004R5</v>
      </c>
      <c r="F722" t="str">
        <f t="shared" si="137"/>
        <v>0352480F</v>
      </c>
      <c r="G722" t="str">
        <f t="shared" si="138"/>
        <v>O</v>
      </c>
      <c r="H722">
        <v>10</v>
      </c>
      <c r="I722">
        <v>1999</v>
      </c>
      <c r="J722">
        <v>2</v>
      </c>
      <c r="K722">
        <v>31</v>
      </c>
      <c r="L722">
        <v>0</v>
      </c>
      <c r="M722">
        <v>2018</v>
      </c>
      <c r="N722" t="str">
        <f t="shared" si="141"/>
        <v>E</v>
      </c>
      <c r="O722" t="str">
        <f>"E"</f>
        <v>E</v>
      </c>
      <c r="P722">
        <v>0</v>
      </c>
      <c r="Q722">
        <v>341</v>
      </c>
      <c r="R722">
        <v>100</v>
      </c>
      <c r="S722">
        <v>35170</v>
      </c>
      <c r="T722">
        <v>100</v>
      </c>
      <c r="U722">
        <v>35170</v>
      </c>
      <c r="V722" t="str">
        <f>""</f>
        <v/>
      </c>
      <c r="W722">
        <v>0</v>
      </c>
      <c r="X722">
        <v>0</v>
      </c>
      <c r="Y722">
        <v>6000577</v>
      </c>
      <c r="Z722" t="str">
        <f>""</f>
        <v/>
      </c>
      <c r="AA722">
        <v>27</v>
      </c>
      <c r="AB722" t="str">
        <f>""</f>
        <v/>
      </c>
      <c r="AC722" t="str">
        <f>""</f>
        <v/>
      </c>
      <c r="AD722" t="str">
        <f>""</f>
        <v/>
      </c>
      <c r="AE722">
        <v>2020</v>
      </c>
      <c r="AF722">
        <v>2023</v>
      </c>
      <c r="AG722" t="str">
        <f>"Bruz"</f>
        <v>Bruz</v>
      </c>
      <c r="AH722" t="str">
        <f>"Bruz"</f>
        <v>Bruz</v>
      </c>
      <c r="AI722" t="str">
        <f>""</f>
        <v/>
      </c>
      <c r="AJ722" t="str">
        <f>""</f>
        <v/>
      </c>
      <c r="AK722" t="str">
        <f>""</f>
        <v/>
      </c>
      <c r="AL722">
        <v>0</v>
      </c>
      <c r="AM722" t="str">
        <f>""</f>
        <v/>
      </c>
      <c r="AN722" t="str">
        <f>""</f>
        <v/>
      </c>
      <c r="AO722" t="str">
        <f>""</f>
        <v/>
      </c>
      <c r="AP722" t="str">
        <f>""</f>
        <v/>
      </c>
      <c r="AQ722" t="str">
        <f>"Etranger"</f>
        <v>Etranger</v>
      </c>
    </row>
    <row r="723" spans="1:43" x14ac:dyDescent="0.25">
      <c r="A723" t="str">
        <f t="shared" ref="A723:A730" si="142">"MS Datascience,T00000"</f>
        <v>MS Datascience,T00000</v>
      </c>
      <c r="B723" t="str">
        <f>"AMOUSSOU"</f>
        <v>AMOUSSOU</v>
      </c>
      <c r="C723" t="str">
        <f>"Lola"</f>
        <v>Lola</v>
      </c>
      <c r="D723" t="str">
        <f>"024-2790"</f>
        <v>024-2790</v>
      </c>
      <c r="E723" t="str">
        <f>"081111520HE"</f>
        <v>081111520HE</v>
      </c>
      <c r="F723" t="str">
        <f t="shared" si="137"/>
        <v>0352480F</v>
      </c>
      <c r="G723" t="str">
        <f t="shared" si="138"/>
        <v>O</v>
      </c>
      <c r="H723">
        <v>10</v>
      </c>
      <c r="I723">
        <v>2001</v>
      </c>
      <c r="J723">
        <v>2</v>
      </c>
      <c r="K723" t="str">
        <f>"S"</f>
        <v>S</v>
      </c>
      <c r="L723">
        <v>25</v>
      </c>
      <c r="M723">
        <v>2019</v>
      </c>
      <c r="N723" t="str">
        <f t="shared" si="141"/>
        <v>E</v>
      </c>
      <c r="O723" t="str">
        <f>"U"</f>
        <v>U</v>
      </c>
      <c r="P723">
        <v>0</v>
      </c>
      <c r="Q723">
        <v>100</v>
      </c>
      <c r="R723">
        <v>100</v>
      </c>
      <c r="S723">
        <v>35170</v>
      </c>
      <c r="T723">
        <v>100</v>
      </c>
      <c r="U723">
        <v>35170</v>
      </c>
      <c r="V723" t="str">
        <f>""</f>
        <v/>
      </c>
      <c r="W723">
        <v>31</v>
      </c>
      <c r="X723">
        <v>0</v>
      </c>
      <c r="Y723">
        <v>6000577</v>
      </c>
      <c r="Z723" t="str">
        <f>""</f>
        <v/>
      </c>
      <c r="AA723">
        <v>27</v>
      </c>
      <c r="AB723" t="str">
        <f>""</f>
        <v/>
      </c>
      <c r="AC723" t="str">
        <f>""</f>
        <v/>
      </c>
      <c r="AD723" t="str">
        <f>""</f>
        <v/>
      </c>
      <c r="AE723">
        <v>2019</v>
      </c>
      <c r="AF723">
        <v>2024</v>
      </c>
      <c r="AG723" t="str">
        <f>"Bruz"</f>
        <v>Bruz</v>
      </c>
      <c r="AH723" t="str">
        <f>"Bruz"</f>
        <v>Bruz</v>
      </c>
      <c r="AI723" t="str">
        <f>""</f>
        <v/>
      </c>
      <c r="AJ723" t="str">
        <f>""</f>
        <v/>
      </c>
      <c r="AK723" t="str">
        <f>""</f>
        <v/>
      </c>
      <c r="AL723">
        <v>47</v>
      </c>
      <c r="AM723" t="str">
        <f>""</f>
        <v/>
      </c>
      <c r="AN723" t="str">
        <f>""</f>
        <v/>
      </c>
      <c r="AO723" t="str">
        <f>"Viollet-le-Duc"</f>
        <v>Viollet-le-Duc</v>
      </c>
      <c r="AP723" t="str">
        <f>"VILLIERS-SAINT-FRÉDÉRIC"</f>
        <v>VILLIERS-SAINT-FRÉDÉRIC</v>
      </c>
      <c r="AQ723" t="str">
        <f>"Versailles"</f>
        <v>Versailles</v>
      </c>
    </row>
    <row r="724" spans="1:43" x14ac:dyDescent="0.25">
      <c r="A724" t="str">
        <f t="shared" si="142"/>
        <v>MS Datascience,T00000</v>
      </c>
      <c r="B724" t="str">
        <f>"FEUDJIO NGOUANET"</f>
        <v>FEUDJIO NGOUANET</v>
      </c>
      <c r="C724" t="str">
        <f>"Valdes botel"</f>
        <v>Valdes botel</v>
      </c>
      <c r="D724" t="str">
        <f>"024-2791"</f>
        <v>024-2791</v>
      </c>
      <c r="E724" t="str">
        <f>"223355626GG"</f>
        <v>223355626GG</v>
      </c>
      <c r="F724" t="str">
        <f t="shared" si="137"/>
        <v>0352480F</v>
      </c>
      <c r="G724" t="str">
        <f t="shared" si="138"/>
        <v>O</v>
      </c>
      <c r="H724">
        <v>10</v>
      </c>
      <c r="I724">
        <v>1997</v>
      </c>
      <c r="J724">
        <v>1</v>
      </c>
      <c r="K724" t="str">
        <f>"S"</f>
        <v>S</v>
      </c>
      <c r="L724" t="str">
        <f>""</f>
        <v/>
      </c>
      <c r="M724">
        <v>2015</v>
      </c>
      <c r="N724" t="str">
        <f>"S"</f>
        <v>S</v>
      </c>
      <c r="O724" t="str">
        <f>"Y"</f>
        <v>Y</v>
      </c>
      <c r="P724">
        <v>0</v>
      </c>
      <c r="Q724">
        <v>322</v>
      </c>
      <c r="R724">
        <v>100</v>
      </c>
      <c r="S724">
        <v>78200</v>
      </c>
      <c r="T724">
        <v>100</v>
      </c>
      <c r="U724">
        <v>78200</v>
      </c>
      <c r="V724" t="str">
        <f>""</f>
        <v/>
      </c>
      <c r="W724">
        <v>0</v>
      </c>
      <c r="X724">
        <v>0</v>
      </c>
      <c r="Y724">
        <v>6000577</v>
      </c>
      <c r="Z724" t="str">
        <f>""</f>
        <v/>
      </c>
      <c r="AA724">
        <v>27</v>
      </c>
      <c r="AB724" t="str">
        <f>""</f>
        <v/>
      </c>
      <c r="AC724" t="str">
        <f>""</f>
        <v/>
      </c>
      <c r="AD724" t="str">
        <f>""</f>
        <v/>
      </c>
      <c r="AE724">
        <v>2023</v>
      </c>
      <c r="AF724">
        <v>2024</v>
      </c>
      <c r="AG724" t="str">
        <f>"Mantes-la-jolie"</f>
        <v>Mantes-la-jolie</v>
      </c>
      <c r="AH724" t="str">
        <f>"Mantes-la-jolie"</f>
        <v>Mantes-la-jolie</v>
      </c>
      <c r="AI724" t="str">
        <f>""</f>
        <v/>
      </c>
      <c r="AJ724" t="str">
        <f>""</f>
        <v/>
      </c>
      <c r="AK724" t="str">
        <f>""</f>
        <v/>
      </c>
      <c r="AL724">
        <v>0</v>
      </c>
      <c r="AM724" t="str">
        <f>""</f>
        <v/>
      </c>
      <c r="AN724" t="str">
        <f>""</f>
        <v/>
      </c>
      <c r="AO724" t="str">
        <f>"Lycée bilingue de Bertoua"</f>
        <v>Lycée bilingue de Bertoua</v>
      </c>
      <c r="AP724" t="str">
        <f>"BERTOUA"</f>
        <v>BERTOUA</v>
      </c>
      <c r="AQ724" t="str">
        <f>""</f>
        <v/>
      </c>
    </row>
    <row r="725" spans="1:43" x14ac:dyDescent="0.25">
      <c r="A725" t="str">
        <f t="shared" si="142"/>
        <v>MS Datascience,T00000</v>
      </c>
      <c r="B725" t="str">
        <f>"MATHOR"</f>
        <v>MATHOR</v>
      </c>
      <c r="C725" t="str">
        <f>"Mehdi"</f>
        <v>Mehdi</v>
      </c>
      <c r="D725" t="str">
        <f>"024-2837"</f>
        <v>024-2837</v>
      </c>
      <c r="E725" t="str">
        <f>"213423804FJ"</f>
        <v>213423804FJ</v>
      </c>
      <c r="F725" t="str">
        <f t="shared" si="137"/>
        <v>0352480F</v>
      </c>
      <c r="G725" t="str">
        <f t="shared" si="138"/>
        <v>O</v>
      </c>
      <c r="H725">
        <v>10</v>
      </c>
      <c r="I725">
        <v>2001</v>
      </c>
      <c r="J725">
        <v>1</v>
      </c>
      <c r="K725" t="str">
        <f>""</f>
        <v/>
      </c>
      <c r="L725" t="str">
        <f>""</f>
        <v/>
      </c>
      <c r="M725" t="str">
        <f>""</f>
        <v/>
      </c>
      <c r="N725" t="str">
        <f>""</f>
        <v/>
      </c>
      <c r="O725" t="str">
        <f>""</f>
        <v/>
      </c>
      <c r="P725">
        <v>0</v>
      </c>
      <c r="Q725">
        <v>350</v>
      </c>
      <c r="R725">
        <v>100</v>
      </c>
      <c r="S725">
        <v>35011</v>
      </c>
      <c r="T725">
        <v>100</v>
      </c>
      <c r="U725">
        <v>35011</v>
      </c>
      <c r="V725" t="str">
        <f>""</f>
        <v/>
      </c>
      <c r="W725">
        <v>0</v>
      </c>
      <c r="X725">
        <v>0</v>
      </c>
      <c r="Y725">
        <v>6000577</v>
      </c>
      <c r="Z725" t="str">
        <f>""</f>
        <v/>
      </c>
      <c r="AA725">
        <v>27</v>
      </c>
      <c r="AB725" t="str">
        <f>""</f>
        <v/>
      </c>
      <c r="AC725" t="str">
        <f>""</f>
        <v/>
      </c>
      <c r="AD725" t="str">
        <f>""</f>
        <v/>
      </c>
      <c r="AE725" t="str">
        <f>""</f>
        <v/>
      </c>
      <c r="AF725">
        <v>2024</v>
      </c>
      <c r="AG725" t="str">
        <f>"Rennes"</f>
        <v>Rennes</v>
      </c>
      <c r="AH725" t="str">
        <f>"Rennes"</f>
        <v>Rennes</v>
      </c>
      <c r="AI725" t="str">
        <f>""</f>
        <v/>
      </c>
      <c r="AJ725" t="str">
        <f>""</f>
        <v/>
      </c>
      <c r="AK725" t="str">
        <f>""</f>
        <v/>
      </c>
      <c r="AL725">
        <v>0</v>
      </c>
      <c r="AM725" t="str">
        <f>""</f>
        <v/>
      </c>
      <c r="AN725" t="str">
        <f>""</f>
        <v/>
      </c>
      <c r="AO725" t="str">
        <f>""</f>
        <v/>
      </c>
      <c r="AP725" t="str">
        <f>""</f>
        <v/>
      </c>
      <c r="AQ725" t="str">
        <f>""</f>
        <v/>
      </c>
    </row>
    <row r="726" spans="1:43" x14ac:dyDescent="0.25">
      <c r="A726" t="str">
        <f t="shared" si="142"/>
        <v>MS Datascience,T00000</v>
      </c>
      <c r="B726" t="str">
        <f>"MEZUI ROTIMI"</f>
        <v>MEZUI ROTIMI</v>
      </c>
      <c r="C726" t="str">
        <f>"Prince"</f>
        <v>Prince</v>
      </c>
      <c r="D726" t="str">
        <f>"024-2810"</f>
        <v>024-2810</v>
      </c>
      <c r="E726" t="str">
        <f>"0E5LHT01WY8"</f>
        <v>0E5LHT01WY8</v>
      </c>
      <c r="F726" t="str">
        <f t="shared" si="137"/>
        <v>0352480F</v>
      </c>
      <c r="G726" t="str">
        <f t="shared" si="138"/>
        <v>O</v>
      </c>
      <c r="H726">
        <v>10</v>
      </c>
      <c r="I726">
        <v>2001</v>
      </c>
      <c r="J726">
        <v>1</v>
      </c>
      <c r="K726" t="str">
        <f>"S"</f>
        <v>S</v>
      </c>
      <c r="L726">
        <v>0</v>
      </c>
      <c r="M726">
        <v>2018</v>
      </c>
      <c r="N726" t="str">
        <f>"U"</f>
        <v>U</v>
      </c>
      <c r="O726" t="str">
        <f>"Q"</f>
        <v>Q</v>
      </c>
      <c r="P726">
        <v>0</v>
      </c>
      <c r="Q726">
        <v>100</v>
      </c>
      <c r="R726">
        <v>100</v>
      </c>
      <c r="S726" t="str">
        <f>""</f>
        <v/>
      </c>
      <c r="T726">
        <v>100</v>
      </c>
      <c r="U726" t="str">
        <f>""</f>
        <v/>
      </c>
      <c r="V726" t="str">
        <f>""</f>
        <v/>
      </c>
      <c r="W726">
        <v>23</v>
      </c>
      <c r="X726">
        <v>0</v>
      </c>
      <c r="Y726">
        <v>6000577</v>
      </c>
      <c r="Z726" t="str">
        <f>""</f>
        <v/>
      </c>
      <c r="AA726">
        <v>27</v>
      </c>
      <c r="AB726" t="str">
        <f>""</f>
        <v/>
      </c>
      <c r="AC726" t="str">
        <f>""</f>
        <v/>
      </c>
      <c r="AD726" t="str">
        <f>""</f>
        <v/>
      </c>
      <c r="AE726">
        <v>2018</v>
      </c>
      <c r="AF726">
        <v>2024</v>
      </c>
      <c r="AG726" t="str">
        <f>""</f>
        <v/>
      </c>
      <c r="AH726" t="str">
        <f>""</f>
        <v/>
      </c>
      <c r="AI726" t="str">
        <f>""</f>
        <v/>
      </c>
      <c r="AJ726" t="str">
        <f>""</f>
        <v/>
      </c>
      <c r="AK726" t="str">
        <f>""</f>
        <v/>
      </c>
      <c r="AL726">
        <v>37</v>
      </c>
      <c r="AM726" t="str">
        <f>""</f>
        <v/>
      </c>
      <c r="AN726" t="str">
        <f>""</f>
        <v/>
      </c>
      <c r="AO726" t="str">
        <f>"Institut Catholique Calasanz"</f>
        <v>Institut Catholique Calasanz</v>
      </c>
      <c r="AP726" t="str">
        <f>"LIBREVILLE"</f>
        <v>LIBREVILLE</v>
      </c>
      <c r="AQ726" t="str">
        <f>"Etranger"</f>
        <v>Etranger</v>
      </c>
    </row>
    <row r="727" spans="1:43" x14ac:dyDescent="0.25">
      <c r="A727" t="str">
        <f t="shared" si="142"/>
        <v>MS Datascience,T00000</v>
      </c>
      <c r="B727" t="str">
        <f>"SELSANE"</f>
        <v>SELSANE</v>
      </c>
      <c r="C727" t="str">
        <f>"Manel"</f>
        <v>Manel</v>
      </c>
      <c r="D727" t="str">
        <f>"024-2826"</f>
        <v>024-2826</v>
      </c>
      <c r="E727" t="str">
        <f>"2508072938M"</f>
        <v>2508072938M</v>
      </c>
      <c r="F727" t="str">
        <f t="shared" si="137"/>
        <v>0352480F</v>
      </c>
      <c r="G727" t="str">
        <f t="shared" si="138"/>
        <v>O</v>
      </c>
      <c r="H727">
        <v>10</v>
      </c>
      <c r="I727">
        <v>1997</v>
      </c>
      <c r="J727">
        <v>2</v>
      </c>
      <c r="K727" t="str">
        <f>"S"</f>
        <v>S</v>
      </c>
      <c r="L727">
        <v>25</v>
      </c>
      <c r="M727">
        <v>2015</v>
      </c>
      <c r="N727" t="str">
        <f>"U"</f>
        <v>U</v>
      </c>
      <c r="O727" t="str">
        <f>"U"</f>
        <v>U</v>
      </c>
      <c r="P727">
        <v>0</v>
      </c>
      <c r="Q727">
        <v>100</v>
      </c>
      <c r="R727">
        <v>100</v>
      </c>
      <c r="S727">
        <v>95190</v>
      </c>
      <c r="T727">
        <v>100</v>
      </c>
      <c r="U727">
        <v>95190</v>
      </c>
      <c r="V727" t="str">
        <f>""</f>
        <v/>
      </c>
      <c r="W727">
        <v>34</v>
      </c>
      <c r="X727">
        <v>0</v>
      </c>
      <c r="Y727">
        <v>6000577</v>
      </c>
      <c r="Z727" t="str">
        <f>""</f>
        <v/>
      </c>
      <c r="AA727">
        <v>27</v>
      </c>
      <c r="AB727" t="str">
        <f>""</f>
        <v/>
      </c>
      <c r="AC727" t="str">
        <f>""</f>
        <v/>
      </c>
      <c r="AD727" t="str">
        <f>""</f>
        <v/>
      </c>
      <c r="AE727">
        <v>2016</v>
      </c>
      <c r="AF727">
        <v>2024</v>
      </c>
      <c r="AG727" t="str">
        <f>"Goussainville"</f>
        <v>Goussainville</v>
      </c>
      <c r="AH727" t="str">
        <f>"Goussainville"</f>
        <v>Goussainville</v>
      </c>
      <c r="AI727" t="str">
        <f>""</f>
        <v/>
      </c>
      <c r="AJ727" t="str">
        <f>""</f>
        <v/>
      </c>
      <c r="AK727" t="str">
        <f>""</f>
        <v/>
      </c>
      <c r="AL727">
        <v>34</v>
      </c>
      <c r="AM727" t="str">
        <f>""</f>
        <v/>
      </c>
      <c r="AN727" t="str">
        <f>""</f>
        <v/>
      </c>
      <c r="AO727" t="str">
        <f>"La salle saint rosaire"</f>
        <v>La salle saint rosaire</v>
      </c>
      <c r="AP727" t="str">
        <f>"SARCELLES"</f>
        <v>SARCELLES</v>
      </c>
      <c r="AQ727" t="str">
        <f>"Versailles"</f>
        <v>Versailles</v>
      </c>
    </row>
    <row r="728" spans="1:43" x14ac:dyDescent="0.25">
      <c r="A728" t="str">
        <f t="shared" si="142"/>
        <v>MS Datascience,T00000</v>
      </c>
      <c r="B728" t="str">
        <f>"SOBJIO"</f>
        <v>SOBJIO</v>
      </c>
      <c r="C728" t="str">
        <f>"Ludane Lagnol"</f>
        <v>Ludane Lagnol</v>
      </c>
      <c r="D728" t="str">
        <f>"024-2834"</f>
        <v>024-2834</v>
      </c>
      <c r="E728" t="str">
        <f>"233116961DF"</f>
        <v>233116961DF</v>
      </c>
      <c r="F728" t="str">
        <f t="shared" si="137"/>
        <v>0352480F</v>
      </c>
      <c r="G728" t="str">
        <f t="shared" si="138"/>
        <v>O</v>
      </c>
      <c r="H728">
        <v>10</v>
      </c>
      <c r="I728">
        <v>2000</v>
      </c>
      <c r="J728">
        <v>1</v>
      </c>
      <c r="K728" t="str">
        <f>""</f>
        <v/>
      </c>
      <c r="L728" t="str">
        <f>""</f>
        <v/>
      </c>
      <c r="M728" t="str">
        <f>""</f>
        <v/>
      </c>
      <c r="N728" t="str">
        <f>"S"</f>
        <v>S</v>
      </c>
      <c r="O728" t="str">
        <f>""</f>
        <v/>
      </c>
      <c r="P728">
        <v>0</v>
      </c>
      <c r="Q728">
        <v>322</v>
      </c>
      <c r="R728">
        <v>100</v>
      </c>
      <c r="S728" t="str">
        <f>""</f>
        <v/>
      </c>
      <c r="T728">
        <v>100</v>
      </c>
      <c r="U728" t="str">
        <f>""</f>
        <v/>
      </c>
      <c r="V728" t="str">
        <f>""</f>
        <v/>
      </c>
      <c r="W728">
        <v>0</v>
      </c>
      <c r="X728">
        <v>0</v>
      </c>
      <c r="Y728">
        <v>6000577</v>
      </c>
      <c r="Z728" t="str">
        <f>""</f>
        <v/>
      </c>
      <c r="AA728">
        <v>27</v>
      </c>
      <c r="AB728" t="str">
        <f>""</f>
        <v/>
      </c>
      <c r="AC728" t="str">
        <f>""</f>
        <v/>
      </c>
      <c r="AD728" t="str">
        <f>""</f>
        <v/>
      </c>
      <c r="AE728" t="str">
        <f>""</f>
        <v/>
      </c>
      <c r="AF728">
        <v>2024</v>
      </c>
      <c r="AG728" t="str">
        <f>""</f>
        <v/>
      </c>
      <c r="AH728" t="str">
        <f>""</f>
        <v/>
      </c>
      <c r="AI728" t="str">
        <f>""</f>
        <v/>
      </c>
      <c r="AJ728" t="str">
        <f>""</f>
        <v/>
      </c>
      <c r="AK728" t="str">
        <f>""</f>
        <v/>
      </c>
      <c r="AL728">
        <v>0</v>
      </c>
      <c r="AM728" t="str">
        <f>""</f>
        <v/>
      </c>
      <c r="AN728" t="str">
        <f>""</f>
        <v/>
      </c>
      <c r="AO728" t="str">
        <f>""</f>
        <v/>
      </c>
      <c r="AP728" t="str">
        <f>""</f>
        <v/>
      </c>
      <c r="AQ728" t="str">
        <f>""</f>
        <v/>
      </c>
    </row>
    <row r="729" spans="1:43" x14ac:dyDescent="0.25">
      <c r="A729" t="str">
        <f t="shared" si="142"/>
        <v>MS Datascience,T00000</v>
      </c>
      <c r="B729" t="str">
        <f>"SOW"</f>
        <v>SOW</v>
      </c>
      <c r="C729" t="str">
        <f>"Alhassane"</f>
        <v>Alhassane</v>
      </c>
      <c r="D729" t="str">
        <f>"024-2811"</f>
        <v>024-2811</v>
      </c>
      <c r="E729" t="str">
        <f>"0ETRZU03W11"</f>
        <v>0ETRZU03W11</v>
      </c>
      <c r="F729" t="str">
        <f t="shared" si="137"/>
        <v>0352480F</v>
      </c>
      <c r="G729" t="str">
        <f t="shared" si="138"/>
        <v>O</v>
      </c>
      <c r="H729">
        <v>10</v>
      </c>
      <c r="I729">
        <v>1998</v>
      </c>
      <c r="J729">
        <v>1</v>
      </c>
      <c r="K729" t="str">
        <f>"S"</f>
        <v>S</v>
      </c>
      <c r="L729">
        <v>0</v>
      </c>
      <c r="M729">
        <v>2018</v>
      </c>
      <c r="N729" t="str">
        <f>"H"</f>
        <v>H</v>
      </c>
      <c r="O729" t="str">
        <f>"U"</f>
        <v>U</v>
      </c>
      <c r="P729">
        <v>0</v>
      </c>
      <c r="Q729">
        <v>100</v>
      </c>
      <c r="R729">
        <v>100</v>
      </c>
      <c r="S729">
        <v>94800</v>
      </c>
      <c r="T729">
        <v>100</v>
      </c>
      <c r="U729">
        <v>94800</v>
      </c>
      <c r="V729" t="str">
        <f>""</f>
        <v/>
      </c>
      <c r="W729">
        <v>37</v>
      </c>
      <c r="X729">
        <v>0</v>
      </c>
      <c r="Y729">
        <v>6000577</v>
      </c>
      <c r="Z729" t="str">
        <f>""</f>
        <v/>
      </c>
      <c r="AA729">
        <v>27</v>
      </c>
      <c r="AB729" t="str">
        <f>""</f>
        <v/>
      </c>
      <c r="AC729" t="str">
        <f>""</f>
        <v/>
      </c>
      <c r="AD729" t="str">
        <f>""</f>
        <v/>
      </c>
      <c r="AE729">
        <v>2019</v>
      </c>
      <c r="AF729">
        <v>2024</v>
      </c>
      <c r="AG729" t="str">
        <f>"VilleJuif"</f>
        <v>VilleJuif</v>
      </c>
      <c r="AH729" t="str">
        <f>"VilleJuif"</f>
        <v>VilleJuif</v>
      </c>
      <c r="AI729" t="str">
        <f>""</f>
        <v/>
      </c>
      <c r="AJ729" t="str">
        <f>""</f>
        <v/>
      </c>
      <c r="AK729" t="str">
        <f>""</f>
        <v/>
      </c>
      <c r="AL729">
        <v>0</v>
      </c>
      <c r="AM729" t="str">
        <f>""</f>
        <v/>
      </c>
      <c r="AN729" t="str">
        <f>""</f>
        <v/>
      </c>
      <c r="AO729" t="str">
        <f>"Hamdallaye Secpndaire"</f>
        <v>Hamdallaye Secpndaire</v>
      </c>
      <c r="AP729" t="str">
        <f>"HAMDALLAYE"</f>
        <v>HAMDALLAYE</v>
      </c>
      <c r="AQ729" t="str">
        <f>"Etranger"</f>
        <v>Etranger</v>
      </c>
    </row>
    <row r="730" spans="1:43" x14ac:dyDescent="0.25">
      <c r="A730" t="str">
        <f t="shared" si="142"/>
        <v>MS Datascience,T00000</v>
      </c>
      <c r="B730" t="str">
        <f>"TIOKARY"</f>
        <v>TIOKARY</v>
      </c>
      <c r="C730" t="str">
        <f>"Mohamed"</f>
        <v>Mohamed</v>
      </c>
      <c r="D730" t="str">
        <f>"024-2841"</f>
        <v>024-2841</v>
      </c>
      <c r="E730" t="str">
        <f>"203421260FK"</f>
        <v>203421260FK</v>
      </c>
      <c r="F730" t="str">
        <f t="shared" si="137"/>
        <v>0352480F</v>
      </c>
      <c r="G730" t="str">
        <f t="shared" si="138"/>
        <v>O</v>
      </c>
      <c r="H730">
        <v>10</v>
      </c>
      <c r="I730">
        <v>1988</v>
      </c>
      <c r="J730">
        <v>1</v>
      </c>
      <c r="K730" t="str">
        <f>"D"</f>
        <v>D</v>
      </c>
      <c r="L730">
        <v>0</v>
      </c>
      <c r="M730" t="str">
        <f>""</f>
        <v/>
      </c>
      <c r="N730" t="str">
        <f>""</f>
        <v/>
      </c>
      <c r="O730">
        <v>2</v>
      </c>
      <c r="P730">
        <v>0</v>
      </c>
      <c r="Q730">
        <v>326</v>
      </c>
      <c r="R730">
        <v>100</v>
      </c>
      <c r="S730">
        <v>44400</v>
      </c>
      <c r="T730">
        <v>100</v>
      </c>
      <c r="U730">
        <v>44400</v>
      </c>
      <c r="V730" t="str">
        <f>""</f>
        <v/>
      </c>
      <c r="W730">
        <v>0</v>
      </c>
      <c r="X730">
        <v>0</v>
      </c>
      <c r="Y730">
        <v>6000577</v>
      </c>
      <c r="Z730" t="str">
        <f>""</f>
        <v/>
      </c>
      <c r="AA730">
        <v>27</v>
      </c>
      <c r="AB730" t="str">
        <f>""</f>
        <v/>
      </c>
      <c r="AC730" t="str">
        <f>""</f>
        <v/>
      </c>
      <c r="AD730" t="str">
        <f>""</f>
        <v/>
      </c>
      <c r="AE730">
        <v>2022</v>
      </c>
      <c r="AF730">
        <v>2024</v>
      </c>
      <c r="AG730" t="str">
        <f>"Reze"</f>
        <v>Reze</v>
      </c>
      <c r="AH730" t="str">
        <f>"Reze"</f>
        <v>Reze</v>
      </c>
      <c r="AI730" t="str">
        <f>""</f>
        <v/>
      </c>
      <c r="AJ730" t="str">
        <f>""</f>
        <v/>
      </c>
      <c r="AK730" t="str">
        <f>""</f>
        <v/>
      </c>
      <c r="AL730">
        <v>0</v>
      </c>
      <c r="AM730" t="str">
        <f>""</f>
        <v/>
      </c>
      <c r="AN730" t="str">
        <f>""</f>
        <v/>
      </c>
      <c r="AO730" t="str">
        <f>"Lycée Moderne Adjamé"</f>
        <v>Lycée Moderne Adjamé</v>
      </c>
      <c r="AP730" t="str">
        <f>"ABIDJAN"</f>
        <v>ABIDJAN</v>
      </c>
      <c r="AQ730" t="str">
        <f>"Etranger"</f>
        <v>Etranger</v>
      </c>
    </row>
    <row r="731" spans="1:43" x14ac:dyDescent="0.25">
      <c r="A731" t="str">
        <f t="shared" ref="A731:A742" si="143">"MSD sortant,T00000"</f>
        <v>MSD sortant,T00000</v>
      </c>
      <c r="B731" t="str">
        <f>"BEDOURET"</f>
        <v>BEDOURET</v>
      </c>
      <c r="C731" t="str">
        <f>"Baptiste"</f>
        <v>Baptiste</v>
      </c>
      <c r="D731" t="str">
        <f>"023-2521"</f>
        <v>023-2521</v>
      </c>
      <c r="E731" t="str">
        <f>"050054953FE"</f>
        <v>050054953FE</v>
      </c>
      <c r="F731" t="str">
        <f t="shared" si="137"/>
        <v>0352480F</v>
      </c>
      <c r="G731" t="str">
        <f t="shared" si="138"/>
        <v>O</v>
      </c>
      <c r="H731">
        <v>10</v>
      </c>
      <c r="I731">
        <v>2000</v>
      </c>
      <c r="J731">
        <v>1</v>
      </c>
      <c r="K731" t="str">
        <f>"S"</f>
        <v>S</v>
      </c>
      <c r="L731">
        <v>4</v>
      </c>
      <c r="M731">
        <v>2018</v>
      </c>
      <c r="N731" t="str">
        <f t="shared" ref="N731:N742" si="144">"E"</f>
        <v>E</v>
      </c>
      <c r="O731" t="str">
        <f>"U"</f>
        <v>U</v>
      </c>
      <c r="P731">
        <v>0</v>
      </c>
      <c r="Q731">
        <v>100</v>
      </c>
      <c r="R731">
        <v>100</v>
      </c>
      <c r="S731">
        <v>3517</v>
      </c>
      <c r="T731">
        <v>100</v>
      </c>
      <c r="U731">
        <v>3517</v>
      </c>
      <c r="V731" t="str">
        <f>""</f>
        <v/>
      </c>
      <c r="W731">
        <v>45</v>
      </c>
      <c r="X731">
        <v>0</v>
      </c>
      <c r="Y731">
        <v>6000577</v>
      </c>
      <c r="Z731" t="str">
        <f>""</f>
        <v/>
      </c>
      <c r="AA731">
        <v>27</v>
      </c>
      <c r="AB731" t="str">
        <f>""</f>
        <v/>
      </c>
      <c r="AC731" t="str">
        <f>""</f>
        <v/>
      </c>
      <c r="AD731" t="str">
        <f>""</f>
        <v/>
      </c>
      <c r="AE731">
        <v>2018</v>
      </c>
      <c r="AF731">
        <v>2023</v>
      </c>
      <c r="AG731" t="str">
        <f>"Bruz"</f>
        <v>Bruz</v>
      </c>
      <c r="AH731" t="str">
        <f>"Bruz"</f>
        <v>Bruz</v>
      </c>
      <c r="AI731" t="str">
        <f>""</f>
        <v/>
      </c>
      <c r="AJ731" t="str">
        <f>""</f>
        <v/>
      </c>
      <c r="AK731" t="str">
        <f>""</f>
        <v/>
      </c>
      <c r="AL731">
        <v>43</v>
      </c>
      <c r="AM731" t="str">
        <f>""</f>
        <v/>
      </c>
      <c r="AN731" t="str">
        <f>""</f>
        <v/>
      </c>
      <c r="AO731" t="str">
        <f>"Lycée Montesquieu"</f>
        <v>Lycée Montesquieu</v>
      </c>
      <c r="AP731" t="str">
        <f>"LIBOURNE"</f>
        <v>LIBOURNE</v>
      </c>
      <c r="AQ731" t="str">
        <f>"Bordeaux"</f>
        <v>Bordeaux</v>
      </c>
    </row>
    <row r="732" spans="1:43" x14ac:dyDescent="0.25">
      <c r="A732" t="str">
        <f t="shared" si="143"/>
        <v>MSD sortant,T00000</v>
      </c>
      <c r="B732" t="str">
        <f>"CELLITTI"</f>
        <v>CELLITTI</v>
      </c>
      <c r="C732" t="str">
        <f>"Francesco"</f>
        <v>Francesco</v>
      </c>
      <c r="D732" t="str">
        <f>"023-2522"</f>
        <v>023-2522</v>
      </c>
      <c r="E732" t="str">
        <f>"223381342FF"</f>
        <v>223381342FF</v>
      </c>
      <c r="F732" t="str">
        <f t="shared" si="137"/>
        <v>0352480F</v>
      </c>
      <c r="G732" t="str">
        <f t="shared" si="138"/>
        <v>O</v>
      </c>
      <c r="H732">
        <v>10</v>
      </c>
      <c r="I732">
        <v>2000</v>
      </c>
      <c r="J732">
        <v>1</v>
      </c>
      <c r="K732" t="str">
        <f>"S"</f>
        <v>S</v>
      </c>
      <c r="L732">
        <v>0</v>
      </c>
      <c r="M732">
        <v>2019</v>
      </c>
      <c r="N732" t="str">
        <f t="shared" si="144"/>
        <v>E</v>
      </c>
      <c r="O732">
        <v>2</v>
      </c>
      <c r="P732">
        <v>0</v>
      </c>
      <c r="Q732">
        <v>127</v>
      </c>
      <c r="R732">
        <v>100</v>
      </c>
      <c r="S732">
        <v>35000</v>
      </c>
      <c r="T732">
        <v>100</v>
      </c>
      <c r="U732">
        <v>35000</v>
      </c>
      <c r="V732" t="str">
        <f>""</f>
        <v/>
      </c>
      <c r="W732">
        <v>56</v>
      </c>
      <c r="X732">
        <v>0</v>
      </c>
      <c r="Y732">
        <v>6000577</v>
      </c>
      <c r="Z732" t="str">
        <f>""</f>
        <v/>
      </c>
      <c r="AA732">
        <v>27</v>
      </c>
      <c r="AB732" t="str">
        <f>""</f>
        <v/>
      </c>
      <c r="AC732" t="str">
        <f>""</f>
        <v/>
      </c>
      <c r="AD732" t="str">
        <f>""</f>
        <v/>
      </c>
      <c r="AE732">
        <v>2023</v>
      </c>
      <c r="AF732">
        <v>2023</v>
      </c>
      <c r="AG732" t="str">
        <f>"Rennes"</f>
        <v>Rennes</v>
      </c>
      <c r="AH732" t="str">
        <f>"Rennes"</f>
        <v>Rennes</v>
      </c>
      <c r="AI732" t="str">
        <f>""</f>
        <v/>
      </c>
      <c r="AJ732" t="str">
        <f>""</f>
        <v/>
      </c>
      <c r="AK732" t="str">
        <f>""</f>
        <v/>
      </c>
      <c r="AL732">
        <v>54</v>
      </c>
      <c r="AM732" t="str">
        <f>""</f>
        <v/>
      </c>
      <c r="AN732" t="str">
        <f>""</f>
        <v/>
      </c>
      <c r="AO732" t="str">
        <f>"Liceo Scientifico Francesco Severi"</f>
        <v>Liceo Scientifico Francesco Severi</v>
      </c>
      <c r="AP732" t="str">
        <f>"FROSINONE"</f>
        <v>FROSINONE</v>
      </c>
      <c r="AQ732" t="str">
        <f>"Etranger"</f>
        <v>Etranger</v>
      </c>
    </row>
    <row r="733" spans="1:43" x14ac:dyDescent="0.25">
      <c r="A733" t="str">
        <f t="shared" si="143"/>
        <v>MSD sortant,T00000</v>
      </c>
      <c r="B733" t="str">
        <f>"DRIEHUIJS"</f>
        <v>DRIEHUIJS</v>
      </c>
      <c r="C733" t="str">
        <f>"Robbert"</f>
        <v>Robbert</v>
      </c>
      <c r="D733" t="str">
        <f>"023-2523"</f>
        <v>023-2523</v>
      </c>
      <c r="E733" t="str">
        <f>"223412003EG"</f>
        <v>223412003EG</v>
      </c>
      <c r="F733" t="str">
        <f t="shared" si="137"/>
        <v>0352480F</v>
      </c>
      <c r="G733" t="str">
        <f t="shared" si="138"/>
        <v>O</v>
      </c>
      <c r="H733">
        <v>10</v>
      </c>
      <c r="I733">
        <v>2000</v>
      </c>
      <c r="J733">
        <v>1</v>
      </c>
      <c r="K733" t="str">
        <f>"S"</f>
        <v>S</v>
      </c>
      <c r="L733">
        <v>99</v>
      </c>
      <c r="M733">
        <v>2021</v>
      </c>
      <c r="N733" t="str">
        <f t="shared" si="144"/>
        <v>E</v>
      </c>
      <c r="O733">
        <v>2</v>
      </c>
      <c r="P733">
        <v>0</v>
      </c>
      <c r="Q733">
        <v>135</v>
      </c>
      <c r="R733">
        <v>100</v>
      </c>
      <c r="S733">
        <v>35000</v>
      </c>
      <c r="T733">
        <v>100</v>
      </c>
      <c r="U733">
        <v>35000</v>
      </c>
      <c r="V733" t="str">
        <f>""</f>
        <v/>
      </c>
      <c r="W733">
        <v>45</v>
      </c>
      <c r="X733">
        <v>0</v>
      </c>
      <c r="Y733">
        <v>6000577</v>
      </c>
      <c r="Z733" t="str">
        <f>""</f>
        <v/>
      </c>
      <c r="AA733">
        <v>27</v>
      </c>
      <c r="AB733" t="str">
        <f>""</f>
        <v/>
      </c>
      <c r="AC733" t="str">
        <f>""</f>
        <v/>
      </c>
      <c r="AD733" t="str">
        <f>""</f>
        <v/>
      </c>
      <c r="AE733" t="str">
        <f>""</f>
        <v/>
      </c>
      <c r="AF733">
        <v>2023</v>
      </c>
      <c r="AG733" t="str">
        <f>"RENNES"</f>
        <v>RENNES</v>
      </c>
      <c r="AH733" t="str">
        <f>"RENNES"</f>
        <v>RENNES</v>
      </c>
      <c r="AI733" t="str">
        <f>""</f>
        <v/>
      </c>
      <c r="AJ733" t="str">
        <f>""</f>
        <v/>
      </c>
      <c r="AK733" t="str">
        <f>""</f>
        <v/>
      </c>
      <c r="AL733">
        <v>42</v>
      </c>
      <c r="AM733" t="str">
        <f>""</f>
        <v/>
      </c>
      <c r="AN733" t="str">
        <f>""</f>
        <v/>
      </c>
      <c r="AO733" t="str">
        <f>"Baken Trinitas Gymnasium"</f>
        <v>Baken Trinitas Gymnasium</v>
      </c>
      <c r="AP733" t="str">
        <f>"ALMERE"</f>
        <v>ALMERE</v>
      </c>
      <c r="AQ733" t="str">
        <f>"Non défini ou sans objet"</f>
        <v>Non défini ou sans objet</v>
      </c>
    </row>
    <row r="734" spans="1:43" x14ac:dyDescent="0.25">
      <c r="A734" t="str">
        <f t="shared" si="143"/>
        <v>MSD sortant,T00000</v>
      </c>
      <c r="B734" t="str">
        <f>"FATHALLAH"</f>
        <v>FATHALLAH</v>
      </c>
      <c r="C734" t="str">
        <f>"Mehdi"</f>
        <v>Mehdi</v>
      </c>
      <c r="D734" t="str">
        <f>"023-2524"</f>
        <v>023-2524</v>
      </c>
      <c r="E734" t="str">
        <f>"223412023CG"</f>
        <v>223412023CG</v>
      </c>
      <c r="F734" t="str">
        <f t="shared" si="137"/>
        <v>0352480F</v>
      </c>
      <c r="G734" t="str">
        <f t="shared" si="138"/>
        <v>O</v>
      </c>
      <c r="H734">
        <v>10</v>
      </c>
      <c r="I734">
        <v>1998</v>
      </c>
      <c r="J734">
        <v>1</v>
      </c>
      <c r="K734" t="str">
        <f>""</f>
        <v/>
      </c>
      <c r="L734" t="str">
        <f>""</f>
        <v/>
      </c>
      <c r="M734" t="str">
        <f>""</f>
        <v/>
      </c>
      <c r="N734" t="str">
        <f t="shared" si="144"/>
        <v>E</v>
      </c>
      <c r="O734" t="str">
        <f>"E"</f>
        <v>E</v>
      </c>
      <c r="P734">
        <v>0</v>
      </c>
      <c r="Q734">
        <v>351</v>
      </c>
      <c r="R734">
        <v>100</v>
      </c>
      <c r="S734">
        <v>35170</v>
      </c>
      <c r="T734">
        <v>100</v>
      </c>
      <c r="U734">
        <v>35170</v>
      </c>
      <c r="V734" t="str">
        <f>""</f>
        <v/>
      </c>
      <c r="W734">
        <v>34</v>
      </c>
      <c r="X734">
        <v>0</v>
      </c>
      <c r="Y734">
        <v>6000577</v>
      </c>
      <c r="Z734" t="str">
        <f>""</f>
        <v/>
      </c>
      <c r="AA734">
        <v>27</v>
      </c>
      <c r="AB734" t="str">
        <f>""</f>
        <v/>
      </c>
      <c r="AC734" t="str">
        <f>""</f>
        <v/>
      </c>
      <c r="AD734" t="str">
        <f>""</f>
        <v/>
      </c>
      <c r="AE734">
        <v>2023</v>
      </c>
      <c r="AF734">
        <v>2023</v>
      </c>
      <c r="AG734" t="str">
        <f>"Bruz"</f>
        <v>Bruz</v>
      </c>
      <c r="AH734" t="str">
        <f>"Bruz"</f>
        <v>Bruz</v>
      </c>
      <c r="AI734" t="str">
        <f>""</f>
        <v/>
      </c>
      <c r="AJ734" t="str">
        <f>""</f>
        <v/>
      </c>
      <c r="AK734" t="str">
        <f>""</f>
        <v/>
      </c>
      <c r="AL734">
        <v>34</v>
      </c>
      <c r="AM734" t="str">
        <f>""</f>
        <v/>
      </c>
      <c r="AN734" t="str">
        <f>""</f>
        <v/>
      </c>
      <c r="AO734" t="str">
        <f>""</f>
        <v/>
      </c>
      <c r="AP734" t="str">
        <f>""</f>
        <v/>
      </c>
      <c r="AQ734" t="str">
        <f>""</f>
        <v/>
      </c>
    </row>
    <row r="735" spans="1:43" x14ac:dyDescent="0.25">
      <c r="A735" t="str">
        <f t="shared" si="143"/>
        <v>MSD sortant,T00000</v>
      </c>
      <c r="B735" t="str">
        <f>"FIKOS"</f>
        <v>FIKOS</v>
      </c>
      <c r="C735" t="str">
        <f>"Dimitrios"</f>
        <v>Dimitrios</v>
      </c>
      <c r="D735" t="str">
        <f>"023-2525"</f>
        <v>023-2525</v>
      </c>
      <c r="E735" t="str">
        <f>"223412034BF"</f>
        <v>223412034BF</v>
      </c>
      <c r="F735" t="str">
        <f t="shared" si="137"/>
        <v>0352480F</v>
      </c>
      <c r="G735" t="str">
        <f t="shared" si="138"/>
        <v>O</v>
      </c>
      <c r="H735">
        <v>10</v>
      </c>
      <c r="I735">
        <v>2000</v>
      </c>
      <c r="J735">
        <v>1</v>
      </c>
      <c r="K735" t="str">
        <f>""</f>
        <v/>
      </c>
      <c r="L735" t="str">
        <f>""</f>
        <v/>
      </c>
      <c r="M735" t="str">
        <f>""</f>
        <v/>
      </c>
      <c r="N735" t="str">
        <f t="shared" si="144"/>
        <v>E</v>
      </c>
      <c r="O735" t="str">
        <f>"F"</f>
        <v>F</v>
      </c>
      <c r="P735">
        <v>0</v>
      </c>
      <c r="Q735">
        <v>126</v>
      </c>
      <c r="R735">
        <v>100</v>
      </c>
      <c r="S735">
        <v>35170</v>
      </c>
      <c r="T735">
        <v>100</v>
      </c>
      <c r="U735">
        <v>35170</v>
      </c>
      <c r="V735" t="str">
        <f>""</f>
        <v/>
      </c>
      <c r="W735">
        <v>34</v>
      </c>
      <c r="X735">
        <v>0</v>
      </c>
      <c r="Y735">
        <v>6000577</v>
      </c>
      <c r="Z735" t="str">
        <f>""</f>
        <v/>
      </c>
      <c r="AA735">
        <v>27</v>
      </c>
      <c r="AB735" t="str">
        <f>""</f>
        <v/>
      </c>
      <c r="AC735" t="str">
        <f>""</f>
        <v/>
      </c>
      <c r="AD735" t="str">
        <f>""</f>
        <v/>
      </c>
      <c r="AE735" t="str">
        <f>""</f>
        <v/>
      </c>
      <c r="AF735">
        <v>2023</v>
      </c>
      <c r="AG735" t="str">
        <f>"Bruz"</f>
        <v>Bruz</v>
      </c>
      <c r="AH735" t="str">
        <f>"Bruz"</f>
        <v>Bruz</v>
      </c>
      <c r="AI735" t="str">
        <f>""</f>
        <v/>
      </c>
      <c r="AJ735" t="str">
        <f>""</f>
        <v/>
      </c>
      <c r="AK735" t="str">
        <f>""</f>
        <v/>
      </c>
      <c r="AL735">
        <v>34</v>
      </c>
      <c r="AM735" t="str">
        <f>""</f>
        <v/>
      </c>
      <c r="AN735" t="str">
        <f>""</f>
        <v/>
      </c>
      <c r="AO735" t="str">
        <f>""</f>
        <v/>
      </c>
      <c r="AP735" t="str">
        <f>""</f>
        <v/>
      </c>
      <c r="AQ735" t="str">
        <f>""</f>
        <v/>
      </c>
    </row>
    <row r="736" spans="1:43" x14ac:dyDescent="0.25">
      <c r="A736" t="str">
        <f t="shared" si="143"/>
        <v>MSD sortant,T00000</v>
      </c>
      <c r="B736" t="str">
        <f>"KANA"</f>
        <v>KANA</v>
      </c>
      <c r="C736" t="str">
        <f>"Serge Cliver"</f>
        <v>Serge Cliver</v>
      </c>
      <c r="D736" t="str">
        <f>"023-2526"</f>
        <v>023-2526</v>
      </c>
      <c r="E736" t="str">
        <f>"213375222ED"</f>
        <v>213375222ED</v>
      </c>
      <c r="F736" t="str">
        <f t="shared" si="137"/>
        <v>0352480F</v>
      </c>
      <c r="G736" t="str">
        <f t="shared" si="138"/>
        <v>O</v>
      </c>
      <c r="H736">
        <v>10</v>
      </c>
      <c r="I736">
        <v>1999</v>
      </c>
      <c r="J736">
        <v>1</v>
      </c>
      <c r="K736" t="str">
        <f>"C"</f>
        <v>C</v>
      </c>
      <c r="L736">
        <v>0</v>
      </c>
      <c r="M736">
        <v>2016</v>
      </c>
      <c r="N736" t="str">
        <f t="shared" si="144"/>
        <v>E</v>
      </c>
      <c r="O736">
        <v>2</v>
      </c>
      <c r="P736">
        <v>0</v>
      </c>
      <c r="Q736">
        <v>322</v>
      </c>
      <c r="R736">
        <v>100</v>
      </c>
      <c r="S736">
        <v>35200</v>
      </c>
      <c r="T736">
        <v>100</v>
      </c>
      <c r="U736">
        <v>35200</v>
      </c>
      <c r="V736" t="str">
        <f>""</f>
        <v/>
      </c>
      <c r="W736">
        <v>33</v>
      </c>
      <c r="X736">
        <v>0</v>
      </c>
      <c r="Y736">
        <v>6000577</v>
      </c>
      <c r="Z736" t="str">
        <f>""</f>
        <v/>
      </c>
      <c r="AA736">
        <v>27</v>
      </c>
      <c r="AB736" t="str">
        <f>""</f>
        <v/>
      </c>
      <c r="AC736" t="str">
        <f>""</f>
        <v/>
      </c>
      <c r="AD736" t="str">
        <f>""</f>
        <v/>
      </c>
      <c r="AE736">
        <v>2023</v>
      </c>
      <c r="AF736">
        <v>2023</v>
      </c>
      <c r="AG736" t="str">
        <f>"Rennes"</f>
        <v>Rennes</v>
      </c>
      <c r="AH736" t="str">
        <f>"Rennes"</f>
        <v>Rennes</v>
      </c>
      <c r="AI736" t="str">
        <f>""</f>
        <v/>
      </c>
      <c r="AJ736" t="str">
        <f>""</f>
        <v/>
      </c>
      <c r="AK736" t="str">
        <f>""</f>
        <v/>
      </c>
      <c r="AL736">
        <v>73</v>
      </c>
      <c r="AM736" t="str">
        <f>""</f>
        <v/>
      </c>
      <c r="AN736" t="str">
        <f>""</f>
        <v/>
      </c>
      <c r="AO736" t="str">
        <f>"COLLEGE LA CONQUETE"</f>
        <v>COLLEGE LA CONQUETE</v>
      </c>
      <c r="AP736" t="str">
        <f>"DOUALA"</f>
        <v>DOUALA</v>
      </c>
      <c r="AQ736" t="str">
        <f>"Etranger"</f>
        <v>Etranger</v>
      </c>
    </row>
    <row r="737" spans="1:43" x14ac:dyDescent="0.25">
      <c r="A737" t="str">
        <f t="shared" si="143"/>
        <v>MSD sortant,T00000</v>
      </c>
      <c r="B737" t="str">
        <f>"LAU"</f>
        <v>LAU</v>
      </c>
      <c r="C737" t="str">
        <f>"Gonem"</f>
        <v>Gonem</v>
      </c>
      <c r="D737" t="str">
        <f>"023-2527"</f>
        <v>023-2527</v>
      </c>
      <c r="E737" t="str">
        <f>"223412042AH"</f>
        <v>223412042AH</v>
      </c>
      <c r="F737" t="str">
        <f t="shared" si="137"/>
        <v>0352480F</v>
      </c>
      <c r="G737" t="str">
        <f t="shared" si="138"/>
        <v>O</v>
      </c>
      <c r="H737">
        <v>10</v>
      </c>
      <c r="I737">
        <v>2000</v>
      </c>
      <c r="J737">
        <v>1</v>
      </c>
      <c r="K737" t="str">
        <f>""</f>
        <v/>
      </c>
      <c r="L737" t="str">
        <f>""</f>
        <v/>
      </c>
      <c r="M737">
        <v>2022</v>
      </c>
      <c r="N737" t="str">
        <f t="shared" si="144"/>
        <v>E</v>
      </c>
      <c r="O737">
        <v>2</v>
      </c>
      <c r="P737">
        <v>0</v>
      </c>
      <c r="Q737">
        <v>135</v>
      </c>
      <c r="R737">
        <v>100</v>
      </c>
      <c r="S737">
        <v>35000</v>
      </c>
      <c r="T737">
        <v>100</v>
      </c>
      <c r="U737">
        <v>35000</v>
      </c>
      <c r="V737" t="str">
        <f>""</f>
        <v/>
      </c>
      <c r="W737">
        <v>23</v>
      </c>
      <c r="X737">
        <v>0</v>
      </c>
      <c r="Y737">
        <v>6000577</v>
      </c>
      <c r="Z737" t="str">
        <f>""</f>
        <v/>
      </c>
      <c r="AA737">
        <v>27</v>
      </c>
      <c r="AB737" t="str">
        <f>""</f>
        <v/>
      </c>
      <c r="AC737" t="str">
        <f>""</f>
        <v/>
      </c>
      <c r="AD737" t="str">
        <f>""</f>
        <v/>
      </c>
      <c r="AE737" t="str">
        <f>""</f>
        <v/>
      </c>
      <c r="AF737">
        <v>2023</v>
      </c>
      <c r="AG737" t="str">
        <f>"RENNES"</f>
        <v>RENNES</v>
      </c>
      <c r="AH737" t="str">
        <f>"RENNES"</f>
        <v>RENNES</v>
      </c>
      <c r="AI737" t="str">
        <f>""</f>
        <v/>
      </c>
      <c r="AJ737" t="str">
        <f>""</f>
        <v/>
      </c>
      <c r="AK737" t="str">
        <f>""</f>
        <v/>
      </c>
      <c r="AL737">
        <v>23</v>
      </c>
      <c r="AM737" t="str">
        <f>""</f>
        <v/>
      </c>
      <c r="AN737" t="str">
        <f>""</f>
        <v/>
      </c>
      <c r="AO737" t="str">
        <f>""</f>
        <v/>
      </c>
      <c r="AP737" t="str">
        <f>""</f>
        <v/>
      </c>
      <c r="AQ737" t="str">
        <f>""</f>
        <v/>
      </c>
    </row>
    <row r="738" spans="1:43" x14ac:dyDescent="0.25">
      <c r="A738" t="str">
        <f t="shared" si="143"/>
        <v>MSD sortant,T00000</v>
      </c>
      <c r="B738" t="str">
        <f>"NEGRONI"</f>
        <v>NEGRONI</v>
      </c>
      <c r="C738" t="str">
        <f>"Edoardo"</f>
        <v>Edoardo</v>
      </c>
      <c r="D738" t="str">
        <f>"023-2528"</f>
        <v>023-2528</v>
      </c>
      <c r="E738" t="str">
        <f>"223411866JG"</f>
        <v>223411866JG</v>
      </c>
      <c r="F738" t="str">
        <f t="shared" si="137"/>
        <v>0352480F</v>
      </c>
      <c r="G738" t="str">
        <f t="shared" si="138"/>
        <v>O</v>
      </c>
      <c r="H738">
        <v>10</v>
      </c>
      <c r="I738">
        <v>2000</v>
      </c>
      <c r="J738">
        <v>1</v>
      </c>
      <c r="K738" t="str">
        <f>"S"</f>
        <v>S</v>
      </c>
      <c r="L738">
        <v>0</v>
      </c>
      <c r="M738">
        <v>2022</v>
      </c>
      <c r="N738" t="str">
        <f t="shared" si="144"/>
        <v>E</v>
      </c>
      <c r="O738">
        <v>2</v>
      </c>
      <c r="P738">
        <v>0</v>
      </c>
      <c r="Q738">
        <v>127</v>
      </c>
      <c r="R738">
        <v>100</v>
      </c>
      <c r="S738">
        <v>35200</v>
      </c>
      <c r="T738">
        <v>100</v>
      </c>
      <c r="U738">
        <v>35200</v>
      </c>
      <c r="V738" t="str">
        <f>""</f>
        <v/>
      </c>
      <c r="W738">
        <v>22</v>
      </c>
      <c r="X738">
        <v>0</v>
      </c>
      <c r="Y738">
        <v>6000577</v>
      </c>
      <c r="Z738" t="str">
        <f>""</f>
        <v/>
      </c>
      <c r="AA738">
        <v>27</v>
      </c>
      <c r="AB738" t="str">
        <f>""</f>
        <v/>
      </c>
      <c r="AC738" t="str">
        <f>""</f>
        <v/>
      </c>
      <c r="AD738" t="str">
        <f>""</f>
        <v/>
      </c>
      <c r="AE738">
        <v>2023</v>
      </c>
      <c r="AF738">
        <v>2023</v>
      </c>
      <c r="AG738" t="str">
        <f>"Rennes"</f>
        <v>Rennes</v>
      </c>
      <c r="AH738" t="str">
        <f>"Rennes"</f>
        <v>Rennes</v>
      </c>
      <c r="AI738" t="str">
        <f>""</f>
        <v/>
      </c>
      <c r="AJ738" t="str">
        <f>""</f>
        <v/>
      </c>
      <c r="AK738" t="str">
        <f>""</f>
        <v/>
      </c>
      <c r="AL738">
        <v>45</v>
      </c>
      <c r="AM738" t="str">
        <f>""</f>
        <v/>
      </c>
      <c r="AN738" t="str">
        <f>""</f>
        <v/>
      </c>
      <c r="AO738" t="str">
        <f>"University of Bologna"</f>
        <v>University of Bologna</v>
      </c>
      <c r="AP738" t="str">
        <f>"BOLOGNA"</f>
        <v>BOLOGNA</v>
      </c>
      <c r="AQ738" t="str">
        <f>"Etranger"</f>
        <v>Etranger</v>
      </c>
    </row>
    <row r="739" spans="1:43" x14ac:dyDescent="0.25">
      <c r="A739" t="str">
        <f t="shared" si="143"/>
        <v>MSD sortant,T00000</v>
      </c>
      <c r="B739" t="str">
        <f>"REZGALLAH"</f>
        <v>REZGALLAH</v>
      </c>
      <c r="C739" t="str">
        <f>"Ines"</f>
        <v>Ines</v>
      </c>
      <c r="D739" t="str">
        <f>"023-2529"</f>
        <v>023-2529</v>
      </c>
      <c r="E739" t="str">
        <f>"223412048AB"</f>
        <v>223412048AB</v>
      </c>
      <c r="F739" t="str">
        <f t="shared" si="137"/>
        <v>0352480F</v>
      </c>
      <c r="G739" t="str">
        <f t="shared" si="138"/>
        <v>O</v>
      </c>
      <c r="H739">
        <v>10</v>
      </c>
      <c r="I739">
        <v>1999</v>
      </c>
      <c r="J739">
        <v>2</v>
      </c>
      <c r="K739" t="str">
        <f>"C"</f>
        <v>C</v>
      </c>
      <c r="L739">
        <v>0</v>
      </c>
      <c r="M739">
        <v>2018</v>
      </c>
      <c r="N739" t="str">
        <f t="shared" si="144"/>
        <v>E</v>
      </c>
      <c r="O739">
        <v>2</v>
      </c>
      <c r="P739">
        <v>0</v>
      </c>
      <c r="Q739">
        <v>351</v>
      </c>
      <c r="R739">
        <v>100</v>
      </c>
      <c r="S739" t="str">
        <f>"BRUZ"</f>
        <v>BRUZ</v>
      </c>
      <c r="T739">
        <v>100</v>
      </c>
      <c r="U739" t="str">
        <f>"BRUZ"</f>
        <v>BRUZ</v>
      </c>
      <c r="V739" t="str">
        <f>""</f>
        <v/>
      </c>
      <c r="W739">
        <v>31</v>
      </c>
      <c r="X739">
        <v>0</v>
      </c>
      <c r="Y739">
        <v>6000577</v>
      </c>
      <c r="Z739" t="str">
        <f>""</f>
        <v/>
      </c>
      <c r="AA739">
        <v>27</v>
      </c>
      <c r="AB739" t="str">
        <f>""</f>
        <v/>
      </c>
      <c r="AC739" t="str">
        <f>""</f>
        <v/>
      </c>
      <c r="AD739" t="str">
        <f>""</f>
        <v/>
      </c>
      <c r="AE739">
        <v>2018</v>
      </c>
      <c r="AF739">
        <v>2023</v>
      </c>
      <c r="AG739" t="str">
        <f>""</f>
        <v/>
      </c>
      <c r="AH739" t="str">
        <f>""</f>
        <v/>
      </c>
      <c r="AI739" t="str">
        <f>""</f>
        <v/>
      </c>
      <c r="AJ739" t="str">
        <f>""</f>
        <v/>
      </c>
      <c r="AK739" t="str">
        <f>""</f>
        <v/>
      </c>
      <c r="AL739">
        <v>38</v>
      </c>
      <c r="AM739" t="str">
        <f>""</f>
        <v/>
      </c>
      <c r="AN739" t="str">
        <f>""</f>
        <v/>
      </c>
      <c r="AO739" t="str">
        <f>"Lycée Pilote Bourguiba Tunis"</f>
        <v>Lycée Pilote Bourguiba Tunis</v>
      </c>
      <c r="AP739" t="str">
        <f>"GRAND TUNIS"</f>
        <v>GRAND TUNIS</v>
      </c>
      <c r="AQ739" t="str">
        <f>"Etranger"</f>
        <v>Etranger</v>
      </c>
    </row>
    <row r="740" spans="1:43" x14ac:dyDescent="0.25">
      <c r="A740" t="str">
        <f t="shared" si="143"/>
        <v>MSD sortant,T00000</v>
      </c>
      <c r="B740" t="str">
        <f>"SEGALARD"</f>
        <v>SEGALARD</v>
      </c>
      <c r="C740" t="str">
        <f>"Emmanuel"</f>
        <v>Emmanuel</v>
      </c>
      <c r="D740" t="str">
        <f>"023-2530"</f>
        <v>023-2530</v>
      </c>
      <c r="E740" t="str">
        <f>"083046579GJ"</f>
        <v>083046579GJ</v>
      </c>
      <c r="F740" t="str">
        <f t="shared" si="137"/>
        <v>0352480F</v>
      </c>
      <c r="G740" t="str">
        <f t="shared" si="138"/>
        <v>O</v>
      </c>
      <c r="H740">
        <v>10</v>
      </c>
      <c r="I740">
        <v>1991</v>
      </c>
      <c r="J740">
        <v>1</v>
      </c>
      <c r="K740" t="str">
        <f>"S"</f>
        <v>S</v>
      </c>
      <c r="L740">
        <v>25</v>
      </c>
      <c r="M740">
        <v>2009</v>
      </c>
      <c r="N740" t="str">
        <f t="shared" si="144"/>
        <v>E</v>
      </c>
      <c r="O740" t="str">
        <f>"R"</f>
        <v>R</v>
      </c>
      <c r="P740">
        <v>0</v>
      </c>
      <c r="Q740">
        <v>100</v>
      </c>
      <c r="R740">
        <v>100</v>
      </c>
      <c r="S740">
        <v>29820</v>
      </c>
      <c r="T740">
        <v>100</v>
      </c>
      <c r="U740">
        <v>29820</v>
      </c>
      <c r="V740" t="str">
        <f>""</f>
        <v/>
      </c>
      <c r="W740">
        <v>73</v>
      </c>
      <c r="X740">
        <v>0</v>
      </c>
      <c r="Y740">
        <v>6000577</v>
      </c>
      <c r="Z740" t="str">
        <f>""</f>
        <v/>
      </c>
      <c r="AA740">
        <v>27</v>
      </c>
      <c r="AB740" t="str">
        <f>""</f>
        <v/>
      </c>
      <c r="AC740" t="str">
        <f>""</f>
        <v/>
      </c>
      <c r="AD740" t="str">
        <f>""</f>
        <v/>
      </c>
      <c r="AE740">
        <v>2009</v>
      </c>
      <c r="AF740">
        <v>2023</v>
      </c>
      <c r="AG740" t="str">
        <f>"Guilers"</f>
        <v>Guilers</v>
      </c>
      <c r="AH740" t="str">
        <f>"Guilers"</f>
        <v>Guilers</v>
      </c>
      <c r="AI740" t="str">
        <f>""</f>
        <v/>
      </c>
      <c r="AJ740" t="str">
        <f>""</f>
        <v/>
      </c>
      <c r="AK740" t="str">
        <f>""</f>
        <v/>
      </c>
      <c r="AL740">
        <v>76</v>
      </c>
      <c r="AM740" t="str">
        <f>""</f>
        <v/>
      </c>
      <c r="AN740" t="str">
        <f>""</f>
        <v/>
      </c>
      <c r="AO740" t="str">
        <f>"Saint François d'Assises"</f>
        <v>Saint François d'Assises</v>
      </c>
      <c r="AP740" t="str">
        <f>"MONTIGNY LE BRETONNEUX"</f>
        <v>MONTIGNY LE BRETONNEUX</v>
      </c>
      <c r="AQ740" t="str">
        <f>"Versailles"</f>
        <v>Versailles</v>
      </c>
    </row>
    <row r="741" spans="1:43" x14ac:dyDescent="0.25">
      <c r="A741" t="str">
        <f t="shared" si="143"/>
        <v>MSD sortant,T00000</v>
      </c>
      <c r="B741" t="str">
        <f>"SELLIN"</f>
        <v>SELLIN</v>
      </c>
      <c r="C741" t="str">
        <f>"Gaëlle"</f>
        <v>Gaëlle</v>
      </c>
      <c r="D741" t="str">
        <f>"022-2194"</f>
        <v>022-2194</v>
      </c>
      <c r="E741" t="str">
        <f>"213482275HJ"</f>
        <v>213482275HJ</v>
      </c>
      <c r="F741" t="str">
        <f t="shared" si="137"/>
        <v>0352480F</v>
      </c>
      <c r="G741" t="str">
        <f t="shared" si="138"/>
        <v>O</v>
      </c>
      <c r="H741">
        <v>10</v>
      </c>
      <c r="I741">
        <v>1977</v>
      </c>
      <c r="J741">
        <v>2</v>
      </c>
      <c r="K741" t="str">
        <f>"L"</f>
        <v>L</v>
      </c>
      <c r="L741">
        <v>0</v>
      </c>
      <c r="M741">
        <v>1995</v>
      </c>
      <c r="N741" t="str">
        <f t="shared" si="144"/>
        <v>E</v>
      </c>
      <c r="O741" t="str">
        <f>"R"</f>
        <v>R</v>
      </c>
      <c r="P741">
        <v>0</v>
      </c>
      <c r="Q741">
        <v>100</v>
      </c>
      <c r="R741">
        <v>100</v>
      </c>
      <c r="S741">
        <v>35136</v>
      </c>
      <c r="T741">
        <v>100</v>
      </c>
      <c r="U741">
        <v>35136</v>
      </c>
      <c r="V741" t="str">
        <f>""</f>
        <v/>
      </c>
      <c r="W741">
        <v>21</v>
      </c>
      <c r="X741">
        <v>0</v>
      </c>
      <c r="Y741">
        <v>6000577</v>
      </c>
      <c r="Z741" t="str">
        <f>""</f>
        <v/>
      </c>
      <c r="AA741">
        <v>27</v>
      </c>
      <c r="AB741" t="str">
        <f>""</f>
        <v/>
      </c>
      <c r="AC741" t="str">
        <f>""</f>
        <v/>
      </c>
      <c r="AD741" t="str">
        <f>""</f>
        <v/>
      </c>
      <c r="AE741">
        <v>1995</v>
      </c>
      <c r="AF741">
        <v>2022</v>
      </c>
      <c r="AG741" t="str">
        <f>"Saint Jacques de la Lande"</f>
        <v>Saint Jacques de la Lande</v>
      </c>
      <c r="AH741" t="str">
        <f>"Saint Jacques de la Lande"</f>
        <v>Saint Jacques de la Lande</v>
      </c>
      <c r="AI741" t="str">
        <f>""</f>
        <v/>
      </c>
      <c r="AJ741" t="str">
        <f>""</f>
        <v/>
      </c>
      <c r="AK741" t="str">
        <f>""</f>
        <v/>
      </c>
      <c r="AL741">
        <v>22</v>
      </c>
      <c r="AM741" t="str">
        <f>""</f>
        <v/>
      </c>
      <c r="AN741" t="str">
        <f>""</f>
        <v/>
      </c>
      <c r="AO741" t="str">
        <f>"Saint Sébastien"</f>
        <v>Saint Sébastien</v>
      </c>
      <c r="AP741" t="str">
        <f>"LANDERNEAU"</f>
        <v>LANDERNEAU</v>
      </c>
      <c r="AQ741" t="str">
        <f>"Etranger"</f>
        <v>Etranger</v>
      </c>
    </row>
    <row r="742" spans="1:43" x14ac:dyDescent="0.25">
      <c r="A742" t="str">
        <f t="shared" si="143"/>
        <v>MSD sortant,T00000</v>
      </c>
      <c r="B742" t="str">
        <f>"YEBOUET"</f>
        <v>YEBOUET</v>
      </c>
      <c r="C742" t="str">
        <f>"Cedrick-Armel"</f>
        <v>Cedrick-Armel</v>
      </c>
      <c r="D742" t="str">
        <f>"023-2531"</f>
        <v>023-2531</v>
      </c>
      <c r="E742" t="str">
        <f>"07C26V000B9"</f>
        <v>07C26V000B9</v>
      </c>
      <c r="F742" t="str">
        <f t="shared" si="137"/>
        <v>0352480F</v>
      </c>
      <c r="G742" t="str">
        <f t="shared" si="138"/>
        <v>O</v>
      </c>
      <c r="H742">
        <v>10</v>
      </c>
      <c r="I742">
        <v>1999</v>
      </c>
      <c r="J742">
        <v>1</v>
      </c>
      <c r="K742" t="str">
        <f>"D"</f>
        <v>D</v>
      </c>
      <c r="L742">
        <v>0</v>
      </c>
      <c r="M742">
        <v>2016</v>
      </c>
      <c r="N742" t="str">
        <f t="shared" si="144"/>
        <v>E</v>
      </c>
      <c r="O742" t="str">
        <f>"E"</f>
        <v>E</v>
      </c>
      <c r="P742">
        <v>0</v>
      </c>
      <c r="Q742">
        <v>326</v>
      </c>
      <c r="R742">
        <v>100</v>
      </c>
      <c r="S742" t="str">
        <f>""</f>
        <v/>
      </c>
      <c r="T742">
        <v>100</v>
      </c>
      <c r="U742" t="str">
        <f>""</f>
        <v/>
      </c>
      <c r="V742" t="str">
        <f>""</f>
        <v/>
      </c>
      <c r="W742">
        <v>47</v>
      </c>
      <c r="X742">
        <v>0</v>
      </c>
      <c r="Y742">
        <v>6000577</v>
      </c>
      <c r="Z742" t="str">
        <f>""</f>
        <v/>
      </c>
      <c r="AA742">
        <v>27</v>
      </c>
      <c r="AB742" t="str">
        <f>""</f>
        <v/>
      </c>
      <c r="AC742" t="str">
        <f>""</f>
        <v/>
      </c>
      <c r="AD742" t="str">
        <f>""</f>
        <v/>
      </c>
      <c r="AE742">
        <v>2020</v>
      </c>
      <c r="AF742">
        <v>2023</v>
      </c>
      <c r="AG742" t="str">
        <f>""</f>
        <v/>
      </c>
      <c r="AH742" t="str">
        <f>""</f>
        <v/>
      </c>
      <c r="AI742" t="str">
        <f>""</f>
        <v/>
      </c>
      <c r="AJ742" t="str">
        <f>""</f>
        <v/>
      </c>
      <c r="AK742" t="str">
        <f>""</f>
        <v/>
      </c>
      <c r="AL742">
        <v>22</v>
      </c>
      <c r="AM742" t="str">
        <f>""</f>
        <v/>
      </c>
      <c r="AN742" t="str">
        <f>""</f>
        <v/>
      </c>
      <c r="AO742" t="str">
        <f>"COLLEGE PASCAL"</f>
        <v>COLLEGE PASCAL</v>
      </c>
      <c r="AP742" t="str">
        <f>"ABIDJAN"</f>
        <v>ABIDJAN</v>
      </c>
      <c r="AQ742" t="str">
        <f>"Etranger"</f>
        <v>Etranger</v>
      </c>
    </row>
    <row r="743" spans="1:43" x14ac:dyDescent="0.25">
      <c r="A743" t="str">
        <f>"MSD,T00000"</f>
        <v>MSD,T00000</v>
      </c>
      <c r="B743" t="str">
        <f>"DI DONFRANCESCO"</f>
        <v>DI DONFRANCESCO</v>
      </c>
      <c r="C743" t="str">
        <f>"Sergio"</f>
        <v>Sergio</v>
      </c>
      <c r="D743" t="str">
        <f>"024-2809"</f>
        <v>024-2809</v>
      </c>
      <c r="E743" t="str">
        <f>"233367774GE"</f>
        <v>233367774GE</v>
      </c>
      <c r="F743" t="str">
        <f t="shared" si="137"/>
        <v>0352480F</v>
      </c>
      <c r="G743" t="str">
        <f t="shared" si="138"/>
        <v>O</v>
      </c>
      <c r="H743">
        <v>10</v>
      </c>
      <c r="I743">
        <v>2001</v>
      </c>
      <c r="J743">
        <v>1</v>
      </c>
      <c r="K743" t="str">
        <f>"S"</f>
        <v>S</v>
      </c>
      <c r="L743">
        <v>0</v>
      </c>
      <c r="M743">
        <v>2020</v>
      </c>
      <c r="N743" t="str">
        <f>"R"</f>
        <v>R</v>
      </c>
      <c r="O743" t="str">
        <f>"N"</f>
        <v>N</v>
      </c>
      <c r="P743">
        <v>0</v>
      </c>
      <c r="Q743">
        <v>127</v>
      </c>
      <c r="R743">
        <v>100</v>
      </c>
      <c r="S743">
        <v>35200</v>
      </c>
      <c r="T743">
        <v>100</v>
      </c>
      <c r="U743">
        <v>35200</v>
      </c>
      <c r="V743" t="str">
        <f>""</f>
        <v/>
      </c>
      <c r="W743">
        <v>34</v>
      </c>
      <c r="X743">
        <v>0</v>
      </c>
      <c r="Y743">
        <v>6000577</v>
      </c>
      <c r="Z743" t="str">
        <f>""</f>
        <v/>
      </c>
      <c r="AA743">
        <v>27</v>
      </c>
      <c r="AB743" t="str">
        <f>""</f>
        <v/>
      </c>
      <c r="AC743" t="str">
        <f>""</f>
        <v/>
      </c>
      <c r="AD743" t="str">
        <f>""</f>
        <v/>
      </c>
      <c r="AE743">
        <v>2024</v>
      </c>
      <c r="AF743">
        <v>2024</v>
      </c>
      <c r="AG743" t="str">
        <f>"Rennes"</f>
        <v>Rennes</v>
      </c>
      <c r="AH743" t="str">
        <f>"Rennes"</f>
        <v>Rennes</v>
      </c>
      <c r="AI743" t="str">
        <f>""</f>
        <v/>
      </c>
      <c r="AJ743" t="str">
        <f>""</f>
        <v/>
      </c>
      <c r="AK743" t="str">
        <f>""</f>
        <v/>
      </c>
      <c r="AL743">
        <v>42</v>
      </c>
      <c r="AM743" t="str">
        <f>""</f>
        <v/>
      </c>
      <c r="AN743" t="str">
        <f>""</f>
        <v/>
      </c>
      <c r="AO743" t="str">
        <f>"Liceo Scientifico Statale C: Cavour"</f>
        <v>Liceo Scientifico Statale C: Cavour</v>
      </c>
      <c r="AP743" t="str">
        <f>"ROME"</f>
        <v>ROME</v>
      </c>
      <c r="AQ743" t="str">
        <f>"Etranger"</f>
        <v>Etranger</v>
      </c>
    </row>
    <row r="744" spans="1:43" x14ac:dyDescent="0.25">
      <c r="A744" t="str">
        <f>"MSD,T00000"</f>
        <v>MSD,T00000</v>
      </c>
      <c r="B744" t="str">
        <f>"ORIANI"</f>
        <v>ORIANI</v>
      </c>
      <c r="C744" t="str">
        <f>"Luca"</f>
        <v>Luca</v>
      </c>
      <c r="D744" t="str">
        <f>"024-2808"</f>
        <v>024-2808</v>
      </c>
      <c r="E744" t="str">
        <f>"233407984BC"</f>
        <v>233407984BC</v>
      </c>
      <c r="F744" t="str">
        <f t="shared" si="137"/>
        <v>0352480F</v>
      </c>
      <c r="G744" t="str">
        <f t="shared" si="138"/>
        <v>O</v>
      </c>
      <c r="H744">
        <v>10</v>
      </c>
      <c r="I744">
        <v>2000</v>
      </c>
      <c r="J744">
        <v>1</v>
      </c>
      <c r="K744">
        <v>2</v>
      </c>
      <c r="L744">
        <v>0</v>
      </c>
      <c r="M744">
        <v>2023</v>
      </c>
      <c r="N744" t="str">
        <f>"G"</f>
        <v>G</v>
      </c>
      <c r="O744" t="str">
        <f>"N"</f>
        <v>N</v>
      </c>
      <c r="P744">
        <v>0</v>
      </c>
      <c r="Q744">
        <v>127</v>
      </c>
      <c r="R744">
        <v>100</v>
      </c>
      <c r="S744">
        <v>35000</v>
      </c>
      <c r="T744">
        <v>100</v>
      </c>
      <c r="U744">
        <v>35000</v>
      </c>
      <c r="V744" t="str">
        <f>""</f>
        <v/>
      </c>
      <c r="W744">
        <v>77</v>
      </c>
      <c r="X744">
        <v>0</v>
      </c>
      <c r="Y744">
        <v>6000577</v>
      </c>
      <c r="Z744" t="str">
        <f>""</f>
        <v/>
      </c>
      <c r="AA744">
        <v>27</v>
      </c>
      <c r="AB744" t="str">
        <f>""</f>
        <v/>
      </c>
      <c r="AC744" t="str">
        <f>""</f>
        <v/>
      </c>
      <c r="AD744" t="str">
        <f>""</f>
        <v/>
      </c>
      <c r="AE744">
        <v>2024</v>
      </c>
      <c r="AF744">
        <v>2024</v>
      </c>
      <c r="AG744" t="str">
        <f>"Rennes"</f>
        <v>Rennes</v>
      </c>
      <c r="AH744" t="str">
        <f>"Rennes"</f>
        <v>Rennes</v>
      </c>
      <c r="AI744" t="str">
        <f>""</f>
        <v/>
      </c>
      <c r="AJ744" t="str">
        <f>""</f>
        <v/>
      </c>
      <c r="AK744" t="str">
        <f>""</f>
        <v/>
      </c>
      <c r="AL744">
        <v>56</v>
      </c>
      <c r="AM744" t="str">
        <f>""</f>
        <v/>
      </c>
      <c r="AN744" t="str">
        <f>""</f>
        <v/>
      </c>
      <c r="AO744" t="str">
        <f>"Rambaldi Valeriani"</f>
        <v>Rambaldi Valeriani</v>
      </c>
      <c r="AP744" t="str">
        <f>"IMOLA"</f>
        <v>IMOLA</v>
      </c>
      <c r="AQ744" t="str">
        <f>"Etranger"</f>
        <v>Etranger</v>
      </c>
    </row>
    <row r="745" spans="1:43" x14ac:dyDescent="0.25">
      <c r="A745" t="str">
        <f>"MSD,T04000"</f>
        <v>MSD,T04000</v>
      </c>
      <c r="B745" t="str">
        <f>"LORAND"</f>
        <v>LORAND</v>
      </c>
      <c r="C745" t="str">
        <f>"Guillaume"</f>
        <v>Guillaume</v>
      </c>
      <c r="D745" t="str">
        <f>"024-2798"</f>
        <v>024-2798</v>
      </c>
      <c r="E745" t="str">
        <f>"1492013973U"</f>
        <v>1492013973U</v>
      </c>
      <c r="F745" t="str">
        <f t="shared" si="137"/>
        <v>0352480F</v>
      </c>
      <c r="G745" t="str">
        <f t="shared" si="138"/>
        <v>O</v>
      </c>
      <c r="H745">
        <v>10</v>
      </c>
      <c r="I745">
        <v>1978</v>
      </c>
      <c r="J745">
        <v>1</v>
      </c>
      <c r="K745" t="str">
        <f>"S"</f>
        <v>S</v>
      </c>
      <c r="L745">
        <v>14</v>
      </c>
      <c r="M745">
        <v>1996</v>
      </c>
      <c r="N745" t="str">
        <f>"U"</f>
        <v>U</v>
      </c>
      <c r="O745" t="str">
        <f>"E"</f>
        <v>E</v>
      </c>
      <c r="P745">
        <v>0</v>
      </c>
      <c r="Q745">
        <v>100</v>
      </c>
      <c r="R745">
        <v>100</v>
      </c>
      <c r="S745">
        <v>35113</v>
      </c>
      <c r="T745">
        <v>100</v>
      </c>
      <c r="U745">
        <v>35113</v>
      </c>
      <c r="V745" t="str">
        <f>""</f>
        <v/>
      </c>
      <c r="W745">
        <v>0</v>
      </c>
      <c r="X745">
        <v>0</v>
      </c>
      <c r="Y745">
        <v>6000577</v>
      </c>
      <c r="Z745" t="str">
        <f>""</f>
        <v/>
      </c>
      <c r="AA745">
        <v>27</v>
      </c>
      <c r="AB745" t="str">
        <f>""</f>
        <v/>
      </c>
      <c r="AC745" t="str">
        <f>""</f>
        <v/>
      </c>
      <c r="AD745" t="str">
        <f>""</f>
        <v/>
      </c>
      <c r="AE745">
        <v>1996</v>
      </c>
      <c r="AF745">
        <v>2024</v>
      </c>
      <c r="AG745" t="str">
        <f>"Domagné"</f>
        <v>Domagné</v>
      </c>
      <c r="AH745" t="str">
        <f>"Domagné"</f>
        <v>Domagné</v>
      </c>
      <c r="AI745" t="str">
        <f>""</f>
        <v/>
      </c>
      <c r="AJ745" t="str">
        <f>""</f>
        <v/>
      </c>
      <c r="AK745" t="str">
        <f>""</f>
        <v/>
      </c>
      <c r="AL745">
        <v>0</v>
      </c>
      <c r="AM745" t="str">
        <f>""</f>
        <v/>
      </c>
      <c r="AN745" t="str">
        <f>""</f>
        <v/>
      </c>
      <c r="AO745" t="str">
        <f>"Sévigné"</f>
        <v>Sévigné</v>
      </c>
      <c r="AP745" t="str">
        <f>"CESSON SÉVIGNÉ"</f>
        <v>CESSON SÉVIGNÉ</v>
      </c>
      <c r="AQ745" t="str">
        <f>"Rennes"</f>
        <v>Rennes</v>
      </c>
    </row>
    <row r="746" spans="1:43" x14ac:dyDescent="0.25">
      <c r="A746" t="str">
        <f>"MSD,T04000"</f>
        <v>MSD,T04000</v>
      </c>
      <c r="B746" t="str">
        <f>"MUNOZ CARRASCO"</f>
        <v>MUNOZ CARRASCO</v>
      </c>
      <c r="C746" t="str">
        <f>"Rodrigo"</f>
        <v>Rodrigo</v>
      </c>
      <c r="D746" t="str">
        <f>"024-2803"</f>
        <v>024-2803</v>
      </c>
      <c r="E746" t="str">
        <f>"103028756JF"</f>
        <v>103028756JF</v>
      </c>
      <c r="F746" t="str">
        <f t="shared" si="137"/>
        <v>0352480F</v>
      </c>
      <c r="G746" t="str">
        <f t="shared" si="138"/>
        <v>O</v>
      </c>
      <c r="H746">
        <v>10</v>
      </c>
      <c r="I746">
        <v>1992</v>
      </c>
      <c r="J746">
        <v>1</v>
      </c>
      <c r="K746" t="str">
        <f>"S"</f>
        <v>S</v>
      </c>
      <c r="L746">
        <v>25</v>
      </c>
      <c r="M746">
        <v>2011</v>
      </c>
      <c r="N746" t="str">
        <f>"U"</f>
        <v>U</v>
      </c>
      <c r="O746" t="str">
        <f>"W"</f>
        <v>W</v>
      </c>
      <c r="P746">
        <v>0</v>
      </c>
      <c r="Q746">
        <v>417</v>
      </c>
      <c r="R746">
        <v>100</v>
      </c>
      <c r="S746">
        <v>35170</v>
      </c>
      <c r="T746">
        <v>100</v>
      </c>
      <c r="U746">
        <v>35170</v>
      </c>
      <c r="V746" t="str">
        <f>""</f>
        <v/>
      </c>
      <c r="W746">
        <v>0</v>
      </c>
      <c r="X746">
        <v>0</v>
      </c>
      <c r="Y746">
        <v>6000577</v>
      </c>
      <c r="Z746" t="str">
        <f>""</f>
        <v/>
      </c>
      <c r="AA746">
        <v>27</v>
      </c>
      <c r="AB746" t="str">
        <f>""</f>
        <v/>
      </c>
      <c r="AC746" t="str">
        <f>""</f>
        <v/>
      </c>
      <c r="AD746" t="str">
        <f>""</f>
        <v/>
      </c>
      <c r="AE746">
        <v>2011</v>
      </c>
      <c r="AF746">
        <v>2024</v>
      </c>
      <c r="AG746" t="str">
        <f>"Bruz"</f>
        <v>Bruz</v>
      </c>
      <c r="AH746" t="str">
        <f>"Bruz"</f>
        <v>Bruz</v>
      </c>
      <c r="AI746" t="str">
        <f>""</f>
        <v/>
      </c>
      <c r="AJ746" t="str">
        <f>""</f>
        <v/>
      </c>
      <c r="AK746" t="str">
        <f>""</f>
        <v/>
      </c>
      <c r="AL746">
        <v>45</v>
      </c>
      <c r="AM746" t="str">
        <f>""</f>
        <v/>
      </c>
      <c r="AN746" t="str">
        <f>""</f>
        <v/>
      </c>
      <c r="AO746" t="str">
        <f>"Paul Langevin"</f>
        <v>Paul Langevin</v>
      </c>
      <c r="AP746" t="str">
        <f>"SURESNES"</f>
        <v>SURESNES</v>
      </c>
      <c r="AQ746" t="str">
        <f>"Versailles"</f>
        <v>Versailles</v>
      </c>
    </row>
    <row r="747" spans="1:43" x14ac:dyDescent="0.25">
      <c r="A747" t="str">
        <f>"MSD,T04000"</f>
        <v>MSD,T04000</v>
      </c>
      <c r="B747" t="str">
        <f>"PAUTREL"</f>
        <v>PAUTREL</v>
      </c>
      <c r="C747" t="str">
        <f>"Thibault"</f>
        <v>Thibault</v>
      </c>
      <c r="D747" t="str">
        <f>"024-2804"</f>
        <v>024-2804</v>
      </c>
      <c r="E747" t="str">
        <f>"1705036769L"</f>
        <v>1705036769L</v>
      </c>
      <c r="F747" t="str">
        <f t="shared" si="137"/>
        <v>0352480F</v>
      </c>
      <c r="G747" t="str">
        <f t="shared" si="138"/>
        <v>O</v>
      </c>
      <c r="H747">
        <v>10</v>
      </c>
      <c r="I747">
        <v>1994</v>
      </c>
      <c r="J747">
        <v>1</v>
      </c>
      <c r="K747" t="str">
        <f>"S"</f>
        <v>S</v>
      </c>
      <c r="L747">
        <v>17</v>
      </c>
      <c r="M747">
        <v>2012</v>
      </c>
      <c r="N747" t="str">
        <f>"U"</f>
        <v>U</v>
      </c>
      <c r="O747" t="str">
        <f>"U"</f>
        <v>U</v>
      </c>
      <c r="P747">
        <v>0</v>
      </c>
      <c r="Q747">
        <v>100</v>
      </c>
      <c r="R747">
        <v>100</v>
      </c>
      <c r="S747">
        <v>35000</v>
      </c>
      <c r="T747">
        <v>100</v>
      </c>
      <c r="U747">
        <v>35000</v>
      </c>
      <c r="V747" t="str">
        <f>""</f>
        <v/>
      </c>
      <c r="W747">
        <v>31</v>
      </c>
      <c r="X747">
        <v>0</v>
      </c>
      <c r="Y747">
        <v>6000577</v>
      </c>
      <c r="Z747" t="str">
        <f>""</f>
        <v/>
      </c>
      <c r="AA747">
        <v>27</v>
      </c>
      <c r="AB747" t="str">
        <f>""</f>
        <v/>
      </c>
      <c r="AC747" t="str">
        <f>""</f>
        <v/>
      </c>
      <c r="AD747" t="str">
        <f>""</f>
        <v/>
      </c>
      <c r="AE747">
        <v>2012</v>
      </c>
      <c r="AF747">
        <v>2024</v>
      </c>
      <c r="AG747" t="str">
        <f>"RENNES"</f>
        <v>RENNES</v>
      </c>
      <c r="AH747" t="str">
        <f>"RENNES"</f>
        <v>RENNES</v>
      </c>
      <c r="AI747" t="str">
        <f>""</f>
        <v/>
      </c>
      <c r="AJ747" t="str">
        <f>""</f>
        <v/>
      </c>
      <c r="AK747" t="str">
        <f>""</f>
        <v/>
      </c>
      <c r="AL747">
        <v>43</v>
      </c>
      <c r="AM747" t="str">
        <f>""</f>
        <v/>
      </c>
      <c r="AN747" t="str">
        <f>""</f>
        <v/>
      </c>
      <c r="AO747" t="str">
        <f>"lycée Don Bosco"</f>
        <v>lycée Don Bosco</v>
      </c>
      <c r="AP747" t="str">
        <f>"MAYENNE"</f>
        <v>MAYENNE</v>
      </c>
      <c r="AQ747" t="str">
        <f>"Nantes"</f>
        <v>Nantes</v>
      </c>
    </row>
    <row r="748" spans="1:43" x14ac:dyDescent="0.25">
      <c r="A748" t="str">
        <f>"MSD,T04000"</f>
        <v>MSD,T04000</v>
      </c>
      <c r="B748" t="str">
        <f>"VISWANATHAN"</f>
        <v>VISWANATHAN</v>
      </c>
      <c r="C748" t="str">
        <f>"Kartik"</f>
        <v>Kartik</v>
      </c>
      <c r="D748" t="str">
        <f>"024-2799"</f>
        <v>024-2799</v>
      </c>
      <c r="E748" t="str">
        <f>"233409204FD"</f>
        <v>233409204FD</v>
      </c>
      <c r="F748" t="str">
        <f t="shared" si="137"/>
        <v>0352480F</v>
      </c>
      <c r="G748" t="str">
        <f t="shared" si="138"/>
        <v>O</v>
      </c>
      <c r="H748">
        <v>10</v>
      </c>
      <c r="I748">
        <v>1981</v>
      </c>
      <c r="J748">
        <v>1</v>
      </c>
      <c r="K748" t="str">
        <f>""</f>
        <v/>
      </c>
      <c r="L748" t="str">
        <f>""</f>
        <v/>
      </c>
      <c r="M748" t="str">
        <f>""</f>
        <v/>
      </c>
      <c r="N748" t="str">
        <f>"U"</f>
        <v>U</v>
      </c>
      <c r="O748" t="str">
        <f>"Y"</f>
        <v>Y</v>
      </c>
      <c r="P748">
        <v>0</v>
      </c>
      <c r="Q748">
        <v>100</v>
      </c>
      <c r="R748">
        <v>100</v>
      </c>
      <c r="S748">
        <v>35000</v>
      </c>
      <c r="T748">
        <v>100</v>
      </c>
      <c r="U748">
        <v>35000</v>
      </c>
      <c r="V748" t="str">
        <f>""</f>
        <v/>
      </c>
      <c r="W748">
        <v>77</v>
      </c>
      <c r="X748">
        <v>0</v>
      </c>
      <c r="Y748">
        <v>6000577</v>
      </c>
      <c r="Z748" t="str">
        <f>""</f>
        <v/>
      </c>
      <c r="AA748">
        <v>27</v>
      </c>
      <c r="AB748" t="str">
        <f>""</f>
        <v/>
      </c>
      <c r="AC748" t="str">
        <f>""</f>
        <v/>
      </c>
      <c r="AD748" t="str">
        <f>""</f>
        <v/>
      </c>
      <c r="AE748">
        <v>2024</v>
      </c>
      <c r="AF748">
        <v>2024</v>
      </c>
      <c r="AG748" t="str">
        <f>"RENNES"</f>
        <v>RENNES</v>
      </c>
      <c r="AH748" t="str">
        <f>"RENNES"</f>
        <v>RENNES</v>
      </c>
      <c r="AI748" t="str">
        <f>""</f>
        <v/>
      </c>
      <c r="AJ748" t="str">
        <f>""</f>
        <v/>
      </c>
      <c r="AK748" t="str">
        <f>""</f>
        <v/>
      </c>
      <c r="AL748">
        <v>0</v>
      </c>
      <c r="AM748" t="str">
        <f>""</f>
        <v/>
      </c>
      <c r="AN748" t="str">
        <f>""</f>
        <v/>
      </c>
      <c r="AO748" t="str">
        <f>""</f>
        <v/>
      </c>
      <c r="AP748" t="str">
        <f>""</f>
        <v/>
      </c>
      <c r="AQ748" t="str">
        <f>""</f>
        <v/>
      </c>
    </row>
    <row r="749" spans="1:43" x14ac:dyDescent="0.25">
      <c r="A749" t="str">
        <f t="shared" ref="A749:A754" si="145">"MSD,T06000"</f>
        <v>MSD,T06000</v>
      </c>
      <c r="B749" t="str">
        <f>"BOUAKEZ"</f>
        <v>BOUAKEZ</v>
      </c>
      <c r="C749" t="str">
        <f>"Amal"</f>
        <v>Amal</v>
      </c>
      <c r="D749" t="str">
        <f>"024-2795"</f>
        <v>024-2795</v>
      </c>
      <c r="E749" t="str">
        <f>"213158893GC"</f>
        <v>213158893GC</v>
      </c>
      <c r="F749" t="str">
        <f t="shared" si="137"/>
        <v>0352480F</v>
      </c>
      <c r="G749" t="str">
        <f t="shared" si="138"/>
        <v>O</v>
      </c>
      <c r="H749">
        <v>10</v>
      </c>
      <c r="I749">
        <v>1998</v>
      </c>
      <c r="J749">
        <v>2</v>
      </c>
      <c r="K749" t="str">
        <f>""</f>
        <v/>
      </c>
      <c r="L749" t="str">
        <f>""</f>
        <v/>
      </c>
      <c r="M749" t="str">
        <f>""</f>
        <v/>
      </c>
      <c r="N749" t="str">
        <f>""</f>
        <v/>
      </c>
      <c r="O749" t="str">
        <f>""</f>
        <v/>
      </c>
      <c r="P749">
        <v>0</v>
      </c>
      <c r="Q749">
        <v>351</v>
      </c>
      <c r="R749">
        <v>100</v>
      </c>
      <c r="S749" t="str">
        <f>""</f>
        <v/>
      </c>
      <c r="T749">
        <v>100</v>
      </c>
      <c r="U749" t="str">
        <f>""</f>
        <v/>
      </c>
      <c r="V749" t="str">
        <f>""</f>
        <v/>
      </c>
      <c r="W749">
        <v>0</v>
      </c>
      <c r="X749">
        <v>0</v>
      </c>
      <c r="Y749">
        <v>6000577</v>
      </c>
      <c r="Z749" t="str">
        <f>""</f>
        <v/>
      </c>
      <c r="AA749">
        <v>27</v>
      </c>
      <c r="AB749" t="str">
        <f>""</f>
        <v/>
      </c>
      <c r="AC749" t="str">
        <f>""</f>
        <v/>
      </c>
      <c r="AD749" t="str">
        <f>""</f>
        <v/>
      </c>
      <c r="AE749" t="str">
        <f>""</f>
        <v/>
      </c>
      <c r="AF749">
        <v>2024</v>
      </c>
      <c r="AG749" t="str">
        <f>""</f>
        <v/>
      </c>
      <c r="AH749" t="str">
        <f>""</f>
        <v/>
      </c>
      <c r="AI749" t="str">
        <f>""</f>
        <v/>
      </c>
      <c r="AJ749" t="str">
        <f>""</f>
        <v/>
      </c>
      <c r="AK749" t="str">
        <f>""</f>
        <v/>
      </c>
      <c r="AL749">
        <v>0</v>
      </c>
      <c r="AM749" t="str">
        <f>""</f>
        <v/>
      </c>
      <c r="AN749" t="str">
        <f>""</f>
        <v/>
      </c>
      <c r="AO749" t="str">
        <f>""</f>
        <v/>
      </c>
      <c r="AP749" t="str">
        <f>""</f>
        <v/>
      </c>
      <c r="AQ749" t="str">
        <f>""</f>
        <v/>
      </c>
    </row>
    <row r="750" spans="1:43" x14ac:dyDescent="0.25">
      <c r="A750" t="str">
        <f t="shared" si="145"/>
        <v>MSD,T06000</v>
      </c>
      <c r="B750" t="str">
        <f>"DANG"</f>
        <v>DANG</v>
      </c>
      <c r="C750" t="str">
        <f>"Ba khuong"</f>
        <v>Ba khuong</v>
      </c>
      <c r="D750" t="str">
        <f>"024-2796"</f>
        <v>024-2796</v>
      </c>
      <c r="E750" t="str">
        <f>"213431780DG"</f>
        <v>213431780DG</v>
      </c>
      <c r="F750" t="str">
        <f t="shared" si="137"/>
        <v>0352480F</v>
      </c>
      <c r="G750" t="str">
        <f t="shared" si="138"/>
        <v>O</v>
      </c>
      <c r="H750">
        <v>10</v>
      </c>
      <c r="I750">
        <v>1990</v>
      </c>
      <c r="J750">
        <v>1</v>
      </c>
      <c r="K750" t="str">
        <f>""</f>
        <v/>
      </c>
      <c r="L750" t="str">
        <f>""</f>
        <v/>
      </c>
      <c r="M750" t="str">
        <f>""</f>
        <v/>
      </c>
      <c r="N750" t="str">
        <f>"S"</f>
        <v>S</v>
      </c>
      <c r="O750" t="str">
        <f>""</f>
        <v/>
      </c>
      <c r="P750">
        <v>0</v>
      </c>
      <c r="Q750">
        <v>243</v>
      </c>
      <c r="R750">
        <v>100</v>
      </c>
      <c r="S750">
        <v>35170</v>
      </c>
      <c r="T750">
        <v>100</v>
      </c>
      <c r="U750">
        <v>35170</v>
      </c>
      <c r="V750" t="str">
        <f>""</f>
        <v/>
      </c>
      <c r="W750">
        <v>0</v>
      </c>
      <c r="X750">
        <v>0</v>
      </c>
      <c r="Y750">
        <v>6000577</v>
      </c>
      <c r="Z750" t="str">
        <f>""</f>
        <v/>
      </c>
      <c r="AA750">
        <v>27</v>
      </c>
      <c r="AB750" t="str">
        <f>""</f>
        <v/>
      </c>
      <c r="AC750" t="str">
        <f>""</f>
        <v/>
      </c>
      <c r="AD750" t="str">
        <f>""</f>
        <v/>
      </c>
      <c r="AE750" t="str">
        <f>""</f>
        <v/>
      </c>
      <c r="AF750">
        <v>2024</v>
      </c>
      <c r="AG750" t="str">
        <f>""</f>
        <v/>
      </c>
      <c r="AH750" t="str">
        <f>""</f>
        <v/>
      </c>
      <c r="AI750" t="str">
        <f>""</f>
        <v/>
      </c>
      <c r="AJ750" t="str">
        <f>""</f>
        <v/>
      </c>
      <c r="AK750" t="str">
        <f>""</f>
        <v/>
      </c>
      <c r="AL750">
        <v>0</v>
      </c>
      <c r="AM750" t="str">
        <f>""</f>
        <v/>
      </c>
      <c r="AN750" t="str">
        <f>""</f>
        <v/>
      </c>
      <c r="AO750" t="str">
        <f>""</f>
        <v/>
      </c>
      <c r="AP750" t="str">
        <f>""</f>
        <v/>
      </c>
      <c r="AQ750" t="str">
        <f>""</f>
        <v/>
      </c>
    </row>
    <row r="751" spans="1:43" x14ac:dyDescent="0.25">
      <c r="A751" t="str">
        <f t="shared" si="145"/>
        <v>MSD,T06000</v>
      </c>
      <c r="B751" t="str">
        <f>"GRESHAM"</f>
        <v>GRESHAM</v>
      </c>
      <c r="C751" t="str">
        <f>"Aidan"</f>
        <v>Aidan</v>
      </c>
      <c r="D751" t="str">
        <f>"024-2794"</f>
        <v>024-2794</v>
      </c>
      <c r="E751" t="str">
        <f>"233369419GJ"</f>
        <v>233369419GJ</v>
      </c>
      <c r="F751" t="str">
        <f t="shared" si="137"/>
        <v>0352480F</v>
      </c>
      <c r="G751" t="str">
        <f t="shared" si="138"/>
        <v>O</v>
      </c>
      <c r="H751">
        <v>10</v>
      </c>
      <c r="I751">
        <v>2003</v>
      </c>
      <c r="J751">
        <v>1</v>
      </c>
      <c r="K751" t="str">
        <f>""</f>
        <v/>
      </c>
      <c r="L751" t="str">
        <f>""</f>
        <v/>
      </c>
      <c r="M751" t="str">
        <f>""</f>
        <v/>
      </c>
      <c r="N751" t="str">
        <f>""</f>
        <v/>
      </c>
      <c r="O751" t="str">
        <f>""</f>
        <v/>
      </c>
      <c r="P751">
        <v>0</v>
      </c>
      <c r="Q751">
        <v>404</v>
      </c>
      <c r="R751">
        <v>100</v>
      </c>
      <c r="S751">
        <v>35170</v>
      </c>
      <c r="T751">
        <v>100</v>
      </c>
      <c r="U751">
        <v>35170</v>
      </c>
      <c r="V751" t="str">
        <f>""</f>
        <v/>
      </c>
      <c r="W751">
        <v>0</v>
      </c>
      <c r="X751">
        <v>0</v>
      </c>
      <c r="Y751">
        <v>6000577</v>
      </c>
      <c r="Z751" t="str">
        <f>""</f>
        <v/>
      </c>
      <c r="AA751">
        <v>27</v>
      </c>
      <c r="AB751" t="str">
        <f>""</f>
        <v/>
      </c>
      <c r="AC751" t="str">
        <f>""</f>
        <v/>
      </c>
      <c r="AD751" t="str">
        <f>""</f>
        <v/>
      </c>
      <c r="AE751" t="str">
        <f>""</f>
        <v/>
      </c>
      <c r="AF751">
        <v>2024</v>
      </c>
      <c r="AG751" t="str">
        <f>"BRUZ"</f>
        <v>BRUZ</v>
      </c>
      <c r="AH751" t="str">
        <f>"BRUZ"</f>
        <v>BRUZ</v>
      </c>
      <c r="AI751" t="str">
        <f>""</f>
        <v/>
      </c>
      <c r="AJ751" t="str">
        <f>""</f>
        <v/>
      </c>
      <c r="AK751" t="str">
        <f>""</f>
        <v/>
      </c>
      <c r="AL751">
        <v>0</v>
      </c>
      <c r="AM751" t="str">
        <f>""</f>
        <v/>
      </c>
      <c r="AN751" t="str">
        <f>""</f>
        <v/>
      </c>
      <c r="AO751" t="str">
        <f>""</f>
        <v/>
      </c>
      <c r="AP751" t="str">
        <f>""</f>
        <v/>
      </c>
      <c r="AQ751" t="str">
        <f>""</f>
        <v/>
      </c>
    </row>
    <row r="752" spans="1:43" x14ac:dyDescent="0.25">
      <c r="A752" t="str">
        <f t="shared" si="145"/>
        <v>MSD,T06000</v>
      </c>
      <c r="B752" t="str">
        <f>"HAOUDI"</f>
        <v>HAOUDI</v>
      </c>
      <c r="C752" t="str">
        <f>"Omar"</f>
        <v>Omar</v>
      </c>
      <c r="D752" t="str">
        <f>"024-2802"</f>
        <v>024-2802</v>
      </c>
      <c r="E752" t="str">
        <f>"233343151EK"</f>
        <v>233343151EK</v>
      </c>
      <c r="F752" t="str">
        <f t="shared" si="137"/>
        <v>0352480F</v>
      </c>
      <c r="G752" t="str">
        <f t="shared" si="138"/>
        <v>O</v>
      </c>
      <c r="H752">
        <v>10</v>
      </c>
      <c r="I752">
        <v>2001</v>
      </c>
      <c r="J752">
        <v>1</v>
      </c>
      <c r="K752" t="str">
        <f>""</f>
        <v/>
      </c>
      <c r="L752" t="str">
        <f>""</f>
        <v/>
      </c>
      <c r="M752">
        <v>2019</v>
      </c>
      <c r="N752" t="str">
        <f>"E"</f>
        <v>E</v>
      </c>
      <c r="O752" t="str">
        <f>"E"</f>
        <v>E</v>
      </c>
      <c r="P752">
        <v>0</v>
      </c>
      <c r="Q752">
        <v>350</v>
      </c>
      <c r="R752">
        <v>100</v>
      </c>
      <c r="S752">
        <v>35000</v>
      </c>
      <c r="T752">
        <v>100</v>
      </c>
      <c r="U752">
        <v>35000</v>
      </c>
      <c r="V752" t="str">
        <f>""</f>
        <v/>
      </c>
      <c r="W752">
        <v>31</v>
      </c>
      <c r="X752">
        <v>0</v>
      </c>
      <c r="Y752">
        <v>6000577</v>
      </c>
      <c r="Z752" t="str">
        <f>""</f>
        <v/>
      </c>
      <c r="AA752">
        <v>27</v>
      </c>
      <c r="AB752" t="str">
        <f>""</f>
        <v/>
      </c>
      <c r="AC752" t="str">
        <f>""</f>
        <v/>
      </c>
      <c r="AD752" t="str">
        <f>""</f>
        <v/>
      </c>
      <c r="AE752">
        <v>2024</v>
      </c>
      <c r="AF752">
        <v>2024</v>
      </c>
      <c r="AG752" t="str">
        <f>"Rennes"</f>
        <v>Rennes</v>
      </c>
      <c r="AH752" t="str">
        <f>"Rennes"</f>
        <v>Rennes</v>
      </c>
      <c r="AI752" t="str">
        <f>""</f>
        <v/>
      </c>
      <c r="AJ752" t="str">
        <f>""</f>
        <v/>
      </c>
      <c r="AK752" t="str">
        <f>""</f>
        <v/>
      </c>
      <c r="AL752">
        <v>0</v>
      </c>
      <c r="AM752" t="str">
        <f>""</f>
        <v/>
      </c>
      <c r="AN752" t="str">
        <f>""</f>
        <v/>
      </c>
      <c r="AO752" t="str">
        <f>"Lycée Benniss Terrab"</f>
        <v>Lycée Benniss Terrab</v>
      </c>
      <c r="AP752" t="str">
        <f>"KENITRA - MAROC"</f>
        <v>KENITRA - MAROC</v>
      </c>
      <c r="AQ752" t="str">
        <f>""</f>
        <v/>
      </c>
    </row>
    <row r="753" spans="1:43" x14ac:dyDescent="0.25">
      <c r="A753" t="str">
        <f t="shared" si="145"/>
        <v>MSD,T06000</v>
      </c>
      <c r="B753" t="str">
        <f>"SEDDIKI"</f>
        <v>SEDDIKI</v>
      </c>
      <c r="C753" t="str">
        <f>"Abir"</f>
        <v>Abir</v>
      </c>
      <c r="D753" t="str">
        <f>"024-2793"</f>
        <v>024-2793</v>
      </c>
      <c r="E753" t="str">
        <f>"233405277AD"</f>
        <v>233405277AD</v>
      </c>
      <c r="F753" t="str">
        <f t="shared" si="137"/>
        <v>0352480F</v>
      </c>
      <c r="G753" t="str">
        <f t="shared" si="138"/>
        <v>O</v>
      </c>
      <c r="H753">
        <v>10</v>
      </c>
      <c r="I753">
        <v>2001</v>
      </c>
      <c r="J753">
        <v>2</v>
      </c>
      <c r="K753" t="str">
        <f>""</f>
        <v/>
      </c>
      <c r="L753" t="str">
        <f>""</f>
        <v/>
      </c>
      <c r="M753" t="str">
        <f>""</f>
        <v/>
      </c>
      <c r="N753" t="str">
        <f>"R"</f>
        <v>R</v>
      </c>
      <c r="O753" t="str">
        <f>"E"</f>
        <v>E</v>
      </c>
      <c r="P753">
        <v>0</v>
      </c>
      <c r="Q753">
        <v>351</v>
      </c>
      <c r="R753">
        <v>100</v>
      </c>
      <c r="S753">
        <v>35708</v>
      </c>
      <c r="T753">
        <v>100</v>
      </c>
      <c r="U753">
        <v>35708</v>
      </c>
      <c r="V753" t="str">
        <f>""</f>
        <v/>
      </c>
      <c r="W753">
        <v>43</v>
      </c>
      <c r="X753">
        <v>0</v>
      </c>
      <c r="Y753">
        <v>6000577</v>
      </c>
      <c r="Z753" t="str">
        <f>""</f>
        <v/>
      </c>
      <c r="AA753">
        <v>27</v>
      </c>
      <c r="AB753" t="str">
        <f>""</f>
        <v/>
      </c>
      <c r="AC753" t="str">
        <f>""</f>
        <v/>
      </c>
      <c r="AD753" t="str">
        <f>""</f>
        <v/>
      </c>
      <c r="AE753">
        <v>2024</v>
      </c>
      <c r="AF753">
        <v>2024</v>
      </c>
      <c r="AG753" t="str">
        <f>"RENNES CEDEX"</f>
        <v>RENNES CEDEX</v>
      </c>
      <c r="AH753" t="str">
        <f>"RENNES CEDEX"</f>
        <v>RENNES CEDEX</v>
      </c>
      <c r="AI753" t="str">
        <f>""</f>
        <v/>
      </c>
      <c r="AJ753" t="str">
        <f>""</f>
        <v/>
      </c>
      <c r="AK753" t="str">
        <f>""</f>
        <v/>
      </c>
      <c r="AL753">
        <v>43</v>
      </c>
      <c r="AM753" t="str">
        <f>""</f>
        <v/>
      </c>
      <c r="AN753" t="str">
        <f>""</f>
        <v/>
      </c>
      <c r="AO753" t="str">
        <f>""</f>
        <v/>
      </c>
      <c r="AP753" t="str">
        <f>""</f>
        <v/>
      </c>
      <c r="AQ753" t="str">
        <f>""</f>
        <v/>
      </c>
    </row>
    <row r="754" spans="1:43" x14ac:dyDescent="0.25">
      <c r="A754" t="str">
        <f t="shared" si="145"/>
        <v>MSD,T06000</v>
      </c>
      <c r="B754" t="str">
        <f>"WHALL"</f>
        <v>WHALL</v>
      </c>
      <c r="C754" t="str">
        <f>"Matthew"</f>
        <v>Matthew</v>
      </c>
      <c r="D754" t="str">
        <f>"024-2800"</f>
        <v>024-2800</v>
      </c>
      <c r="E754" t="str">
        <f>"233333440GA"</f>
        <v>233333440GA</v>
      </c>
      <c r="F754" t="str">
        <f t="shared" si="137"/>
        <v>0352480F</v>
      </c>
      <c r="G754" t="str">
        <f t="shared" si="138"/>
        <v>O</v>
      </c>
      <c r="H754">
        <v>10</v>
      </c>
      <c r="I754">
        <v>1998</v>
      </c>
      <c r="J754">
        <v>1</v>
      </c>
      <c r="K754">
        <v>31</v>
      </c>
      <c r="L754">
        <v>0</v>
      </c>
      <c r="M754">
        <v>2016</v>
      </c>
      <c r="N754" t="str">
        <f>"?"</f>
        <v>?</v>
      </c>
      <c r="O754">
        <v>2</v>
      </c>
      <c r="P754">
        <v>0</v>
      </c>
      <c r="Q754">
        <v>303</v>
      </c>
      <c r="R754">
        <v>100</v>
      </c>
      <c r="S754">
        <v>35170</v>
      </c>
      <c r="T754">
        <v>100</v>
      </c>
      <c r="U754">
        <v>35170</v>
      </c>
      <c r="V754" t="str">
        <f>""</f>
        <v/>
      </c>
      <c r="W754">
        <v>22</v>
      </c>
      <c r="X754">
        <v>0</v>
      </c>
      <c r="Y754">
        <v>6000577</v>
      </c>
      <c r="Z754" t="str">
        <f>""</f>
        <v/>
      </c>
      <c r="AA754">
        <v>27</v>
      </c>
      <c r="AB754" t="str">
        <f>""</f>
        <v/>
      </c>
      <c r="AC754" t="str">
        <f>""</f>
        <v/>
      </c>
      <c r="AD754" t="str">
        <f>""</f>
        <v/>
      </c>
      <c r="AE754">
        <v>2024</v>
      </c>
      <c r="AF754">
        <v>2024</v>
      </c>
      <c r="AG754" t="str">
        <f>""</f>
        <v/>
      </c>
      <c r="AH754" t="str">
        <f>""</f>
        <v/>
      </c>
      <c r="AI754" t="str">
        <f>""</f>
        <v/>
      </c>
      <c r="AJ754" t="str">
        <f>""</f>
        <v/>
      </c>
      <c r="AK754" t="str">
        <f>""</f>
        <v/>
      </c>
      <c r="AL754">
        <v>46</v>
      </c>
      <c r="AM754" t="str">
        <f>""</f>
        <v/>
      </c>
      <c r="AN754" t="str">
        <f>""</f>
        <v/>
      </c>
      <c r="AO754" t="str">
        <f>"Somerset College"</f>
        <v>Somerset College</v>
      </c>
      <c r="AP754" t="str">
        <f>"SOMERSET WEST"</f>
        <v>SOMERSET WEST</v>
      </c>
      <c r="AQ754" t="str">
        <f>"Etranger"</f>
        <v>Etranger</v>
      </c>
    </row>
    <row r="755" spans="1:43" x14ac:dyDescent="0.25">
      <c r="A755" t="str">
        <f>"Scolarité ext,T00000,Autres"</f>
        <v>Scolarité ext,T00000,Autres</v>
      </c>
      <c r="B755" t="str">
        <f>"MOURET"</f>
        <v>MOURET</v>
      </c>
      <c r="C755" t="str">
        <f>"Paul"</f>
        <v>Paul</v>
      </c>
      <c r="D755" t="str">
        <f>"020-1775"</f>
        <v>020-1775</v>
      </c>
      <c r="E755" t="str">
        <f>"153428485AE"</f>
        <v>153428485AE</v>
      </c>
      <c r="F755" t="str">
        <f t="shared" si="137"/>
        <v>0352480F</v>
      </c>
      <c r="G755" t="str">
        <f t="shared" si="138"/>
        <v>O</v>
      </c>
      <c r="H755">
        <v>10</v>
      </c>
      <c r="I755">
        <v>2000</v>
      </c>
      <c r="J755">
        <v>1</v>
      </c>
      <c r="K755" t="str">
        <f t="shared" ref="K755:K763" si="146">"S"</f>
        <v>S</v>
      </c>
      <c r="L755">
        <v>3</v>
      </c>
      <c r="M755">
        <v>2018</v>
      </c>
      <c r="N755" t="str">
        <f t="shared" ref="N755:N778" si="147">"E"</f>
        <v>E</v>
      </c>
      <c r="O755" t="str">
        <f>"D"</f>
        <v>D</v>
      </c>
      <c r="P755">
        <v>0</v>
      </c>
      <c r="Q755">
        <v>100</v>
      </c>
      <c r="R755">
        <v>100</v>
      </c>
      <c r="S755">
        <v>35136</v>
      </c>
      <c r="T755">
        <v>100</v>
      </c>
      <c r="U755">
        <v>35136</v>
      </c>
      <c r="V755" t="str">
        <f>"98/120 au TOEFL iBT - 15/12/2021 - niveau C1"</f>
        <v>98/120 au TOEFL iBT - 15/12/2021 - niveau C1</v>
      </c>
      <c r="W755">
        <v>34</v>
      </c>
      <c r="X755">
        <v>0</v>
      </c>
      <c r="Y755">
        <v>6000577</v>
      </c>
      <c r="Z755" t="str">
        <f>""</f>
        <v/>
      </c>
      <c r="AA755">
        <v>27</v>
      </c>
      <c r="AB755" t="str">
        <f>""</f>
        <v/>
      </c>
      <c r="AC755" t="str">
        <f>""</f>
        <v/>
      </c>
      <c r="AD755" t="str">
        <f>""</f>
        <v/>
      </c>
      <c r="AE755">
        <v>2018</v>
      </c>
      <c r="AF755">
        <v>2020</v>
      </c>
      <c r="AG755" t="str">
        <f>"Saint Jacques de la Lande"</f>
        <v>Saint Jacques de la Lande</v>
      </c>
      <c r="AH755" t="str">
        <f>"Saint Jacques de la Lande"</f>
        <v>Saint Jacques de la Lande</v>
      </c>
      <c r="AI755" t="str">
        <f>""</f>
        <v/>
      </c>
      <c r="AJ755" t="str">
        <f>""</f>
        <v/>
      </c>
      <c r="AK755" t="str">
        <f>""</f>
        <v/>
      </c>
      <c r="AL755">
        <v>42</v>
      </c>
      <c r="AM755" t="str">
        <f>""</f>
        <v/>
      </c>
      <c r="AN755" t="str">
        <f>""</f>
        <v/>
      </c>
      <c r="AO755" t="str">
        <f>"Condorcet"</f>
        <v>Condorcet</v>
      </c>
      <c r="AP755" t="str">
        <f>"BELFORT"</f>
        <v>BELFORT</v>
      </c>
      <c r="AQ755" t="str">
        <f>"Besançon"</f>
        <v>Besançon</v>
      </c>
    </row>
    <row r="756" spans="1:43" x14ac:dyDescent="0.25">
      <c r="A756" t="str">
        <f>"Scolarité ext,T00000,ENSAE"</f>
        <v>Scolarité ext,T00000,ENSAE</v>
      </c>
      <c r="B756" t="str">
        <f>"MORAINE"</f>
        <v>MORAINE</v>
      </c>
      <c r="C756" t="str">
        <f>"Louis"</f>
        <v>Louis</v>
      </c>
      <c r="D756" t="str">
        <f>"022-2270"</f>
        <v>022-2270</v>
      </c>
      <c r="E756" t="str">
        <f>"060778489GC"</f>
        <v>060778489GC</v>
      </c>
      <c r="F756" t="str">
        <f t="shared" si="137"/>
        <v>0352480F</v>
      </c>
      <c r="G756" t="str">
        <f t="shared" si="138"/>
        <v>O</v>
      </c>
      <c r="H756">
        <v>10</v>
      </c>
      <c r="I756">
        <v>2002</v>
      </c>
      <c r="J756">
        <v>1</v>
      </c>
      <c r="K756" t="str">
        <f t="shared" si="146"/>
        <v>S</v>
      </c>
      <c r="L756">
        <v>5</v>
      </c>
      <c r="M756">
        <v>2020</v>
      </c>
      <c r="N756" t="str">
        <f t="shared" si="147"/>
        <v>E</v>
      </c>
      <c r="O756" t="str">
        <f>"A"</f>
        <v>A</v>
      </c>
      <c r="P756">
        <v>0</v>
      </c>
      <c r="Q756">
        <v>100</v>
      </c>
      <c r="R756">
        <v>100</v>
      </c>
      <c r="S756">
        <v>35170</v>
      </c>
      <c r="T756">
        <v>100</v>
      </c>
      <c r="U756">
        <v>35170</v>
      </c>
      <c r="V756" t="str">
        <f>"TOEIC passé à l'ENSAI le 22/05/2023 : score 820  TOEIC 2A à l'ENSAI 08-01-2024 : 865"</f>
        <v>TOEIC passé à l'ENSAI le 22/05/2023 : score 820  TOEIC 2A à l'ENSAI 08-01-2024 : 865</v>
      </c>
      <c r="W756">
        <v>34</v>
      </c>
      <c r="X756">
        <v>0</v>
      </c>
      <c r="Y756">
        <v>6000577</v>
      </c>
      <c r="Z756" t="str">
        <f>""</f>
        <v/>
      </c>
      <c r="AA756">
        <v>27</v>
      </c>
      <c r="AB756" t="str">
        <f>""</f>
        <v/>
      </c>
      <c r="AC756" t="str">
        <f>""</f>
        <v/>
      </c>
      <c r="AD756" t="str">
        <f>""</f>
        <v/>
      </c>
      <c r="AE756">
        <v>2020</v>
      </c>
      <c r="AF756">
        <v>2022</v>
      </c>
      <c r="AG756" t="str">
        <f>"BRUZ"</f>
        <v>BRUZ</v>
      </c>
      <c r="AH756" t="str">
        <f>"BRUZ"</f>
        <v>BRUZ</v>
      </c>
      <c r="AI756" t="str">
        <f>""</f>
        <v/>
      </c>
      <c r="AJ756" t="str">
        <f>""</f>
        <v/>
      </c>
      <c r="AK756" t="str">
        <f>""</f>
        <v/>
      </c>
      <c r="AL756">
        <v>0</v>
      </c>
      <c r="AM756" t="str">
        <f>""</f>
        <v/>
      </c>
      <c r="AN756" t="str">
        <f>""</f>
        <v/>
      </c>
      <c r="AO756" t="str">
        <f>"Lycée André Maurois"</f>
        <v>Lycée André Maurois</v>
      </c>
      <c r="AP756" t="str">
        <f>"DEAUVILLE"</f>
        <v>DEAUVILLE</v>
      </c>
      <c r="AQ756" t="str">
        <f>"Caen"</f>
        <v>Caen</v>
      </c>
    </row>
    <row r="757" spans="1:43" x14ac:dyDescent="0.25">
      <c r="A757" t="str">
        <f>"Scolarité ext,T00000,ENSAE"</f>
        <v>Scolarité ext,T00000,ENSAE</v>
      </c>
      <c r="B757" t="str">
        <f>"OLIVIERI"</f>
        <v>OLIVIERI</v>
      </c>
      <c r="C757" t="str">
        <f>"Emy"</f>
        <v>Emy</v>
      </c>
      <c r="D757" t="str">
        <f>"020-1801"</f>
        <v>020-1801</v>
      </c>
      <c r="E757" t="str">
        <f>"060857423JG"</f>
        <v>060857423JG</v>
      </c>
      <c r="F757" t="str">
        <f t="shared" si="137"/>
        <v>0352480F</v>
      </c>
      <c r="G757" t="str">
        <f t="shared" si="138"/>
        <v>O</v>
      </c>
      <c r="H757">
        <v>10</v>
      </c>
      <c r="I757">
        <v>2000</v>
      </c>
      <c r="J757">
        <v>2</v>
      </c>
      <c r="K757" t="str">
        <f t="shared" si="146"/>
        <v>S</v>
      </c>
      <c r="L757">
        <v>2</v>
      </c>
      <c r="M757">
        <v>2018</v>
      </c>
      <c r="N757" t="str">
        <f t="shared" si="147"/>
        <v>E</v>
      </c>
      <c r="O757" t="str">
        <f>"D"</f>
        <v>D</v>
      </c>
      <c r="P757">
        <v>0</v>
      </c>
      <c r="Q757">
        <v>100</v>
      </c>
      <c r="R757">
        <v>100</v>
      </c>
      <c r="S757">
        <v>35170</v>
      </c>
      <c r="T757">
        <v>100</v>
      </c>
      <c r="U757">
        <v>35170</v>
      </c>
      <c r="V757" t="str">
        <f>""</f>
        <v/>
      </c>
      <c r="W757">
        <v>99</v>
      </c>
      <c r="X757">
        <v>0</v>
      </c>
      <c r="Y757">
        <v>6000577</v>
      </c>
      <c r="Z757" t="str">
        <f>""</f>
        <v/>
      </c>
      <c r="AA757">
        <v>27</v>
      </c>
      <c r="AB757" t="str">
        <f>""</f>
        <v/>
      </c>
      <c r="AC757" t="str">
        <f>""</f>
        <v/>
      </c>
      <c r="AD757" t="str">
        <f>""</f>
        <v/>
      </c>
      <c r="AE757">
        <v>2018</v>
      </c>
      <c r="AF757">
        <v>2020</v>
      </c>
      <c r="AG757" t="str">
        <f>"BRUZ"</f>
        <v>BRUZ</v>
      </c>
      <c r="AH757" t="str">
        <f>"BRUZ"</f>
        <v>BRUZ</v>
      </c>
      <c r="AI757" t="str">
        <f>""</f>
        <v/>
      </c>
      <c r="AJ757" t="str">
        <f>""</f>
        <v/>
      </c>
      <c r="AK757" t="str">
        <f>""</f>
        <v/>
      </c>
      <c r="AL757">
        <v>72</v>
      </c>
      <c r="AM757" t="str">
        <f>""</f>
        <v/>
      </c>
      <c r="AN757" t="str">
        <f>""</f>
        <v/>
      </c>
      <c r="AO757" t="str">
        <f>"Lycée Marie Madeleine Fourcade"</f>
        <v>Lycée Marie Madeleine Fourcade</v>
      </c>
      <c r="AP757" t="str">
        <f>"GARDANNE"</f>
        <v>GARDANNE</v>
      </c>
      <c r="AQ757" t="str">
        <f>"Aix-Marseille"</f>
        <v>Aix-Marseille</v>
      </c>
    </row>
    <row r="758" spans="1:43" x14ac:dyDescent="0.25">
      <c r="A758" t="str">
        <f>"Scolarité ext,T00000,ENSAE"</f>
        <v>Scolarité ext,T00000,ENSAE</v>
      </c>
      <c r="B758" t="str">
        <f>"SKLARIK"</f>
        <v>SKLARIK</v>
      </c>
      <c r="C758" t="str">
        <f>"Julien"</f>
        <v>Julien</v>
      </c>
      <c r="D758" t="str">
        <f>"020-1835"</f>
        <v>020-1835</v>
      </c>
      <c r="E758" t="str">
        <f>"1510015623E"</f>
        <v>1510015623E</v>
      </c>
      <c r="F758" t="str">
        <f t="shared" si="137"/>
        <v>0352480F</v>
      </c>
      <c r="G758" t="str">
        <f t="shared" si="138"/>
        <v>O</v>
      </c>
      <c r="H758">
        <v>10</v>
      </c>
      <c r="I758">
        <v>1999</v>
      </c>
      <c r="J758">
        <v>1</v>
      </c>
      <c r="K758" t="str">
        <f t="shared" si="146"/>
        <v>S</v>
      </c>
      <c r="L758">
        <v>13</v>
      </c>
      <c r="M758">
        <v>2017</v>
      </c>
      <c r="N758" t="str">
        <f t="shared" si="147"/>
        <v>E</v>
      </c>
      <c r="O758" t="str">
        <f>"A"</f>
        <v>A</v>
      </c>
      <c r="P758">
        <v>0</v>
      </c>
      <c r="Q758">
        <v>100</v>
      </c>
      <c r="R758">
        <v>100</v>
      </c>
      <c r="S758">
        <v>35133</v>
      </c>
      <c r="T758">
        <v>100</v>
      </c>
      <c r="U758">
        <v>35133</v>
      </c>
      <c r="V758" t="str">
        <f>"dispensé de POE - validation par portfolio POE    POE : Stage 2A - UK"</f>
        <v>dispensé de POE - validation par portfolio POE    POE : Stage 2A - UK</v>
      </c>
      <c r="W758">
        <v>43</v>
      </c>
      <c r="X758">
        <v>0</v>
      </c>
      <c r="Y758">
        <v>6000577</v>
      </c>
      <c r="Z758" t="str">
        <f>""</f>
        <v/>
      </c>
      <c r="AA758">
        <v>27</v>
      </c>
      <c r="AB758" t="str">
        <f>""</f>
        <v/>
      </c>
      <c r="AC758" t="str">
        <f>""</f>
        <v/>
      </c>
      <c r="AD758" t="str">
        <f>""</f>
        <v/>
      </c>
      <c r="AE758">
        <v>2017</v>
      </c>
      <c r="AF758">
        <v>2020</v>
      </c>
      <c r="AG758" t="str">
        <f>"saint-germain en coglès"</f>
        <v>saint-germain en coglès</v>
      </c>
      <c r="AH758" t="str">
        <f>"saint-germain en coglès"</f>
        <v>saint-germain en coglès</v>
      </c>
      <c r="AI758" t="str">
        <f>""</f>
        <v/>
      </c>
      <c r="AJ758" t="str">
        <f>""</f>
        <v/>
      </c>
      <c r="AK758" t="str">
        <f>""</f>
        <v/>
      </c>
      <c r="AL758">
        <v>37</v>
      </c>
      <c r="AM758" t="str">
        <f>""</f>
        <v/>
      </c>
      <c r="AN758" t="str">
        <f>""</f>
        <v/>
      </c>
      <c r="AO758" t="str">
        <f>"lycée Bernard Palissy"</f>
        <v>lycée Bernard Palissy</v>
      </c>
      <c r="AP758" t="str">
        <f>"SAINTES"</f>
        <v>SAINTES</v>
      </c>
      <c r="AQ758" t="str">
        <f>"Poitiers"</f>
        <v>Poitiers</v>
      </c>
    </row>
    <row r="759" spans="1:43" x14ac:dyDescent="0.25">
      <c r="A759" t="str">
        <f>"Scolarité ext,T00000,ENSAE"</f>
        <v>Scolarité ext,T00000,ENSAE</v>
      </c>
      <c r="B759" t="str">
        <f>"TREMOUILLE"</f>
        <v>TREMOUILLE</v>
      </c>
      <c r="C759" t="str">
        <f>"Maël"</f>
        <v>Maël</v>
      </c>
      <c r="D759" t="str">
        <f>"022-2302"</f>
        <v>022-2302</v>
      </c>
      <c r="E759" t="str">
        <f>"060791340BF"</f>
        <v>060791340BF</v>
      </c>
      <c r="F759" t="str">
        <f t="shared" si="137"/>
        <v>0352480F</v>
      </c>
      <c r="G759" t="str">
        <f t="shared" si="138"/>
        <v>O</v>
      </c>
      <c r="H759">
        <v>10</v>
      </c>
      <c r="I759">
        <v>2002</v>
      </c>
      <c r="J759">
        <v>1</v>
      </c>
      <c r="K759" t="str">
        <f t="shared" si="146"/>
        <v>S</v>
      </c>
      <c r="L759">
        <v>16</v>
      </c>
      <c r="M759">
        <v>2020</v>
      </c>
      <c r="N759" t="str">
        <f t="shared" si="147"/>
        <v>E</v>
      </c>
      <c r="O759" t="str">
        <f>"A"</f>
        <v>A</v>
      </c>
      <c r="P759">
        <v>0</v>
      </c>
      <c r="Q759">
        <v>100</v>
      </c>
      <c r="R759">
        <v>100</v>
      </c>
      <c r="S759">
        <v>35650</v>
      </c>
      <c r="T759">
        <v>100</v>
      </c>
      <c r="U759">
        <v>35650</v>
      </c>
      <c r="V759" t="str">
        <f>"TOEIC 2A à l'ENSAI 08-01-2024 : 955"</f>
        <v>TOEIC 2A à l'ENSAI 08-01-2024 : 955</v>
      </c>
      <c r="W759">
        <v>52</v>
      </c>
      <c r="X759">
        <v>0</v>
      </c>
      <c r="Y759">
        <v>6000577</v>
      </c>
      <c r="Z759" t="str">
        <f>""</f>
        <v/>
      </c>
      <c r="AA759">
        <v>27</v>
      </c>
      <c r="AB759" t="str">
        <f>""</f>
        <v/>
      </c>
      <c r="AC759" t="str">
        <f>""</f>
        <v/>
      </c>
      <c r="AD759" t="str">
        <f>""</f>
        <v/>
      </c>
      <c r="AE759">
        <v>2020</v>
      </c>
      <c r="AF759">
        <v>2022</v>
      </c>
      <c r="AG759" t="str">
        <f>"Le Rheu"</f>
        <v>Le Rheu</v>
      </c>
      <c r="AH759" t="str">
        <f>"Le Rheu"</f>
        <v>Le Rheu</v>
      </c>
      <c r="AI759" t="str">
        <f>""</f>
        <v/>
      </c>
      <c r="AJ759" t="str">
        <f>""</f>
        <v/>
      </c>
      <c r="AK759" t="str">
        <f>""</f>
        <v/>
      </c>
      <c r="AL759">
        <v>34</v>
      </c>
      <c r="AM759" t="str">
        <f>""</f>
        <v/>
      </c>
      <c r="AN759" t="str">
        <f>""</f>
        <v/>
      </c>
      <c r="AO759" t="str">
        <f>"Antoine Bourdelle"</f>
        <v>Antoine Bourdelle</v>
      </c>
      <c r="AP759" t="str">
        <f>"MONTAUBAN"</f>
        <v>MONTAUBAN</v>
      </c>
      <c r="AQ759" t="str">
        <f>"Toulouse"</f>
        <v>Toulouse</v>
      </c>
    </row>
    <row r="760" spans="1:43" x14ac:dyDescent="0.25">
      <c r="A760" t="str">
        <f>"Scolarité ext,T00000,ESE"</f>
        <v>Scolarité ext,T00000,ESE</v>
      </c>
      <c r="B760" t="str">
        <f>"FERRO"</f>
        <v>FERRO</v>
      </c>
      <c r="C760" t="str">
        <f>"Matteo"</f>
        <v>Matteo</v>
      </c>
      <c r="D760" t="str">
        <f>"022-2273"</f>
        <v>022-2273</v>
      </c>
      <c r="E760" t="str">
        <f>"060343644FG"</f>
        <v>060343644FG</v>
      </c>
      <c r="F760" t="str">
        <f t="shared" si="137"/>
        <v>0352480F</v>
      </c>
      <c r="G760" t="str">
        <f t="shared" si="138"/>
        <v>O</v>
      </c>
      <c r="H760">
        <v>10</v>
      </c>
      <c r="I760">
        <v>2002</v>
      </c>
      <c r="J760">
        <v>1</v>
      </c>
      <c r="K760" t="str">
        <f t="shared" si="146"/>
        <v>S</v>
      </c>
      <c r="L760">
        <v>25</v>
      </c>
      <c r="M760">
        <v>2020</v>
      </c>
      <c r="N760" t="str">
        <f t="shared" si="147"/>
        <v>E</v>
      </c>
      <c r="O760" t="str">
        <f>"D"</f>
        <v>D</v>
      </c>
      <c r="P760">
        <v>0</v>
      </c>
      <c r="Q760">
        <v>100</v>
      </c>
      <c r="R760">
        <v>100</v>
      </c>
      <c r="S760">
        <v>35200</v>
      </c>
      <c r="T760">
        <v>100</v>
      </c>
      <c r="U760">
        <v>35200</v>
      </c>
      <c r="V760" t="str">
        <f>"TOEIC passé à l'ENSAI le 22/05/2023 : score 960"</f>
        <v>TOEIC passé à l'ENSAI le 22/05/2023 : score 960</v>
      </c>
      <c r="W760">
        <v>34</v>
      </c>
      <c r="X760">
        <v>0</v>
      </c>
      <c r="Y760">
        <v>6000577</v>
      </c>
      <c r="Z760" t="str">
        <f>""</f>
        <v/>
      </c>
      <c r="AA760">
        <v>27</v>
      </c>
      <c r="AB760" t="str">
        <f>""</f>
        <v/>
      </c>
      <c r="AC760" t="str">
        <f>""</f>
        <v/>
      </c>
      <c r="AD760" t="str">
        <f>""</f>
        <v/>
      </c>
      <c r="AE760">
        <v>2020</v>
      </c>
      <c r="AF760">
        <v>2022</v>
      </c>
      <c r="AG760" t="str">
        <f>"Rennes"</f>
        <v>Rennes</v>
      </c>
      <c r="AH760" t="str">
        <f>"Rennes"</f>
        <v>Rennes</v>
      </c>
      <c r="AI760" t="str">
        <f>""</f>
        <v/>
      </c>
      <c r="AJ760" t="str">
        <f>""</f>
        <v/>
      </c>
      <c r="AK760" t="str">
        <f>""</f>
        <v/>
      </c>
      <c r="AL760">
        <v>38</v>
      </c>
      <c r="AM760" t="str">
        <f>""</f>
        <v/>
      </c>
      <c r="AN760" t="str">
        <f>""</f>
        <v/>
      </c>
      <c r="AO760" t="str">
        <f>"Lycée Polyvalent Gustave Monod"</f>
        <v>Lycée Polyvalent Gustave Monod</v>
      </c>
      <c r="AP760" t="str">
        <f>"ENGHIEN-LES-BAINS"</f>
        <v>ENGHIEN-LES-BAINS</v>
      </c>
      <c r="AQ760" t="str">
        <f>"Versailles"</f>
        <v>Versailles</v>
      </c>
    </row>
    <row r="761" spans="1:43" x14ac:dyDescent="0.25">
      <c r="A761" t="str">
        <f>"Scolarité ext,T00000,ESE"</f>
        <v>Scolarité ext,T00000,ESE</v>
      </c>
      <c r="B761" t="str">
        <f>"MEDANE"</f>
        <v>MEDANE</v>
      </c>
      <c r="C761" t="str">
        <f>"Laëtitia"</f>
        <v>Laëtitia</v>
      </c>
      <c r="D761" t="str">
        <f>"020-1694"</f>
        <v>020-1694</v>
      </c>
      <c r="E761" t="str">
        <f>"2408003340K"</f>
        <v>2408003340K</v>
      </c>
      <c r="F761" t="str">
        <f t="shared" si="137"/>
        <v>0352480F</v>
      </c>
      <c r="G761" t="str">
        <f t="shared" si="138"/>
        <v>O</v>
      </c>
      <c r="H761">
        <v>10</v>
      </c>
      <c r="I761">
        <v>1997</v>
      </c>
      <c r="J761">
        <v>2</v>
      </c>
      <c r="K761" t="str">
        <f t="shared" si="146"/>
        <v>S</v>
      </c>
      <c r="L761">
        <v>24</v>
      </c>
      <c r="M761">
        <v>2015</v>
      </c>
      <c r="N761" t="str">
        <f t="shared" si="147"/>
        <v>E</v>
      </c>
      <c r="O761" t="str">
        <f>"N"</f>
        <v>N</v>
      </c>
      <c r="P761">
        <v>0</v>
      </c>
      <c r="Q761">
        <v>100</v>
      </c>
      <c r="R761">
        <v>100</v>
      </c>
      <c r="S761">
        <v>35170</v>
      </c>
      <c r="T761">
        <v>100</v>
      </c>
      <c r="U761">
        <v>35170</v>
      </c>
      <c r="V761" t="str">
        <f>"Certif d'anglais &amp;quot:4 compétences&amp;quot: IELTS passée le 27/10/2021 en ligne : score 8 (niveau C1)    Bénéficiaire de la bourse Crous jusqu'au 31/12/2023.    POE &amp;gt: Stage 2A + DD 3A"</f>
        <v>Certif d'anglais &amp;quot:4 compétences&amp;quot: IELTS passée le 27/10/2021 en ligne : score 8 (niveau C1)    Bénéficiaire de la bourse Crous jusqu'au 31/12/2023.    POE &amp;gt: Stage 2A + DD 3A</v>
      </c>
      <c r="W761">
        <v>43</v>
      </c>
      <c r="X761">
        <v>0</v>
      </c>
      <c r="Y761">
        <v>6000577</v>
      </c>
      <c r="Z761" t="str">
        <f>""</f>
        <v/>
      </c>
      <c r="AA761">
        <v>27</v>
      </c>
      <c r="AB761" t="str">
        <f>""</f>
        <v/>
      </c>
      <c r="AC761" t="str">
        <f>""</f>
        <v/>
      </c>
      <c r="AD761" t="str">
        <f>""</f>
        <v/>
      </c>
      <c r="AE761">
        <v>2015</v>
      </c>
      <c r="AF761">
        <v>2020</v>
      </c>
      <c r="AG761" t="str">
        <f>"Bruz"</f>
        <v>Bruz</v>
      </c>
      <c r="AH761" t="str">
        <f>"Bruz"</f>
        <v>Bruz</v>
      </c>
      <c r="AI761" t="str">
        <f>""</f>
        <v/>
      </c>
      <c r="AJ761" t="str">
        <f>""</f>
        <v/>
      </c>
      <c r="AK761" t="str">
        <f>""</f>
        <v/>
      </c>
      <c r="AL761">
        <v>37</v>
      </c>
      <c r="AM761" t="str">
        <f>""</f>
        <v/>
      </c>
      <c r="AN761" t="str">
        <f>""</f>
        <v/>
      </c>
      <c r="AO761" t="str">
        <f>"Lycée George Sand"</f>
        <v>Lycée George Sand</v>
      </c>
      <c r="AP761" t="str">
        <f>"LE MÉE SUR SEINE"</f>
        <v>LE MÉE SUR SEINE</v>
      </c>
      <c r="AQ761" t="str">
        <f>"Créteil"</f>
        <v>Créteil</v>
      </c>
    </row>
    <row r="762" spans="1:43" x14ac:dyDescent="0.25">
      <c r="A762" t="str">
        <f>"Scolarité ext,T00000,SAPIENZA"</f>
        <v>Scolarité ext,T00000,SAPIENZA</v>
      </c>
      <c r="B762" t="str">
        <f>"DE LA TULLAYE"</f>
        <v>DE LA TULLAYE</v>
      </c>
      <c r="C762" t="str">
        <f>"Marguerite"</f>
        <v>Marguerite</v>
      </c>
      <c r="D762" t="str">
        <f>"022-2212"</f>
        <v>022-2212</v>
      </c>
      <c r="E762" t="str">
        <f>"100871951KF"</f>
        <v>100871951KF</v>
      </c>
      <c r="F762" t="str">
        <f t="shared" si="137"/>
        <v>0352480F</v>
      </c>
      <c r="G762" t="str">
        <f t="shared" si="138"/>
        <v>O</v>
      </c>
      <c r="H762">
        <v>10</v>
      </c>
      <c r="I762">
        <v>2002</v>
      </c>
      <c r="J762">
        <v>2</v>
      </c>
      <c r="K762" t="str">
        <f t="shared" si="146"/>
        <v>S</v>
      </c>
      <c r="L762">
        <v>13</v>
      </c>
      <c r="M762">
        <v>2020</v>
      </c>
      <c r="N762" t="str">
        <f t="shared" si="147"/>
        <v>E</v>
      </c>
      <c r="O762" t="str">
        <f>"D"</f>
        <v>D</v>
      </c>
      <c r="P762">
        <v>0</v>
      </c>
      <c r="Q762">
        <v>100</v>
      </c>
      <c r="R762">
        <v>100</v>
      </c>
      <c r="S762">
        <v>35000</v>
      </c>
      <c r="T762">
        <v>100</v>
      </c>
      <c r="U762">
        <v>35000</v>
      </c>
      <c r="V762" t="str">
        <f>"TOEIC passé à l'ENSAI le 22/05/2023 : score 910"</f>
        <v>TOEIC passé à l'ENSAI le 22/05/2023 : score 910</v>
      </c>
      <c r="W762">
        <v>38</v>
      </c>
      <c r="X762">
        <v>0</v>
      </c>
      <c r="Y762">
        <v>6000577</v>
      </c>
      <c r="Z762" t="str">
        <f>""</f>
        <v/>
      </c>
      <c r="AA762">
        <v>27</v>
      </c>
      <c r="AB762" t="str">
        <f>""</f>
        <v/>
      </c>
      <c r="AC762" t="str">
        <f>""</f>
        <v/>
      </c>
      <c r="AD762" t="str">
        <f>""</f>
        <v/>
      </c>
      <c r="AE762">
        <v>2020</v>
      </c>
      <c r="AF762">
        <v>2022</v>
      </c>
      <c r="AG762" t="str">
        <f>"RENNES"</f>
        <v>RENNES</v>
      </c>
      <c r="AH762" t="str">
        <f>"RENNES"</f>
        <v>RENNES</v>
      </c>
      <c r="AI762" t="str">
        <f>""</f>
        <v/>
      </c>
      <c r="AJ762" t="str">
        <f>""</f>
        <v/>
      </c>
      <c r="AK762" t="str">
        <f>""</f>
        <v/>
      </c>
      <c r="AL762">
        <v>55</v>
      </c>
      <c r="AM762" t="str">
        <f>""</f>
        <v/>
      </c>
      <c r="AN762" t="str">
        <f>""</f>
        <v/>
      </c>
      <c r="AO762" t="str">
        <f>"UNION CHRETIENNE DE SAINT CHAUMOND"</f>
        <v>UNION CHRETIENNE DE SAINT CHAUMOND</v>
      </c>
      <c r="AP762" t="str">
        <f>"POITIERS"</f>
        <v>POITIERS</v>
      </c>
      <c r="AQ762" t="str">
        <f>"Poitiers"</f>
        <v>Poitiers</v>
      </c>
    </row>
    <row r="763" spans="1:43" x14ac:dyDescent="0.25">
      <c r="A763" t="str">
        <f>"Scolarité ext,T00000,SAPIENZA"</f>
        <v>Scolarité ext,T00000,SAPIENZA</v>
      </c>
      <c r="B763" t="str">
        <f>"POICHOTTE"</f>
        <v>POICHOTTE</v>
      </c>
      <c r="C763" t="str">
        <f>"Hugo"</f>
        <v>Hugo</v>
      </c>
      <c r="D763" t="str">
        <f>"022-2277"</f>
        <v>022-2277</v>
      </c>
      <c r="E763" t="str">
        <f>"061350251BJ"</f>
        <v>061350251BJ</v>
      </c>
      <c r="F763" t="str">
        <f t="shared" si="137"/>
        <v>0352480F</v>
      </c>
      <c r="G763" t="str">
        <f t="shared" si="138"/>
        <v>O</v>
      </c>
      <c r="H763">
        <v>10</v>
      </c>
      <c r="I763">
        <v>2003</v>
      </c>
      <c r="J763">
        <v>1</v>
      </c>
      <c r="K763" t="str">
        <f t="shared" si="146"/>
        <v>S</v>
      </c>
      <c r="L763">
        <v>25</v>
      </c>
      <c r="M763">
        <v>2020</v>
      </c>
      <c r="N763" t="str">
        <f t="shared" si="147"/>
        <v>E</v>
      </c>
      <c r="O763" t="str">
        <f>"D"</f>
        <v>D</v>
      </c>
      <c r="P763">
        <v>0</v>
      </c>
      <c r="Q763">
        <v>100</v>
      </c>
      <c r="R763">
        <v>100</v>
      </c>
      <c r="S763">
        <v>95100</v>
      </c>
      <c r="T763">
        <v>100</v>
      </c>
      <c r="U763">
        <v>95100</v>
      </c>
      <c r="V763" t="str">
        <f>"TOEIC 2A à l'ENSAI 08-01-2024 : 965"</f>
        <v>TOEIC 2A à l'ENSAI 08-01-2024 : 965</v>
      </c>
      <c r="W763">
        <v>38</v>
      </c>
      <c r="X763">
        <v>0</v>
      </c>
      <c r="Y763">
        <v>6000577</v>
      </c>
      <c r="Z763" t="str">
        <f>""</f>
        <v/>
      </c>
      <c r="AA763">
        <v>27</v>
      </c>
      <c r="AB763" t="str">
        <f>""</f>
        <v/>
      </c>
      <c r="AC763" t="str">
        <f>""</f>
        <v/>
      </c>
      <c r="AD763" t="str">
        <f>""</f>
        <v/>
      </c>
      <c r="AE763">
        <v>2020</v>
      </c>
      <c r="AF763">
        <v>2022</v>
      </c>
      <c r="AG763" t="str">
        <f>"Argenteuil"</f>
        <v>Argenteuil</v>
      </c>
      <c r="AH763" t="str">
        <f>"Argenteuil"</f>
        <v>Argenteuil</v>
      </c>
      <c r="AI763" t="str">
        <f>""</f>
        <v/>
      </c>
      <c r="AJ763" t="str">
        <f>""</f>
        <v/>
      </c>
      <c r="AK763" t="str">
        <f>""</f>
        <v/>
      </c>
      <c r="AL763">
        <v>56</v>
      </c>
      <c r="AM763" t="str">
        <f>""</f>
        <v/>
      </c>
      <c r="AN763" t="str">
        <f>""</f>
        <v/>
      </c>
      <c r="AO763" t="str">
        <f>"Notre Dame"</f>
        <v>Notre Dame</v>
      </c>
      <c r="AP763" t="str">
        <f>"SANNOIS"</f>
        <v>SANNOIS</v>
      </c>
      <c r="AQ763" t="str">
        <f>"Versailles"</f>
        <v>Versailles</v>
      </c>
    </row>
    <row r="764" spans="1:43" x14ac:dyDescent="0.25">
      <c r="A764" t="str">
        <f>"Scolarité ext,T00135,ENSAE"</f>
        <v>Scolarité ext,T00135,ENSAE</v>
      </c>
      <c r="B764" t="str">
        <f>"EL JEILANY"</f>
        <v>EL JEILANY</v>
      </c>
      <c r="C764" t="str">
        <f>"Mohamed"</f>
        <v>Mohamed</v>
      </c>
      <c r="D764" t="str">
        <f>"019-1590"</f>
        <v>019-1590</v>
      </c>
      <c r="E764" t="str">
        <f>"173016709FH"</f>
        <v>173016709FH</v>
      </c>
      <c r="F764" t="str">
        <f t="shared" si="137"/>
        <v>0352480F</v>
      </c>
      <c r="G764" t="str">
        <f t="shared" si="138"/>
        <v>O</v>
      </c>
      <c r="H764">
        <v>10</v>
      </c>
      <c r="I764">
        <v>1999</v>
      </c>
      <c r="J764">
        <v>1</v>
      </c>
      <c r="K764">
        <v>31</v>
      </c>
      <c r="L764">
        <v>0</v>
      </c>
      <c r="M764">
        <v>2017</v>
      </c>
      <c r="N764" t="str">
        <f t="shared" si="147"/>
        <v>E</v>
      </c>
      <c r="O764">
        <v>1</v>
      </c>
      <c r="P764">
        <v>0</v>
      </c>
      <c r="Q764">
        <v>336</v>
      </c>
      <c r="R764">
        <v>100</v>
      </c>
      <c r="S764">
        <v>35170</v>
      </c>
      <c r="T764">
        <v>100</v>
      </c>
      <c r="U764">
        <v>35170</v>
      </c>
      <c r="V764" t="str">
        <f>"Exonéré des frais de scolarité 2020/2021 par décision commission de bourses et a perçu une aide financière de l'Ensai le 02/11/2020"</f>
        <v>Exonéré des frais de scolarité 2020/2021 par décision commission de bourses et a perçu une aide financière de l'Ensai le 02/11/2020</v>
      </c>
      <c r="W764">
        <v>34</v>
      </c>
      <c r="X764">
        <v>0</v>
      </c>
      <c r="Y764">
        <v>6000577</v>
      </c>
      <c r="Z764" t="str">
        <f>""</f>
        <v/>
      </c>
      <c r="AA764">
        <v>27</v>
      </c>
      <c r="AB764" t="str">
        <f>""</f>
        <v/>
      </c>
      <c r="AC764" t="str">
        <f>""</f>
        <v/>
      </c>
      <c r="AD764" t="str">
        <f>""</f>
        <v/>
      </c>
      <c r="AE764">
        <v>2017</v>
      </c>
      <c r="AF764">
        <v>2019</v>
      </c>
      <c r="AG764" t="str">
        <f>"bruz"</f>
        <v>bruz</v>
      </c>
      <c r="AH764" t="str">
        <f>"bruz"</f>
        <v>bruz</v>
      </c>
      <c r="AI764" t="str">
        <f>""</f>
        <v/>
      </c>
      <c r="AJ764" t="str">
        <f>""</f>
        <v/>
      </c>
      <c r="AK764" t="str">
        <f>""</f>
        <v/>
      </c>
      <c r="AL764">
        <v>34</v>
      </c>
      <c r="AM764" t="str">
        <f>""</f>
        <v/>
      </c>
      <c r="AN764" t="str">
        <f>""</f>
        <v/>
      </c>
      <c r="AO764" t="str">
        <f>"Lycée Théodore Monod"</f>
        <v>Lycée Théodore Monod</v>
      </c>
      <c r="AP764" t="str">
        <f>"NOUAKCHOTT"</f>
        <v>NOUAKCHOTT</v>
      </c>
      <c r="AQ764" t="str">
        <f>"Etranger"</f>
        <v>Etranger</v>
      </c>
    </row>
    <row r="765" spans="1:43" x14ac:dyDescent="0.25">
      <c r="A765" t="str">
        <f>"Scolarité ext,T00135,ENSAE"</f>
        <v>Scolarité ext,T00135,ENSAE</v>
      </c>
      <c r="B765" t="str">
        <f>"LOUMAGNE"</f>
        <v>LOUMAGNE</v>
      </c>
      <c r="C765" t="str">
        <f>"Elena"</f>
        <v>Elena</v>
      </c>
      <c r="D765" t="str">
        <f>"020-1782"</f>
        <v>020-1782</v>
      </c>
      <c r="E765" t="str">
        <f>"100655075HK"</f>
        <v>100655075HK</v>
      </c>
      <c r="F765" t="str">
        <f t="shared" si="137"/>
        <v>0352480F</v>
      </c>
      <c r="G765" t="str">
        <f t="shared" si="138"/>
        <v>O</v>
      </c>
      <c r="H765">
        <v>10</v>
      </c>
      <c r="I765">
        <v>2000</v>
      </c>
      <c r="J765">
        <v>2</v>
      </c>
      <c r="K765" t="str">
        <f>"S"</f>
        <v>S</v>
      </c>
      <c r="L765">
        <v>11</v>
      </c>
      <c r="M765">
        <v>2018</v>
      </c>
      <c r="N765" t="str">
        <f t="shared" si="147"/>
        <v>E</v>
      </c>
      <c r="O765" t="str">
        <f>"D"</f>
        <v>D</v>
      </c>
      <c r="P765">
        <v>0</v>
      </c>
      <c r="Q765">
        <v>100</v>
      </c>
      <c r="R765">
        <v>100</v>
      </c>
      <c r="S765">
        <v>35170</v>
      </c>
      <c r="T765">
        <v>100</v>
      </c>
      <c r="U765">
        <v>35170</v>
      </c>
      <c r="V765" t="str">
        <f>"TOEIC à l'ENSAI le 2/11/2022 - 945"</f>
        <v>TOEIC à l'ENSAI le 2/11/2022 - 945</v>
      </c>
      <c r="W765">
        <v>73</v>
      </c>
      <c r="X765">
        <v>0</v>
      </c>
      <c r="Y765">
        <v>6000577</v>
      </c>
      <c r="Z765" t="str">
        <f>""</f>
        <v/>
      </c>
      <c r="AA765">
        <v>27</v>
      </c>
      <c r="AB765" t="str">
        <f>""</f>
        <v/>
      </c>
      <c r="AC765" t="str">
        <f>""</f>
        <v/>
      </c>
      <c r="AD765" t="str">
        <f>""</f>
        <v/>
      </c>
      <c r="AE765">
        <v>2018</v>
      </c>
      <c r="AF765">
        <v>2020</v>
      </c>
      <c r="AG765" t="str">
        <f>"BRUZ"</f>
        <v>BRUZ</v>
      </c>
      <c r="AH765" t="str">
        <f>"BRUZ"</f>
        <v>BRUZ</v>
      </c>
      <c r="AI765" t="str">
        <f>""</f>
        <v/>
      </c>
      <c r="AJ765" t="str">
        <f>""</f>
        <v/>
      </c>
      <c r="AK765" t="str">
        <f>""</f>
        <v/>
      </c>
      <c r="AL765">
        <v>66</v>
      </c>
      <c r="AM765" t="str">
        <f>""</f>
        <v/>
      </c>
      <c r="AN765" t="str">
        <f>""</f>
        <v/>
      </c>
      <c r="AO765" t="str">
        <f>"PRIVE ND DE LA MERCI"</f>
        <v>PRIVE ND DE LA MERCI</v>
      </c>
      <c r="AP765" t="str">
        <f>"MONTPELLIER"</f>
        <v>MONTPELLIER</v>
      </c>
      <c r="AQ765" t="str">
        <f>"Montpellier"</f>
        <v>Montpellier</v>
      </c>
    </row>
    <row r="766" spans="1:43" x14ac:dyDescent="0.25">
      <c r="A766" t="str">
        <f>"Scolarité ext,T00135,ENSAE"</f>
        <v>Scolarité ext,T00135,ENSAE</v>
      </c>
      <c r="B766" t="str">
        <f>"REMMACHE"</f>
        <v>REMMACHE</v>
      </c>
      <c r="C766" t="str">
        <f>"Yanis"</f>
        <v>Yanis</v>
      </c>
      <c r="D766" t="str">
        <f>"020-1820"</f>
        <v>020-1820</v>
      </c>
      <c r="E766" t="str">
        <f>"071155111BF"</f>
        <v>071155111BF</v>
      </c>
      <c r="F766" t="str">
        <f t="shared" si="137"/>
        <v>0352480F</v>
      </c>
      <c r="G766" t="str">
        <f t="shared" si="138"/>
        <v>O</v>
      </c>
      <c r="H766">
        <v>10</v>
      </c>
      <c r="I766">
        <v>1999</v>
      </c>
      <c r="J766">
        <v>1</v>
      </c>
      <c r="K766" t="str">
        <f>"ES"</f>
        <v>ES</v>
      </c>
      <c r="L766">
        <v>9</v>
      </c>
      <c r="M766">
        <v>2017</v>
      </c>
      <c r="N766" t="str">
        <f t="shared" si="147"/>
        <v>E</v>
      </c>
      <c r="O766" t="str">
        <f>"D"</f>
        <v>D</v>
      </c>
      <c r="P766">
        <v>0</v>
      </c>
      <c r="Q766">
        <v>100</v>
      </c>
      <c r="R766">
        <v>100</v>
      </c>
      <c r="S766">
        <v>35310</v>
      </c>
      <c r="T766">
        <v>100</v>
      </c>
      <c r="U766">
        <v>35310</v>
      </c>
      <c r="V766" t="str">
        <f>"TOEIC à l'ENSAI le 2/11/2022 - 825"</f>
        <v>TOEIC à l'ENSAI le 2/11/2022 - 825</v>
      </c>
      <c r="W766">
        <v>34</v>
      </c>
      <c r="X766">
        <v>0</v>
      </c>
      <c r="Y766">
        <v>6000577</v>
      </c>
      <c r="Z766" t="str">
        <f>""</f>
        <v/>
      </c>
      <c r="AA766">
        <v>27</v>
      </c>
      <c r="AB766" t="str">
        <f>""</f>
        <v/>
      </c>
      <c r="AC766" t="str">
        <f>""</f>
        <v/>
      </c>
      <c r="AD766" t="str">
        <f>""</f>
        <v/>
      </c>
      <c r="AE766">
        <v>2017</v>
      </c>
      <c r="AF766">
        <v>2020</v>
      </c>
      <c r="AG766" t="str">
        <f>"Saint Thurial"</f>
        <v>Saint Thurial</v>
      </c>
      <c r="AH766" t="str">
        <f>"Saint Thurial"</f>
        <v>Saint Thurial</v>
      </c>
      <c r="AI766" t="str">
        <f>""</f>
        <v/>
      </c>
      <c r="AJ766" t="str">
        <f>""</f>
        <v/>
      </c>
      <c r="AK766" t="str">
        <f>""</f>
        <v/>
      </c>
      <c r="AL766">
        <v>52</v>
      </c>
      <c r="AM766" t="str">
        <f>""</f>
        <v/>
      </c>
      <c r="AN766" t="str">
        <f>""</f>
        <v/>
      </c>
      <c r="AO766" t="str">
        <f>"Lycée Vauban"</f>
        <v>Lycée Vauban</v>
      </c>
      <c r="AP766" t="str">
        <f>"AIRE-SUR-LA-LYS"</f>
        <v>AIRE-SUR-LA-LYS</v>
      </c>
      <c r="AQ766" t="str">
        <f>"Lille"</f>
        <v>Lille</v>
      </c>
    </row>
    <row r="767" spans="1:43" x14ac:dyDescent="0.25">
      <c r="A767" t="str">
        <f>"Scolarité ext,T00135,ENSAE"</f>
        <v>Scolarité ext,T00135,ENSAE</v>
      </c>
      <c r="B767" t="str">
        <f>"VAN ASSCHE"</f>
        <v>VAN ASSCHE</v>
      </c>
      <c r="C767" t="str">
        <f>"Nathan"</f>
        <v>Nathan</v>
      </c>
      <c r="D767" t="str">
        <f>"021-1984"</f>
        <v>021-1984</v>
      </c>
      <c r="E767" t="str">
        <f>"123050635HD"</f>
        <v>123050635HD</v>
      </c>
      <c r="F767" t="str">
        <f t="shared" si="137"/>
        <v>0352480F</v>
      </c>
      <c r="G767" t="str">
        <f t="shared" si="138"/>
        <v>O</v>
      </c>
      <c r="H767">
        <v>10</v>
      </c>
      <c r="I767">
        <v>2001</v>
      </c>
      <c r="J767">
        <v>1</v>
      </c>
      <c r="K767" t="str">
        <f t="shared" ref="K767:K776" si="148">"S"</f>
        <v>S</v>
      </c>
      <c r="L767">
        <v>14</v>
      </c>
      <c r="M767">
        <v>2019</v>
      </c>
      <c r="N767" t="str">
        <f t="shared" si="147"/>
        <v>E</v>
      </c>
      <c r="O767" t="str">
        <f>"D"</f>
        <v>D</v>
      </c>
      <c r="P767">
        <v>0</v>
      </c>
      <c r="Q767">
        <v>100</v>
      </c>
      <c r="R767">
        <v>100</v>
      </c>
      <c r="S767">
        <v>35170</v>
      </c>
      <c r="T767">
        <v>100</v>
      </c>
      <c r="U767">
        <v>35170</v>
      </c>
      <c r="V767" t="str">
        <f>"TOEIC à l'ENSAI le 19/05/2022: score 970"</f>
        <v>TOEIC à l'ENSAI le 19/05/2022: score 970</v>
      </c>
      <c r="W767">
        <v>33</v>
      </c>
      <c r="X767">
        <v>0</v>
      </c>
      <c r="Y767">
        <v>6000577</v>
      </c>
      <c r="Z767" t="str">
        <f>""</f>
        <v/>
      </c>
      <c r="AA767">
        <v>27</v>
      </c>
      <c r="AB767" t="str">
        <f>""</f>
        <v/>
      </c>
      <c r="AC767" t="str">
        <f>""</f>
        <v/>
      </c>
      <c r="AD767" t="str">
        <f>""</f>
        <v/>
      </c>
      <c r="AE767">
        <v>2019</v>
      </c>
      <c r="AF767">
        <v>2021</v>
      </c>
      <c r="AG767" t="str">
        <f>"Bruz"</f>
        <v>Bruz</v>
      </c>
      <c r="AH767" t="str">
        <f>"Bruz"</f>
        <v>Bruz</v>
      </c>
      <c r="AI767" t="str">
        <f>""</f>
        <v/>
      </c>
      <c r="AJ767" t="str">
        <f>""</f>
        <v/>
      </c>
      <c r="AK767" t="str">
        <f>""</f>
        <v/>
      </c>
      <c r="AL767">
        <v>47</v>
      </c>
      <c r="AM767" t="str">
        <f>""</f>
        <v/>
      </c>
      <c r="AN767" t="str">
        <f>""</f>
        <v/>
      </c>
      <c r="AO767" t="str">
        <f>"Tristan Corbière"</f>
        <v>Tristan Corbière</v>
      </c>
      <c r="AP767" t="str">
        <f>"MORLAIX"</f>
        <v>MORLAIX</v>
      </c>
      <c r="AQ767" t="str">
        <f>"Rennes"</f>
        <v>Rennes</v>
      </c>
    </row>
    <row r="768" spans="1:43" x14ac:dyDescent="0.25">
      <c r="A768" t="str">
        <f>"Scolarité ext,T00135,ENSAE"</f>
        <v>Scolarité ext,T00135,ENSAE</v>
      </c>
      <c r="B768" t="str">
        <f>"ZAAKOUR"</f>
        <v>ZAAKOUR</v>
      </c>
      <c r="C768" t="str">
        <f>"Imrane"</f>
        <v>Imrane</v>
      </c>
      <c r="D768" t="str">
        <f>"021-2010"</f>
        <v>021-2010</v>
      </c>
      <c r="E768" t="str">
        <f>"081641388CA"</f>
        <v>081641388CA</v>
      </c>
      <c r="F768" t="str">
        <f t="shared" si="137"/>
        <v>0352480F</v>
      </c>
      <c r="G768" t="str">
        <f t="shared" si="138"/>
        <v>O</v>
      </c>
      <c r="H768">
        <v>10</v>
      </c>
      <c r="I768">
        <v>2001</v>
      </c>
      <c r="J768">
        <v>1</v>
      </c>
      <c r="K768" t="str">
        <f t="shared" si="148"/>
        <v>S</v>
      </c>
      <c r="L768">
        <v>10</v>
      </c>
      <c r="M768">
        <v>2019</v>
      </c>
      <c r="N768" t="str">
        <f t="shared" si="147"/>
        <v>E</v>
      </c>
      <c r="O768" t="str">
        <f>"D"</f>
        <v>D</v>
      </c>
      <c r="P768">
        <v>0</v>
      </c>
      <c r="Q768">
        <v>100</v>
      </c>
      <c r="R768">
        <v>100</v>
      </c>
      <c r="S768">
        <v>35170</v>
      </c>
      <c r="T768">
        <v>100</v>
      </c>
      <c r="U768">
        <v>35170</v>
      </c>
      <c r="V768" t="str">
        <f>"TOEIC à l'ENSAI le 19/05/2022: score 885"</f>
        <v>TOEIC à l'ENSAI le 19/05/2022: score 885</v>
      </c>
      <c r="W768">
        <v>54</v>
      </c>
      <c r="X768">
        <v>0</v>
      </c>
      <c r="Y768">
        <v>6000577</v>
      </c>
      <c r="Z768" t="str">
        <f>""</f>
        <v/>
      </c>
      <c r="AA768">
        <v>27</v>
      </c>
      <c r="AB768" t="str">
        <f>""</f>
        <v/>
      </c>
      <c r="AC768" t="str">
        <f>""</f>
        <v/>
      </c>
      <c r="AD768" t="str">
        <f>""</f>
        <v/>
      </c>
      <c r="AE768">
        <v>2019</v>
      </c>
      <c r="AF768">
        <v>2021</v>
      </c>
      <c r="AG768" t="str">
        <f>"Bruz"</f>
        <v>Bruz</v>
      </c>
      <c r="AH768" t="str">
        <f>"Bruz"</f>
        <v>Bruz</v>
      </c>
      <c r="AI768" t="str">
        <f>""</f>
        <v/>
      </c>
      <c r="AJ768" t="str">
        <f>""</f>
        <v/>
      </c>
      <c r="AK768" t="str">
        <f>""</f>
        <v/>
      </c>
      <c r="AL768">
        <v>38</v>
      </c>
      <c r="AM768" t="str">
        <f>""</f>
        <v/>
      </c>
      <c r="AN768" t="str">
        <f>""</f>
        <v/>
      </c>
      <c r="AO768" t="str">
        <f>"L'immaculée conception"</f>
        <v>L'immaculée conception</v>
      </c>
      <c r="AP768" t="str">
        <f>"VILLEURBANNE"</f>
        <v>VILLEURBANNE</v>
      </c>
      <c r="AQ768" t="str">
        <f>"Lyon"</f>
        <v>Lyon</v>
      </c>
    </row>
    <row r="769" spans="1:43" x14ac:dyDescent="0.25">
      <c r="A769" t="str">
        <f>"Scolarité ext,T00135,ESE"</f>
        <v>Scolarité ext,T00135,ESE</v>
      </c>
      <c r="B769" t="str">
        <f>"KOUASSI"</f>
        <v>KOUASSI</v>
      </c>
      <c r="C769" t="str">
        <f>"Anne"</f>
        <v>Anne</v>
      </c>
      <c r="D769" t="str">
        <f>"020-1803"</f>
        <v>020-1803</v>
      </c>
      <c r="E769" t="str">
        <f>"2510013701M"</f>
        <v>2510013701M</v>
      </c>
      <c r="F769" t="str">
        <f t="shared" si="137"/>
        <v>0352480F</v>
      </c>
      <c r="G769" t="str">
        <f t="shared" si="138"/>
        <v>O</v>
      </c>
      <c r="H769">
        <v>10</v>
      </c>
      <c r="I769">
        <v>2000</v>
      </c>
      <c r="J769">
        <v>2</v>
      </c>
      <c r="K769" t="str">
        <f t="shared" si="148"/>
        <v>S</v>
      </c>
      <c r="L769">
        <v>25</v>
      </c>
      <c r="M769">
        <v>2017</v>
      </c>
      <c r="N769" t="str">
        <f t="shared" si="147"/>
        <v>E</v>
      </c>
      <c r="O769" t="str">
        <f>"D"</f>
        <v>D</v>
      </c>
      <c r="P769">
        <v>0</v>
      </c>
      <c r="Q769">
        <v>100</v>
      </c>
      <c r="R769">
        <v>100</v>
      </c>
      <c r="S769">
        <v>35000</v>
      </c>
      <c r="T769">
        <v>100</v>
      </c>
      <c r="U769">
        <v>35000</v>
      </c>
      <c r="V769" t="str">
        <f>""</f>
        <v/>
      </c>
      <c r="W769">
        <v>56</v>
      </c>
      <c r="X769">
        <v>0</v>
      </c>
      <c r="Y769">
        <v>6000577</v>
      </c>
      <c r="Z769" t="str">
        <f>""</f>
        <v/>
      </c>
      <c r="AA769">
        <v>27</v>
      </c>
      <c r="AB769" t="str">
        <f>""</f>
        <v/>
      </c>
      <c r="AC769" t="str">
        <f>""</f>
        <v/>
      </c>
      <c r="AD769" t="str">
        <f>""</f>
        <v/>
      </c>
      <c r="AE769">
        <v>2017</v>
      </c>
      <c r="AF769">
        <v>2020</v>
      </c>
      <c r="AG769" t="str">
        <f>"Rennes"</f>
        <v>Rennes</v>
      </c>
      <c r="AH769" t="str">
        <f>"Rennes"</f>
        <v>Rennes</v>
      </c>
      <c r="AI769" t="str">
        <f>""</f>
        <v/>
      </c>
      <c r="AJ769" t="str">
        <f>""</f>
        <v/>
      </c>
      <c r="AK769" t="str">
        <f>""</f>
        <v/>
      </c>
      <c r="AL769">
        <v>38</v>
      </c>
      <c r="AM769" t="str">
        <f>""</f>
        <v/>
      </c>
      <c r="AN769" t="str">
        <f>""</f>
        <v/>
      </c>
      <c r="AO769" t="str">
        <f>"Lycée Jeanne d'Albret"</f>
        <v>Lycée Jeanne d'Albret</v>
      </c>
      <c r="AP769" t="str">
        <f>"SAINT-GERMAIN-EN-LAYE"</f>
        <v>SAINT-GERMAIN-EN-LAYE</v>
      </c>
      <c r="AQ769" t="str">
        <f>"Versailles"</f>
        <v>Versailles</v>
      </c>
    </row>
    <row r="770" spans="1:43" x14ac:dyDescent="0.25">
      <c r="A770" t="str">
        <f>"Scolarité ext,T00135,ESE"</f>
        <v>Scolarité ext,T00135,ESE</v>
      </c>
      <c r="B770" t="str">
        <f>"SADRI"</f>
        <v>SADRI</v>
      </c>
      <c r="C770" t="str">
        <f>"Virgile"</f>
        <v>Virgile</v>
      </c>
      <c r="D770" t="str">
        <f>"020-1787"</f>
        <v>020-1787</v>
      </c>
      <c r="E770" t="str">
        <f>"081659527CA"</f>
        <v>081659527CA</v>
      </c>
      <c r="F770" t="str">
        <f t="shared" ref="F770:F789" si="149">"0352480F"</f>
        <v>0352480F</v>
      </c>
      <c r="G770" t="str">
        <f t="shared" ref="G770:G789" si="150">"O"</f>
        <v>O</v>
      </c>
      <c r="H770">
        <v>10</v>
      </c>
      <c r="I770">
        <v>2000</v>
      </c>
      <c r="J770">
        <v>1</v>
      </c>
      <c r="K770" t="str">
        <f t="shared" si="148"/>
        <v>S</v>
      </c>
      <c r="L770">
        <v>25</v>
      </c>
      <c r="M770">
        <v>2018</v>
      </c>
      <c r="N770" t="str">
        <f t="shared" si="147"/>
        <v>E</v>
      </c>
      <c r="O770" t="str">
        <f>"A"</f>
        <v>A</v>
      </c>
      <c r="P770">
        <v>0</v>
      </c>
      <c r="Q770">
        <v>100</v>
      </c>
      <c r="R770">
        <v>100</v>
      </c>
      <c r="S770">
        <v>35170</v>
      </c>
      <c r="T770">
        <v>100</v>
      </c>
      <c r="U770">
        <v>35170</v>
      </c>
      <c r="V770" t="str">
        <f>"POE &amp;gt: Erasmus 2A à RIT (US) + DD 3A Rotterdam (NL)"</f>
        <v>POE &amp;gt: Erasmus 2A à RIT (US) + DD 3A Rotterdam (NL)</v>
      </c>
      <c r="W770">
        <v>38</v>
      </c>
      <c r="X770">
        <v>0</v>
      </c>
      <c r="Y770">
        <v>6000577</v>
      </c>
      <c r="Z770" t="str">
        <f>""</f>
        <v/>
      </c>
      <c r="AA770">
        <v>27</v>
      </c>
      <c r="AB770" t="str">
        <f>""</f>
        <v/>
      </c>
      <c r="AC770" t="str">
        <f>""</f>
        <v/>
      </c>
      <c r="AD770" t="str">
        <f>""</f>
        <v/>
      </c>
      <c r="AE770">
        <v>2018</v>
      </c>
      <c r="AF770">
        <v>2020</v>
      </c>
      <c r="AG770" t="str">
        <f t="shared" ref="AG770:AH774" si="151">"Bruz"</f>
        <v>Bruz</v>
      </c>
      <c r="AH770" t="str">
        <f t="shared" si="151"/>
        <v>Bruz</v>
      </c>
      <c r="AI770" t="str">
        <f>""</f>
        <v/>
      </c>
      <c r="AJ770" t="str">
        <f>""</f>
        <v/>
      </c>
      <c r="AK770" t="str">
        <f>""</f>
        <v/>
      </c>
      <c r="AL770">
        <v>38</v>
      </c>
      <c r="AM770" t="str">
        <f>""</f>
        <v/>
      </c>
      <c r="AN770" t="str">
        <f>""</f>
        <v/>
      </c>
      <c r="AO770" t="str">
        <f>"Lycée Alain"</f>
        <v>Lycée Alain</v>
      </c>
      <c r="AP770" t="str">
        <f>"LE VÉSINET"</f>
        <v>LE VÉSINET</v>
      </c>
      <c r="AQ770" t="str">
        <f>"Versailles"</f>
        <v>Versailles</v>
      </c>
    </row>
    <row r="771" spans="1:43" x14ac:dyDescent="0.25">
      <c r="A771" t="str">
        <f>"Scolarité ext,T00135,SCPO"</f>
        <v>Scolarité ext,T00135,SCPO</v>
      </c>
      <c r="B771" t="str">
        <f>"ABI RAMIA"</f>
        <v>ABI RAMIA</v>
      </c>
      <c r="C771" t="str">
        <f>"David"</f>
        <v>David</v>
      </c>
      <c r="D771" t="str">
        <f>"021-1996"</f>
        <v>021-1996</v>
      </c>
      <c r="E771" t="str">
        <f>"123024704AJ"</f>
        <v>123024704AJ</v>
      </c>
      <c r="F771" t="str">
        <f t="shared" si="149"/>
        <v>0352480F</v>
      </c>
      <c r="G771" t="str">
        <f t="shared" si="150"/>
        <v>O</v>
      </c>
      <c r="H771">
        <v>10</v>
      </c>
      <c r="I771">
        <v>2001</v>
      </c>
      <c r="J771">
        <v>1</v>
      </c>
      <c r="K771" t="str">
        <f t="shared" si="148"/>
        <v>S</v>
      </c>
      <c r="L771">
        <v>9</v>
      </c>
      <c r="M771">
        <v>2019</v>
      </c>
      <c r="N771" t="str">
        <f t="shared" si="147"/>
        <v>E</v>
      </c>
      <c r="O771" t="str">
        <f>"D"</f>
        <v>D</v>
      </c>
      <c r="P771">
        <v>0</v>
      </c>
      <c r="Q771">
        <v>100</v>
      </c>
      <c r="R771">
        <v>100</v>
      </c>
      <c r="S771">
        <v>35170</v>
      </c>
      <c r="T771">
        <v>100</v>
      </c>
      <c r="U771">
        <v>35170</v>
      </c>
      <c r="V771" t="str">
        <f>"TOEIC à l'ENSAI le 19/05/2022: 905"</f>
        <v>TOEIC à l'ENSAI le 19/05/2022: 905</v>
      </c>
      <c r="W771">
        <v>31</v>
      </c>
      <c r="X771">
        <v>0</v>
      </c>
      <c r="Y771">
        <v>6000577</v>
      </c>
      <c r="Z771" t="str">
        <f>""</f>
        <v/>
      </c>
      <c r="AA771">
        <v>27</v>
      </c>
      <c r="AB771" t="str">
        <f>""</f>
        <v/>
      </c>
      <c r="AC771" t="str">
        <f>""</f>
        <v/>
      </c>
      <c r="AD771" t="str">
        <f>""</f>
        <v/>
      </c>
      <c r="AE771">
        <v>2019</v>
      </c>
      <c r="AF771">
        <v>2021</v>
      </c>
      <c r="AG771" t="str">
        <f t="shared" si="151"/>
        <v>Bruz</v>
      </c>
      <c r="AH771" t="str">
        <f t="shared" si="151"/>
        <v>Bruz</v>
      </c>
      <c r="AI771" t="str">
        <f>""</f>
        <v/>
      </c>
      <c r="AJ771" t="str">
        <f>""</f>
        <v/>
      </c>
      <c r="AK771" t="str">
        <f>""</f>
        <v/>
      </c>
      <c r="AL771">
        <v>43</v>
      </c>
      <c r="AM771" t="str">
        <f>""</f>
        <v/>
      </c>
      <c r="AN771" t="str">
        <f>""</f>
        <v/>
      </c>
      <c r="AO771" t="str">
        <f>"Lycée Sainte-Claire"</f>
        <v>Lycée Sainte-Claire</v>
      </c>
      <c r="AP771" t="str">
        <f>"LILLE"</f>
        <v>LILLE</v>
      </c>
      <c r="AQ771" t="str">
        <f>"Lille"</f>
        <v>Lille</v>
      </c>
    </row>
    <row r="772" spans="1:43" x14ac:dyDescent="0.25">
      <c r="A772" t="str">
        <f>"Scolarité ext,T00135,SCPO"</f>
        <v>Scolarité ext,T00135,SCPO</v>
      </c>
      <c r="B772" t="str">
        <f>"GLIGUEM"</f>
        <v>GLIGUEM</v>
      </c>
      <c r="C772" t="str">
        <f>"Kenza"</f>
        <v>Kenza</v>
      </c>
      <c r="D772" t="str">
        <f>"020-1836"</f>
        <v>020-1836</v>
      </c>
      <c r="E772" t="str">
        <f>"072036461AH"</f>
        <v>072036461AH</v>
      </c>
      <c r="F772" t="str">
        <f t="shared" si="149"/>
        <v>0352480F</v>
      </c>
      <c r="G772" t="str">
        <f t="shared" si="150"/>
        <v>O</v>
      </c>
      <c r="H772">
        <v>10</v>
      </c>
      <c r="I772">
        <v>2000</v>
      </c>
      <c r="J772">
        <v>2</v>
      </c>
      <c r="K772" t="str">
        <f t="shared" si="148"/>
        <v>S</v>
      </c>
      <c r="L772">
        <v>25</v>
      </c>
      <c r="M772">
        <v>2018</v>
      </c>
      <c r="N772" t="str">
        <f t="shared" si="147"/>
        <v>E</v>
      </c>
      <c r="O772" t="str">
        <f>"D"</f>
        <v>D</v>
      </c>
      <c r="P772">
        <v>0</v>
      </c>
      <c r="Q772">
        <v>100</v>
      </c>
      <c r="R772">
        <v>100</v>
      </c>
      <c r="S772">
        <v>35170</v>
      </c>
      <c r="T772">
        <v>100</v>
      </c>
      <c r="U772">
        <v>35170</v>
      </c>
      <c r="V772" t="str">
        <f>"TOEIC à l'ENSAI le 2/11/2022 - 875  POE validée par Portfolio"</f>
        <v>TOEIC à l'ENSAI le 2/11/2022 - 875  POE validée par Portfolio</v>
      </c>
      <c r="W772">
        <v>34</v>
      </c>
      <c r="X772">
        <v>0</v>
      </c>
      <c r="Y772">
        <v>6000577</v>
      </c>
      <c r="Z772" t="str">
        <f>""</f>
        <v/>
      </c>
      <c r="AA772">
        <v>27</v>
      </c>
      <c r="AB772" t="str">
        <f>""</f>
        <v/>
      </c>
      <c r="AC772" t="str">
        <f>""</f>
        <v/>
      </c>
      <c r="AD772" t="str">
        <f>""</f>
        <v/>
      </c>
      <c r="AE772">
        <v>2018</v>
      </c>
      <c r="AF772">
        <v>2020</v>
      </c>
      <c r="AG772" t="str">
        <f t="shared" si="151"/>
        <v>Bruz</v>
      </c>
      <c r="AH772" t="str">
        <f t="shared" si="151"/>
        <v>Bruz</v>
      </c>
      <c r="AI772" t="str">
        <f>""</f>
        <v/>
      </c>
      <c r="AJ772" t="str">
        <f>""</f>
        <v/>
      </c>
      <c r="AK772" t="str">
        <f>""</f>
        <v/>
      </c>
      <c r="AL772">
        <v>23</v>
      </c>
      <c r="AM772" t="str">
        <f>""</f>
        <v/>
      </c>
      <c r="AN772" t="str">
        <f>""</f>
        <v/>
      </c>
      <c r="AO772" t="str">
        <f>"Notre Dame de sannois"</f>
        <v>Notre Dame de sannois</v>
      </c>
      <c r="AP772" t="str">
        <f>"SANNOIS"</f>
        <v>SANNOIS</v>
      </c>
      <c r="AQ772" t="str">
        <f>"Versailles"</f>
        <v>Versailles</v>
      </c>
    </row>
    <row r="773" spans="1:43" x14ac:dyDescent="0.25">
      <c r="A773" t="str">
        <f>"Scolarité ext,T00135,SCPO"</f>
        <v>Scolarité ext,T00135,SCPO</v>
      </c>
      <c r="B773" t="str">
        <f>"LEKOUARA"</f>
        <v>LEKOUARA</v>
      </c>
      <c r="C773" t="str">
        <f>"Djalil"</f>
        <v>Djalil</v>
      </c>
      <c r="D773" t="str">
        <f>"019-1600"</f>
        <v>019-1600</v>
      </c>
      <c r="E773" t="str">
        <f>"1009030413N"</f>
        <v>1009030413N</v>
      </c>
      <c r="F773" t="str">
        <f t="shared" si="149"/>
        <v>0352480F</v>
      </c>
      <c r="G773" t="str">
        <f t="shared" si="150"/>
        <v>O</v>
      </c>
      <c r="H773">
        <v>10</v>
      </c>
      <c r="I773">
        <v>1998</v>
      </c>
      <c r="J773">
        <v>1</v>
      </c>
      <c r="K773" t="str">
        <f t="shared" si="148"/>
        <v>S</v>
      </c>
      <c r="L773">
        <v>10</v>
      </c>
      <c r="M773">
        <v>2016</v>
      </c>
      <c r="N773" t="str">
        <f t="shared" si="147"/>
        <v>E</v>
      </c>
      <c r="O773" t="str">
        <f>"A"</f>
        <v>A</v>
      </c>
      <c r="P773">
        <v>0</v>
      </c>
      <c r="Q773">
        <v>100</v>
      </c>
      <c r="R773">
        <v>100</v>
      </c>
      <c r="S773">
        <v>35170</v>
      </c>
      <c r="T773">
        <v>100</v>
      </c>
      <c r="U773">
        <v>35170</v>
      </c>
      <c r="V773" t="str">
        <f>"Membre de pôle Développement commercial, communication externe EJC 2019-2020"</f>
        <v>Membre de pôle Développement commercial, communication externe EJC 2019-2020</v>
      </c>
      <c r="W773">
        <v>33</v>
      </c>
      <c r="X773">
        <v>0</v>
      </c>
      <c r="Y773">
        <v>6000577</v>
      </c>
      <c r="Z773" t="str">
        <f>""</f>
        <v/>
      </c>
      <c r="AA773">
        <v>27</v>
      </c>
      <c r="AB773" t="str">
        <f>""</f>
        <v/>
      </c>
      <c r="AC773" t="str">
        <f>""</f>
        <v/>
      </c>
      <c r="AD773" t="str">
        <f>""</f>
        <v/>
      </c>
      <c r="AE773">
        <v>2016</v>
      </c>
      <c r="AF773">
        <v>2019</v>
      </c>
      <c r="AG773" t="str">
        <f t="shared" si="151"/>
        <v>Bruz</v>
      </c>
      <c r="AH773" t="str">
        <f t="shared" si="151"/>
        <v>Bruz</v>
      </c>
      <c r="AI773" t="str">
        <f>""</f>
        <v/>
      </c>
      <c r="AJ773" t="str">
        <f>""</f>
        <v/>
      </c>
      <c r="AK773" t="str">
        <f>""</f>
        <v/>
      </c>
      <c r="AL773">
        <v>35</v>
      </c>
      <c r="AM773" t="str">
        <f>""</f>
        <v/>
      </c>
      <c r="AN773" t="str">
        <f>""</f>
        <v/>
      </c>
      <c r="AO773" t="str">
        <f>"Lycée de Saint-Just"</f>
        <v>Lycée de Saint-Just</v>
      </c>
      <c r="AP773" t="str">
        <f>"LYON"</f>
        <v>LYON</v>
      </c>
      <c r="AQ773" t="str">
        <f>"Lyon"</f>
        <v>Lyon</v>
      </c>
    </row>
    <row r="774" spans="1:43" x14ac:dyDescent="0.25">
      <c r="A774" t="str">
        <f>"Scolarité ext,T00135,SCPO"</f>
        <v>Scolarité ext,T00135,SCPO</v>
      </c>
      <c r="B774" t="str">
        <f>"TRIFFE"</f>
        <v>TRIFFE</v>
      </c>
      <c r="C774" t="str">
        <f>"Elysabeth"</f>
        <v>Elysabeth</v>
      </c>
      <c r="D774" t="str">
        <f>"021-1927"</f>
        <v>021-1927</v>
      </c>
      <c r="E774" t="str">
        <f>"060586665CA"</f>
        <v>060586665CA</v>
      </c>
      <c r="F774" t="str">
        <f t="shared" si="149"/>
        <v>0352480F</v>
      </c>
      <c r="G774" t="str">
        <f t="shared" si="150"/>
        <v>O</v>
      </c>
      <c r="H774">
        <v>10</v>
      </c>
      <c r="I774">
        <v>2001</v>
      </c>
      <c r="J774">
        <v>2</v>
      </c>
      <c r="K774" t="str">
        <f t="shared" si="148"/>
        <v>S</v>
      </c>
      <c r="L774">
        <v>8</v>
      </c>
      <c r="M774">
        <v>2019</v>
      </c>
      <c r="N774" t="str">
        <f t="shared" si="147"/>
        <v>E</v>
      </c>
      <c r="O774" t="str">
        <f>"D"</f>
        <v>D</v>
      </c>
      <c r="P774">
        <v>0</v>
      </c>
      <c r="Q774">
        <v>100</v>
      </c>
      <c r="R774">
        <v>100</v>
      </c>
      <c r="S774">
        <v>35170</v>
      </c>
      <c r="T774">
        <v>100</v>
      </c>
      <c r="U774">
        <v>35170</v>
      </c>
      <c r="V774" t="str">
        <f>"TOEIC à l'ENSAI le 19/05/2022: score 975"</f>
        <v>TOEIC à l'ENSAI le 19/05/2022: score 975</v>
      </c>
      <c r="W774">
        <v>23</v>
      </c>
      <c r="X774">
        <v>0</v>
      </c>
      <c r="Y774">
        <v>6000577</v>
      </c>
      <c r="Z774" t="str">
        <f>""</f>
        <v/>
      </c>
      <c r="AA774">
        <v>27</v>
      </c>
      <c r="AB774" t="str">
        <f>""</f>
        <v/>
      </c>
      <c r="AC774" t="str">
        <f>""</f>
        <v/>
      </c>
      <c r="AD774" t="str">
        <f>""</f>
        <v/>
      </c>
      <c r="AE774">
        <v>2019</v>
      </c>
      <c r="AF774">
        <v>2021</v>
      </c>
      <c r="AG774" t="str">
        <f t="shared" si="151"/>
        <v>Bruz</v>
      </c>
      <c r="AH774" t="str">
        <f t="shared" si="151"/>
        <v>Bruz</v>
      </c>
      <c r="AI774" t="str">
        <f>""</f>
        <v/>
      </c>
      <c r="AJ774" t="str">
        <f>""</f>
        <v/>
      </c>
      <c r="AK774" t="str">
        <f>""</f>
        <v/>
      </c>
      <c r="AL774">
        <v>52</v>
      </c>
      <c r="AM774" t="str">
        <f>""</f>
        <v/>
      </c>
      <c r="AN774" t="str">
        <f>""</f>
        <v/>
      </c>
      <c r="AO774" t="str">
        <f>"LGT Saint Michel"</f>
        <v>LGT Saint Michel</v>
      </c>
      <c r="AP774" t="str">
        <f>"ANNECY"</f>
        <v>ANNECY</v>
      </c>
      <c r="AQ774" t="str">
        <f>"Grenoble"</f>
        <v>Grenoble</v>
      </c>
    </row>
    <row r="775" spans="1:43" x14ac:dyDescent="0.25">
      <c r="A775" t="str">
        <f>"Scolarité ext,T01850,SAPIENZA"</f>
        <v>Scolarité ext,T01850,SAPIENZA</v>
      </c>
      <c r="B775" t="str">
        <f>"AUBERT"</f>
        <v>AUBERT</v>
      </c>
      <c r="C775" t="str">
        <f>"Hugo"</f>
        <v>Hugo</v>
      </c>
      <c r="D775" t="str">
        <f>"022-2259"</f>
        <v>022-2259</v>
      </c>
      <c r="E775" t="str">
        <f>"110979540AD"</f>
        <v>110979540AD</v>
      </c>
      <c r="F775" t="str">
        <f t="shared" si="149"/>
        <v>0352480F</v>
      </c>
      <c r="G775" t="str">
        <f t="shared" si="150"/>
        <v>O</v>
      </c>
      <c r="H775">
        <v>10</v>
      </c>
      <c r="I775">
        <v>2001</v>
      </c>
      <c r="J775">
        <v>1</v>
      </c>
      <c r="K775" t="str">
        <f t="shared" si="148"/>
        <v>S</v>
      </c>
      <c r="L775">
        <v>2</v>
      </c>
      <c r="M775">
        <v>2019</v>
      </c>
      <c r="N775" t="str">
        <f t="shared" si="147"/>
        <v>E</v>
      </c>
      <c r="O775" t="str">
        <f>"A"</f>
        <v>A</v>
      </c>
      <c r="P775">
        <v>0</v>
      </c>
      <c r="Q775">
        <v>100</v>
      </c>
      <c r="R775">
        <v>100</v>
      </c>
      <c r="S775">
        <v>35136</v>
      </c>
      <c r="T775">
        <v>100</v>
      </c>
      <c r="U775">
        <v>35136</v>
      </c>
      <c r="V775" t="str">
        <f>"TOEIC 2A à l'ENSAI 08-01-2024 : 855"</f>
        <v>TOEIC 2A à l'ENSAI 08-01-2024 : 855</v>
      </c>
      <c r="W775">
        <v>22</v>
      </c>
      <c r="X775">
        <v>0</v>
      </c>
      <c r="Y775">
        <v>6000577</v>
      </c>
      <c r="Z775" t="str">
        <f>""</f>
        <v/>
      </c>
      <c r="AA775">
        <v>27</v>
      </c>
      <c r="AB775" t="str">
        <f>""</f>
        <v/>
      </c>
      <c r="AC775" t="str">
        <f>""</f>
        <v/>
      </c>
      <c r="AD775" t="str">
        <f>""</f>
        <v/>
      </c>
      <c r="AE775">
        <v>2020</v>
      </c>
      <c r="AF775">
        <v>2022</v>
      </c>
      <c r="AG775" t="str">
        <f>""</f>
        <v/>
      </c>
      <c r="AH775" t="str">
        <f>""</f>
        <v/>
      </c>
      <c r="AI775" t="str">
        <f>""</f>
        <v/>
      </c>
      <c r="AJ775" t="str">
        <f>""</f>
        <v/>
      </c>
      <c r="AK775" t="str">
        <f>""</f>
        <v/>
      </c>
      <c r="AL775">
        <v>22</v>
      </c>
      <c r="AM775" t="str">
        <f>""</f>
        <v/>
      </c>
      <c r="AN775" t="str">
        <f>""</f>
        <v/>
      </c>
      <c r="AO775" t="str">
        <f>"École de Provence"</f>
        <v>École de Provence</v>
      </c>
      <c r="AP775" t="str">
        <f>"MARSEILLE"</f>
        <v>MARSEILLE</v>
      </c>
      <c r="AQ775" t="str">
        <f>"Aix-Marseille"</f>
        <v>Aix-Marseille</v>
      </c>
    </row>
    <row r="776" spans="1:43" x14ac:dyDescent="0.25">
      <c r="A776" t="str">
        <f>"Scolarité ext,T01850,SCPO"</f>
        <v>Scolarité ext,T01850,SCPO</v>
      </c>
      <c r="B776" t="str">
        <f>"BAGNOL"</f>
        <v>BAGNOL</v>
      </c>
      <c r="C776" t="str">
        <f>"Emilien"</f>
        <v>Emilien</v>
      </c>
      <c r="D776" t="str">
        <f>"022-2221"</f>
        <v>022-2221</v>
      </c>
      <c r="E776" t="str">
        <f>"1012031226S"</f>
        <v>1012031226S</v>
      </c>
      <c r="F776" t="str">
        <f t="shared" si="149"/>
        <v>0352480F</v>
      </c>
      <c r="G776" t="str">
        <f t="shared" si="150"/>
        <v>O</v>
      </c>
      <c r="H776">
        <v>10</v>
      </c>
      <c r="I776">
        <v>2001</v>
      </c>
      <c r="J776">
        <v>1</v>
      </c>
      <c r="K776" t="str">
        <f t="shared" si="148"/>
        <v>S</v>
      </c>
      <c r="L776">
        <v>2</v>
      </c>
      <c r="M776">
        <v>2019</v>
      </c>
      <c r="N776" t="str">
        <f t="shared" si="147"/>
        <v>E</v>
      </c>
      <c r="O776" t="str">
        <f>"D"</f>
        <v>D</v>
      </c>
      <c r="P776">
        <v>0</v>
      </c>
      <c r="Q776">
        <v>100</v>
      </c>
      <c r="R776">
        <v>100</v>
      </c>
      <c r="S776">
        <v>35170</v>
      </c>
      <c r="T776">
        <v>100</v>
      </c>
      <c r="U776">
        <v>35170</v>
      </c>
      <c r="V776" t="str">
        <f>"TOEIC 2A à l'ENSAI 08-01-2024 : 860"</f>
        <v>TOEIC 2A à l'ENSAI 08-01-2024 : 860</v>
      </c>
      <c r="W776">
        <v>23</v>
      </c>
      <c r="X776">
        <v>0</v>
      </c>
      <c r="Y776">
        <v>6000577</v>
      </c>
      <c r="Z776" t="str">
        <f>""</f>
        <v/>
      </c>
      <c r="AA776">
        <v>27</v>
      </c>
      <c r="AB776" t="str">
        <f>""</f>
        <v/>
      </c>
      <c r="AC776" t="str">
        <f>""</f>
        <v/>
      </c>
      <c r="AD776" t="str">
        <f>""</f>
        <v/>
      </c>
      <c r="AE776">
        <v>2019</v>
      </c>
      <c r="AF776">
        <v>2022</v>
      </c>
      <c r="AG776" t="str">
        <f>"BRUZ"</f>
        <v>BRUZ</v>
      </c>
      <c r="AH776" t="str">
        <f>"BRUZ"</f>
        <v>BRUZ</v>
      </c>
      <c r="AI776" t="str">
        <f>""</f>
        <v/>
      </c>
      <c r="AJ776" t="str">
        <f>""</f>
        <v/>
      </c>
      <c r="AK776" t="str">
        <f>""</f>
        <v/>
      </c>
      <c r="AL776">
        <v>34</v>
      </c>
      <c r="AM776" t="str">
        <f>""</f>
        <v/>
      </c>
      <c r="AN776" t="str">
        <f>""</f>
        <v/>
      </c>
      <c r="AO776" t="str">
        <f>"Sévigné"</f>
        <v>Sévigné</v>
      </c>
      <c r="AP776" t="str">
        <f>"MARSEILLE"</f>
        <v>MARSEILLE</v>
      </c>
      <c r="AQ776" t="str">
        <f>"Aix-Marseille"</f>
        <v>Aix-Marseille</v>
      </c>
    </row>
    <row r="777" spans="1:43" x14ac:dyDescent="0.25">
      <c r="A777" t="str">
        <f>"Scolarité ext,T04150,ENSAE"</f>
        <v>Scolarité ext,T04150,ENSAE</v>
      </c>
      <c r="B777" t="str">
        <f>"EL MAMOUNE"</f>
        <v>EL MAMOUNE</v>
      </c>
      <c r="C777" t="str">
        <f>"Omar"</f>
        <v>Omar</v>
      </c>
      <c r="D777" t="str">
        <f>"022-2324"</f>
        <v>022-2324</v>
      </c>
      <c r="E777" t="str">
        <f>"193013076EG"</f>
        <v>193013076EG</v>
      </c>
      <c r="F777" t="str">
        <f t="shared" si="149"/>
        <v>0352480F</v>
      </c>
      <c r="G777" t="str">
        <f t="shared" si="150"/>
        <v>O</v>
      </c>
      <c r="H777">
        <v>10</v>
      </c>
      <c r="I777">
        <v>2002</v>
      </c>
      <c r="J777">
        <v>1</v>
      </c>
      <c r="K777">
        <v>31</v>
      </c>
      <c r="L777">
        <v>0</v>
      </c>
      <c r="M777">
        <v>2019</v>
      </c>
      <c r="N777" t="str">
        <f t="shared" si="147"/>
        <v>E</v>
      </c>
      <c r="O777" t="str">
        <f>"D"</f>
        <v>D</v>
      </c>
      <c r="P777">
        <v>0</v>
      </c>
      <c r="Q777">
        <v>350</v>
      </c>
      <c r="R777">
        <v>100</v>
      </c>
      <c r="S777">
        <v>35200</v>
      </c>
      <c r="T777">
        <v>100</v>
      </c>
      <c r="U777">
        <v>35200</v>
      </c>
      <c r="V777" t="str">
        <f>"TOEIC passé à l'ENSAI le 22/05/2023 : score 980"</f>
        <v>TOEIC passé à l'ENSAI le 22/05/2023 : score 980</v>
      </c>
      <c r="W777">
        <v>37</v>
      </c>
      <c r="X777">
        <v>0</v>
      </c>
      <c r="Y777">
        <v>6000577</v>
      </c>
      <c r="Z777" t="str">
        <f>""</f>
        <v/>
      </c>
      <c r="AA777">
        <v>27</v>
      </c>
      <c r="AB777" t="str">
        <f>""</f>
        <v/>
      </c>
      <c r="AC777" t="str">
        <f>""</f>
        <v/>
      </c>
      <c r="AD777" t="str">
        <f>""</f>
        <v/>
      </c>
      <c r="AE777">
        <v>2019</v>
      </c>
      <c r="AF777">
        <v>2022</v>
      </c>
      <c r="AG777" t="str">
        <f>"Rennes"</f>
        <v>Rennes</v>
      </c>
      <c r="AH777" t="str">
        <f>"Rennes"</f>
        <v>Rennes</v>
      </c>
      <c r="AI777" t="str">
        <f>""</f>
        <v/>
      </c>
      <c r="AJ777" t="str">
        <f>""</f>
        <v/>
      </c>
      <c r="AK777" t="str">
        <f>""</f>
        <v/>
      </c>
      <c r="AL777">
        <v>99</v>
      </c>
      <c r="AM777" t="str">
        <f>""</f>
        <v/>
      </c>
      <c r="AN777" t="str">
        <f>""</f>
        <v/>
      </c>
      <c r="AO777" t="str">
        <f>"M'hammed bennis"</f>
        <v>M'hammed bennis</v>
      </c>
      <c r="AP777" t="str">
        <f>"CASABLANCA"</f>
        <v>CASABLANCA</v>
      </c>
      <c r="AQ777" t="str">
        <f>"Etranger"</f>
        <v>Etranger</v>
      </c>
    </row>
    <row r="778" spans="1:43" x14ac:dyDescent="0.25">
      <c r="A778" t="str">
        <f>"T00000"</f>
        <v>T00000</v>
      </c>
      <c r="B778" t="str">
        <f>"ERHEL"</f>
        <v>ERHEL</v>
      </c>
      <c r="C778" t="str">
        <f>"Arthur"</f>
        <v>Arthur</v>
      </c>
      <c r="D778" t="str">
        <f>"021-2018"</f>
        <v>021-2018</v>
      </c>
      <c r="E778" t="str">
        <f>"070267138FA"</f>
        <v>070267138FA</v>
      </c>
      <c r="F778" t="str">
        <f t="shared" si="149"/>
        <v>0352480F</v>
      </c>
      <c r="G778" t="str">
        <f t="shared" si="150"/>
        <v>O</v>
      </c>
      <c r="H778">
        <v>10</v>
      </c>
      <c r="I778">
        <v>2001</v>
      </c>
      <c r="J778">
        <v>1</v>
      </c>
      <c r="K778" t="str">
        <f>"S"</f>
        <v>S</v>
      </c>
      <c r="L778">
        <v>14</v>
      </c>
      <c r="M778">
        <v>2019</v>
      </c>
      <c r="N778" t="str">
        <f t="shared" si="147"/>
        <v>E</v>
      </c>
      <c r="O778" t="str">
        <f>"D"</f>
        <v>D</v>
      </c>
      <c r="P778">
        <v>0</v>
      </c>
      <c r="Q778">
        <v>100</v>
      </c>
      <c r="R778">
        <v>100</v>
      </c>
      <c r="S778">
        <v>35000</v>
      </c>
      <c r="T778">
        <v>100</v>
      </c>
      <c r="U778">
        <v>35000</v>
      </c>
      <c r="V778" t="str">
        <f>""</f>
        <v/>
      </c>
      <c r="W778">
        <v>45</v>
      </c>
      <c r="X778">
        <v>0</v>
      </c>
      <c r="Y778">
        <v>6000577</v>
      </c>
      <c r="Z778" t="str">
        <f>""</f>
        <v/>
      </c>
      <c r="AA778">
        <v>27</v>
      </c>
      <c r="AB778" t="str">
        <f>""</f>
        <v/>
      </c>
      <c r="AC778" t="str">
        <f>""</f>
        <v/>
      </c>
      <c r="AD778" t="str">
        <f>""</f>
        <v/>
      </c>
      <c r="AE778">
        <v>2019</v>
      </c>
      <c r="AF778">
        <v>2021</v>
      </c>
      <c r="AG778" t="str">
        <f>"Rennes"</f>
        <v>Rennes</v>
      </c>
      <c r="AH778" t="str">
        <f>"Rennes"</f>
        <v>Rennes</v>
      </c>
      <c r="AI778" t="str">
        <f>""</f>
        <v/>
      </c>
      <c r="AJ778" t="str">
        <f>""</f>
        <v/>
      </c>
      <c r="AK778" t="str">
        <f>""</f>
        <v/>
      </c>
      <c r="AL778">
        <v>33</v>
      </c>
      <c r="AM778" t="str">
        <f>""</f>
        <v/>
      </c>
      <c r="AN778" t="str">
        <f>""</f>
        <v/>
      </c>
      <c r="AO778" t="str">
        <f>"EMILE ZOLA"</f>
        <v>EMILE ZOLA</v>
      </c>
      <c r="AP778" t="str">
        <f>"RENNES"</f>
        <v>RENNES</v>
      </c>
      <c r="AQ778" t="str">
        <f>"Rennes"</f>
        <v>Rennes</v>
      </c>
    </row>
    <row r="779" spans="1:43" x14ac:dyDescent="0.25">
      <c r="A779" t="str">
        <f>"T00000"</f>
        <v>T00000</v>
      </c>
      <c r="B779" t="str">
        <f>"HERITIER"</f>
        <v>HERITIER</v>
      </c>
      <c r="C779" t="str">
        <f>"Alix"</f>
        <v>Alix</v>
      </c>
      <c r="D779" t="str">
        <f>"024-2677"</f>
        <v>024-2677</v>
      </c>
      <c r="E779" t="str">
        <f>"071809187BA"</f>
        <v>071809187BA</v>
      </c>
      <c r="F779" t="str">
        <f t="shared" si="149"/>
        <v>0352480F</v>
      </c>
      <c r="G779" t="str">
        <f t="shared" si="150"/>
        <v>O</v>
      </c>
      <c r="H779">
        <v>10</v>
      </c>
      <c r="I779">
        <v>2003</v>
      </c>
      <c r="J779">
        <v>1</v>
      </c>
      <c r="K779" t="str">
        <f>""</f>
        <v/>
      </c>
      <c r="L779" t="str">
        <f>""</f>
        <v/>
      </c>
      <c r="M779" t="str">
        <f>""</f>
        <v/>
      </c>
      <c r="N779" t="str">
        <f>""</f>
        <v/>
      </c>
      <c r="O779" t="str">
        <f>""</f>
        <v/>
      </c>
      <c r="P779">
        <v>0</v>
      </c>
      <c r="Q779">
        <v>100</v>
      </c>
      <c r="R779">
        <v>100</v>
      </c>
      <c r="S779" t="str">
        <f>""</f>
        <v/>
      </c>
      <c r="T779">
        <v>100</v>
      </c>
      <c r="U779" t="str">
        <f>""</f>
        <v/>
      </c>
      <c r="V779" t="str">
        <f>""</f>
        <v/>
      </c>
      <c r="W779">
        <v>0</v>
      </c>
      <c r="X779">
        <v>0</v>
      </c>
      <c r="Y779">
        <v>6000577</v>
      </c>
      <c r="Z779" t="str">
        <f>""</f>
        <v/>
      </c>
      <c r="AA779">
        <v>27</v>
      </c>
      <c r="AB779" t="str">
        <f>""</f>
        <v/>
      </c>
      <c r="AC779" t="str">
        <f>""</f>
        <v/>
      </c>
      <c r="AD779" t="str">
        <f>""</f>
        <v/>
      </c>
      <c r="AE779" t="str">
        <f>""</f>
        <v/>
      </c>
      <c r="AF779">
        <v>2024</v>
      </c>
      <c r="AG779" t="str">
        <f>""</f>
        <v/>
      </c>
      <c r="AH779" t="str">
        <f>""</f>
        <v/>
      </c>
      <c r="AI779" t="str">
        <f>""</f>
        <v/>
      </c>
      <c r="AJ779" t="str">
        <f>""</f>
        <v/>
      </c>
      <c r="AK779" t="str">
        <f>""</f>
        <v/>
      </c>
      <c r="AL779">
        <v>0</v>
      </c>
      <c r="AM779" t="str">
        <f>""</f>
        <v/>
      </c>
      <c r="AN779" t="str">
        <f>""</f>
        <v/>
      </c>
      <c r="AO779" t="str">
        <f>""</f>
        <v/>
      </c>
      <c r="AP779" t="str">
        <f>""</f>
        <v/>
      </c>
      <c r="AQ779" t="str">
        <f>""</f>
        <v/>
      </c>
    </row>
    <row r="780" spans="1:43" x14ac:dyDescent="0.25">
      <c r="A780" t="str">
        <f>"T00000"</f>
        <v>T00000</v>
      </c>
      <c r="B780" t="str">
        <f>"MESSELU"</f>
        <v>MESSELU</v>
      </c>
      <c r="C780" t="str">
        <f>"Bethlehem"</f>
        <v>Bethlehem</v>
      </c>
      <c r="D780" t="str">
        <f>"024-2700"</f>
        <v>024-2700</v>
      </c>
      <c r="E780" t="str">
        <f>"081996509BG"</f>
        <v>081996509BG</v>
      </c>
      <c r="F780" t="str">
        <f t="shared" si="149"/>
        <v>0352480F</v>
      </c>
      <c r="G780" t="str">
        <f t="shared" si="150"/>
        <v>O</v>
      </c>
      <c r="H780">
        <v>10</v>
      </c>
      <c r="I780">
        <v>2002</v>
      </c>
      <c r="J780">
        <v>2</v>
      </c>
      <c r="K780" t="str">
        <f t="shared" ref="K780:K785" si="152">"S"</f>
        <v>S</v>
      </c>
      <c r="L780">
        <v>24</v>
      </c>
      <c r="M780">
        <v>2020</v>
      </c>
      <c r="N780" t="str">
        <f>"H"</f>
        <v>H</v>
      </c>
      <c r="O780" t="str">
        <f>"N"</f>
        <v>N</v>
      </c>
      <c r="P780">
        <v>0</v>
      </c>
      <c r="Q780">
        <v>100</v>
      </c>
      <c r="R780">
        <v>100</v>
      </c>
      <c r="S780" t="str">
        <f>""</f>
        <v/>
      </c>
      <c r="T780">
        <v>100</v>
      </c>
      <c r="U780" t="str">
        <f>""</f>
        <v/>
      </c>
      <c r="V780" t="str">
        <f>""</f>
        <v/>
      </c>
      <c r="W780">
        <v>0</v>
      </c>
      <c r="X780">
        <v>0</v>
      </c>
      <c r="Y780">
        <v>6000577</v>
      </c>
      <c r="Z780" t="str">
        <f>""</f>
        <v/>
      </c>
      <c r="AA780">
        <v>27</v>
      </c>
      <c r="AB780" t="str">
        <f>""</f>
        <v/>
      </c>
      <c r="AC780" t="str">
        <f>""</f>
        <v/>
      </c>
      <c r="AD780" t="str">
        <f>""</f>
        <v/>
      </c>
      <c r="AE780">
        <v>2020</v>
      </c>
      <c r="AF780">
        <v>2024</v>
      </c>
      <c r="AG780" t="str">
        <f>""</f>
        <v/>
      </c>
      <c r="AH780" t="str">
        <f>""</f>
        <v/>
      </c>
      <c r="AI780" t="str">
        <f>""</f>
        <v/>
      </c>
      <c r="AJ780" t="str">
        <f>""</f>
        <v/>
      </c>
      <c r="AK780" t="str">
        <f>""</f>
        <v/>
      </c>
      <c r="AL780">
        <v>45</v>
      </c>
      <c r="AM780" t="str">
        <f>""</f>
        <v/>
      </c>
      <c r="AN780" t="str">
        <f>""</f>
        <v/>
      </c>
      <c r="AO780" t="str">
        <f>"W.A. Mozart"</f>
        <v>W.A. Mozart</v>
      </c>
      <c r="AP780" t="str">
        <f>"LE BLANC-MESNIL"</f>
        <v>LE BLANC-MESNIL</v>
      </c>
      <c r="AQ780" t="str">
        <f>"Créteil"</f>
        <v>Créteil</v>
      </c>
    </row>
    <row r="781" spans="1:43" x14ac:dyDescent="0.25">
      <c r="A781" t="str">
        <f>"T00000"</f>
        <v>T00000</v>
      </c>
      <c r="B781" t="str">
        <f>"SARAIVA-BARDISBANIAN"</f>
        <v>SARAIVA-BARDISBANIAN</v>
      </c>
      <c r="C781" t="str">
        <f>"Nathan"</f>
        <v>Nathan</v>
      </c>
      <c r="D781" t="str">
        <f>"022-2272"</f>
        <v>022-2272</v>
      </c>
      <c r="E781" t="str">
        <f>"080658467EA"</f>
        <v>080658467EA</v>
      </c>
      <c r="F781" t="str">
        <f t="shared" si="149"/>
        <v>0352480F</v>
      </c>
      <c r="G781" t="str">
        <f t="shared" si="150"/>
        <v>O</v>
      </c>
      <c r="H781">
        <v>10</v>
      </c>
      <c r="I781">
        <v>2001</v>
      </c>
      <c r="J781">
        <v>1</v>
      </c>
      <c r="K781" t="str">
        <f t="shared" si="152"/>
        <v>S</v>
      </c>
      <c r="L781">
        <v>16</v>
      </c>
      <c r="M781">
        <v>2019</v>
      </c>
      <c r="N781" t="str">
        <f t="shared" ref="N781:N787" si="153">"E"</f>
        <v>E</v>
      </c>
      <c r="O781" t="str">
        <f>"A"</f>
        <v>A</v>
      </c>
      <c r="P781">
        <v>0</v>
      </c>
      <c r="Q781">
        <v>100</v>
      </c>
      <c r="R781">
        <v>100</v>
      </c>
      <c r="S781">
        <v>35170</v>
      </c>
      <c r="T781">
        <v>100</v>
      </c>
      <c r="U781">
        <v>35170</v>
      </c>
      <c r="V781" t="str">
        <f>""</f>
        <v/>
      </c>
      <c r="W781">
        <v>61</v>
      </c>
      <c r="X781">
        <v>0</v>
      </c>
      <c r="Y781">
        <v>6000577</v>
      </c>
      <c r="Z781" t="str">
        <f>""</f>
        <v/>
      </c>
      <c r="AA781">
        <v>27</v>
      </c>
      <c r="AB781" t="str">
        <f>""</f>
        <v/>
      </c>
      <c r="AC781" t="str">
        <f>""</f>
        <v/>
      </c>
      <c r="AD781" t="str">
        <f>""</f>
        <v/>
      </c>
      <c r="AE781">
        <v>2019</v>
      </c>
      <c r="AF781">
        <v>2022</v>
      </c>
      <c r="AG781" t="str">
        <f>"Bruz"</f>
        <v>Bruz</v>
      </c>
      <c r="AH781" t="str">
        <f>"Bruz"</f>
        <v>Bruz</v>
      </c>
      <c r="AI781" t="str">
        <f>""</f>
        <v/>
      </c>
      <c r="AJ781" t="str">
        <f>""</f>
        <v/>
      </c>
      <c r="AK781" t="str">
        <f>""</f>
        <v/>
      </c>
      <c r="AL781">
        <v>35</v>
      </c>
      <c r="AM781" t="str">
        <f>""</f>
        <v/>
      </c>
      <c r="AN781" t="str">
        <f>""</f>
        <v/>
      </c>
      <c r="AO781" t="str">
        <f>"Lycée Saint Etienne"</f>
        <v>Lycée Saint Etienne</v>
      </c>
      <c r="AP781" t="str">
        <f>"CAHORS"</f>
        <v>CAHORS</v>
      </c>
      <c r="AQ781" t="str">
        <f>"Toulouse"</f>
        <v>Toulouse</v>
      </c>
    </row>
    <row r="782" spans="1:43" x14ac:dyDescent="0.25">
      <c r="A782" t="str">
        <f>"T00000,3A Césure"</f>
        <v>T00000,3A Césure</v>
      </c>
      <c r="B782" t="str">
        <f>"HAMMOUCH"</f>
        <v>HAMMOUCH</v>
      </c>
      <c r="C782" t="str">
        <f>"Salwa"</f>
        <v>Salwa</v>
      </c>
      <c r="D782" t="str">
        <f>"022-2265"</f>
        <v>022-2265</v>
      </c>
      <c r="E782" t="str">
        <f>"173062477HD"</f>
        <v>173062477HD</v>
      </c>
      <c r="F782" t="str">
        <f t="shared" si="149"/>
        <v>0352480F</v>
      </c>
      <c r="G782" t="str">
        <f t="shared" si="150"/>
        <v>O</v>
      </c>
      <c r="H782">
        <v>10</v>
      </c>
      <c r="I782">
        <v>2000</v>
      </c>
      <c r="J782">
        <v>2</v>
      </c>
      <c r="K782" t="str">
        <f t="shared" si="152"/>
        <v>S</v>
      </c>
      <c r="L782">
        <v>23</v>
      </c>
      <c r="M782">
        <v>2020</v>
      </c>
      <c r="N782" t="str">
        <f t="shared" si="153"/>
        <v>E</v>
      </c>
      <c r="O782" t="str">
        <f>"E"</f>
        <v>E</v>
      </c>
      <c r="P782">
        <v>0</v>
      </c>
      <c r="Q782">
        <v>127</v>
      </c>
      <c r="R782">
        <v>100</v>
      </c>
      <c r="S782">
        <v>6300</v>
      </c>
      <c r="T782">
        <v>100</v>
      </c>
      <c r="U782">
        <v>6300</v>
      </c>
      <c r="V782" t="str">
        <f>"TOEIC passé à l'ENSAI le 22/05/2023 : score 920"</f>
        <v>TOEIC passé à l'ENSAI le 22/05/2023 : score 920</v>
      </c>
      <c r="W782">
        <v>0</v>
      </c>
      <c r="X782">
        <v>0</v>
      </c>
      <c r="Y782">
        <v>6000577</v>
      </c>
      <c r="Z782" t="str">
        <f>""</f>
        <v/>
      </c>
      <c r="AA782">
        <v>27</v>
      </c>
      <c r="AB782" t="str">
        <f>""</f>
        <v/>
      </c>
      <c r="AC782" t="str">
        <f>""</f>
        <v/>
      </c>
      <c r="AD782" t="str">
        <f>""</f>
        <v/>
      </c>
      <c r="AE782">
        <v>2021</v>
      </c>
      <c r="AF782">
        <v>2022</v>
      </c>
      <c r="AG782" t="str">
        <f>"Nice"</f>
        <v>Nice</v>
      </c>
      <c r="AH782" t="str">
        <f>"Nice"</f>
        <v>Nice</v>
      </c>
      <c r="AI782" t="str">
        <f>""</f>
        <v/>
      </c>
      <c r="AJ782" t="str">
        <f>""</f>
        <v/>
      </c>
      <c r="AK782" t="str">
        <f>""</f>
        <v/>
      </c>
      <c r="AL782">
        <v>0</v>
      </c>
      <c r="AM782" t="str">
        <f>""</f>
        <v/>
      </c>
      <c r="AN782" t="str">
        <f>""</f>
        <v/>
      </c>
      <c r="AO782" t="str">
        <f>"Lycée du Parc Impérial"</f>
        <v>Lycée du Parc Impérial</v>
      </c>
      <c r="AP782" t="str">
        <f>"NICE"</f>
        <v>NICE</v>
      </c>
      <c r="AQ782" t="str">
        <f>"Nice"</f>
        <v>Nice</v>
      </c>
    </row>
    <row r="783" spans="1:43" x14ac:dyDescent="0.25">
      <c r="A783" t="str">
        <f>"T00000,3A Césure"</f>
        <v>T00000,3A Césure</v>
      </c>
      <c r="B783" t="str">
        <f>"MZÉ"</f>
        <v>MZÉ</v>
      </c>
      <c r="C783" t="str">
        <f>"Younoussa"</f>
        <v>Younoussa</v>
      </c>
      <c r="D783" t="str">
        <f>"022-2297"</f>
        <v>022-2297</v>
      </c>
      <c r="E783" t="str">
        <f>"070467663CE"</f>
        <v>070467663CE</v>
      </c>
      <c r="F783" t="str">
        <f t="shared" si="149"/>
        <v>0352480F</v>
      </c>
      <c r="G783" t="str">
        <f t="shared" si="150"/>
        <v>O</v>
      </c>
      <c r="H783">
        <v>10</v>
      </c>
      <c r="I783">
        <v>2002</v>
      </c>
      <c r="J783">
        <v>1</v>
      </c>
      <c r="K783" t="str">
        <f t="shared" si="152"/>
        <v>S</v>
      </c>
      <c r="L783">
        <v>10</v>
      </c>
      <c r="M783">
        <v>2020</v>
      </c>
      <c r="N783" t="str">
        <f t="shared" si="153"/>
        <v>E</v>
      </c>
      <c r="O783" t="str">
        <f>"D"</f>
        <v>D</v>
      </c>
      <c r="P783">
        <v>0</v>
      </c>
      <c r="Q783">
        <v>100</v>
      </c>
      <c r="R783">
        <v>100</v>
      </c>
      <c r="S783">
        <v>35170</v>
      </c>
      <c r="T783">
        <v>100</v>
      </c>
      <c r="U783">
        <v>35170</v>
      </c>
      <c r="V783" t="str">
        <f>"TOEIC passé à l'ENSAI le 22/05/2023 : score 970"</f>
        <v>TOEIC passé à l'ENSAI le 22/05/2023 : score 970</v>
      </c>
      <c r="W783">
        <v>0</v>
      </c>
      <c r="X783">
        <v>0</v>
      </c>
      <c r="Y783">
        <v>6000577</v>
      </c>
      <c r="Z783" t="str">
        <f>""</f>
        <v/>
      </c>
      <c r="AA783">
        <v>27</v>
      </c>
      <c r="AB783" t="str">
        <f>""</f>
        <v/>
      </c>
      <c r="AC783" t="str">
        <f>""</f>
        <v/>
      </c>
      <c r="AD783" t="str">
        <f>""</f>
        <v/>
      </c>
      <c r="AE783">
        <v>2020</v>
      </c>
      <c r="AF783">
        <v>2022</v>
      </c>
      <c r="AG783" t="str">
        <f>"Bruz"</f>
        <v>Bruz</v>
      </c>
      <c r="AH783" t="str">
        <f>"Bruz"</f>
        <v>Bruz</v>
      </c>
      <c r="AI783" t="str">
        <f>""</f>
        <v/>
      </c>
      <c r="AJ783" t="str">
        <f>""</f>
        <v/>
      </c>
      <c r="AK783" t="str">
        <f>""</f>
        <v/>
      </c>
      <c r="AL783">
        <v>0</v>
      </c>
      <c r="AM783" t="str">
        <f>""</f>
        <v/>
      </c>
      <c r="AN783" t="str">
        <f>""</f>
        <v/>
      </c>
      <c r="AO783" t="str">
        <f>"Lycée Jean-Paul Sartre"</f>
        <v>Lycée Jean-Paul Sartre</v>
      </c>
      <c r="AP783" t="str">
        <f>"BRON"</f>
        <v>BRON</v>
      </c>
      <c r="AQ783" t="str">
        <f>"Lyon"</f>
        <v>Lyon</v>
      </c>
    </row>
    <row r="784" spans="1:43" x14ac:dyDescent="0.25">
      <c r="A784" t="str">
        <f>"T00135,3A Césure"</f>
        <v>T00135,3A Césure</v>
      </c>
      <c r="B784" t="str">
        <f>"BERTHIER"</f>
        <v>BERTHIER</v>
      </c>
      <c r="C784" t="str">
        <f>"Valentine"</f>
        <v>Valentine</v>
      </c>
      <c r="D784" t="str">
        <f>"022-2141"</f>
        <v>022-2141</v>
      </c>
      <c r="E784" t="str">
        <f>"071737435HK"</f>
        <v>071737435HK</v>
      </c>
      <c r="F784" t="str">
        <f t="shared" si="149"/>
        <v>0352480F</v>
      </c>
      <c r="G784" t="str">
        <f t="shared" si="150"/>
        <v>O</v>
      </c>
      <c r="H784">
        <v>10</v>
      </c>
      <c r="I784">
        <v>2001</v>
      </c>
      <c r="J784">
        <v>2</v>
      </c>
      <c r="K784" t="str">
        <f t="shared" si="152"/>
        <v>S</v>
      </c>
      <c r="L784">
        <v>19</v>
      </c>
      <c r="M784">
        <v>2018</v>
      </c>
      <c r="N784" t="str">
        <f t="shared" si="153"/>
        <v>E</v>
      </c>
      <c r="O784" t="str">
        <f>"N"</f>
        <v>N</v>
      </c>
      <c r="P784">
        <v>0</v>
      </c>
      <c r="Q784">
        <v>100</v>
      </c>
      <c r="R784">
        <v>100</v>
      </c>
      <c r="S784">
        <v>35700</v>
      </c>
      <c r="T784">
        <v>100</v>
      </c>
      <c r="U784">
        <v>35700</v>
      </c>
      <c r="V784" t="str">
        <f>"TOEIC passé à l'ENSAI le 22/05/2023 : score 945"</f>
        <v>TOEIC passé à l'ENSAI le 22/05/2023 : score 945</v>
      </c>
      <c r="W784">
        <v>38</v>
      </c>
      <c r="X784">
        <v>0</v>
      </c>
      <c r="Y784">
        <v>6000577</v>
      </c>
      <c r="Z784" t="str">
        <f>""</f>
        <v/>
      </c>
      <c r="AA784">
        <v>27</v>
      </c>
      <c r="AB784" t="str">
        <f>""</f>
        <v/>
      </c>
      <c r="AC784" t="str">
        <f>""</f>
        <v/>
      </c>
      <c r="AD784" t="str">
        <f>""</f>
        <v/>
      </c>
      <c r="AE784">
        <v>2018</v>
      </c>
      <c r="AF784">
        <v>2022</v>
      </c>
      <c r="AG784" t="str">
        <f>"Bruz"</f>
        <v>Bruz</v>
      </c>
      <c r="AH784" t="str">
        <f>"Bruz"</f>
        <v>Bruz</v>
      </c>
      <c r="AI784" t="str">
        <f>""</f>
        <v/>
      </c>
      <c r="AJ784" t="str">
        <f>""</f>
        <v/>
      </c>
      <c r="AK784" t="str">
        <f>""</f>
        <v/>
      </c>
      <c r="AL784">
        <v>0</v>
      </c>
      <c r="AM784" t="str">
        <f>""</f>
        <v/>
      </c>
      <c r="AN784" t="str">
        <f>""</f>
        <v/>
      </c>
      <c r="AO784" t="str">
        <f>"Mabillon"</f>
        <v>Mabillon</v>
      </c>
      <c r="AP784" t="str">
        <f>"SEDAN"</f>
        <v>SEDAN</v>
      </c>
      <c r="AQ784" t="str">
        <f>"Reims"</f>
        <v>Reims</v>
      </c>
    </row>
    <row r="785" spans="1:43" x14ac:dyDescent="0.25">
      <c r="A785" t="str">
        <f>"T00135,3A Césure"</f>
        <v>T00135,3A Césure</v>
      </c>
      <c r="B785" t="str">
        <f>"BLAIN"</f>
        <v>BLAIN</v>
      </c>
      <c r="C785" t="str">
        <f>"Félix"</f>
        <v>Félix</v>
      </c>
      <c r="D785" t="str">
        <f>"022-2317"</f>
        <v>022-2317</v>
      </c>
      <c r="E785" t="str">
        <f>"060358604DE"</f>
        <v>060358604DE</v>
      </c>
      <c r="F785" t="str">
        <f t="shared" si="149"/>
        <v>0352480F</v>
      </c>
      <c r="G785" t="str">
        <f t="shared" si="150"/>
        <v>O</v>
      </c>
      <c r="H785">
        <v>10</v>
      </c>
      <c r="I785">
        <v>2001</v>
      </c>
      <c r="J785">
        <v>1</v>
      </c>
      <c r="K785" t="str">
        <f t="shared" si="152"/>
        <v>S</v>
      </c>
      <c r="L785">
        <v>1</v>
      </c>
      <c r="M785">
        <v>2019</v>
      </c>
      <c r="N785" t="str">
        <f t="shared" si="153"/>
        <v>E</v>
      </c>
      <c r="O785" t="str">
        <f>"Z"</f>
        <v>Z</v>
      </c>
      <c r="P785">
        <v>0</v>
      </c>
      <c r="Q785">
        <v>100</v>
      </c>
      <c r="R785">
        <v>100</v>
      </c>
      <c r="S785" t="str">
        <f>""</f>
        <v/>
      </c>
      <c r="T785">
        <v>100</v>
      </c>
      <c r="U785" t="str">
        <f>""</f>
        <v/>
      </c>
      <c r="V785" t="str">
        <f>"TOEIC passé à l'ENSAI le 22/05/2023 : score 895"</f>
        <v>TOEIC passé à l'ENSAI le 22/05/2023 : score 895</v>
      </c>
      <c r="W785">
        <v>34</v>
      </c>
      <c r="X785">
        <v>0</v>
      </c>
      <c r="Y785">
        <v>6000577</v>
      </c>
      <c r="Z785" t="str">
        <f>""</f>
        <v/>
      </c>
      <c r="AA785">
        <v>27</v>
      </c>
      <c r="AB785" t="str">
        <f>""</f>
        <v/>
      </c>
      <c r="AC785" t="str">
        <f>""</f>
        <v/>
      </c>
      <c r="AD785" t="str">
        <f>""</f>
        <v/>
      </c>
      <c r="AE785">
        <v>2019</v>
      </c>
      <c r="AF785">
        <v>2022</v>
      </c>
      <c r="AG785" t="str">
        <f>""</f>
        <v/>
      </c>
      <c r="AH785" t="str">
        <f>""</f>
        <v/>
      </c>
      <c r="AI785" t="str">
        <f>""</f>
        <v/>
      </c>
      <c r="AJ785" t="str">
        <f>""</f>
        <v/>
      </c>
      <c r="AK785" t="str">
        <f>""</f>
        <v/>
      </c>
      <c r="AL785">
        <v>34</v>
      </c>
      <c r="AM785" t="str">
        <f>""</f>
        <v/>
      </c>
      <c r="AN785" t="str">
        <f>""</f>
        <v/>
      </c>
      <c r="AO785" t="str">
        <f>"Helene boucher"</f>
        <v>Helene boucher</v>
      </c>
      <c r="AP785" t="str">
        <f>"PARIS"</f>
        <v>PARIS</v>
      </c>
      <c r="AQ785" t="str">
        <f>"Paris"</f>
        <v>Paris</v>
      </c>
    </row>
    <row r="786" spans="1:43" x14ac:dyDescent="0.25">
      <c r="A786" t="str">
        <f>"T00135,3A Césure"</f>
        <v>T00135,3A Césure</v>
      </c>
      <c r="B786" t="str">
        <f>"SIEWE NITCHEU GOUNLEPUE"</f>
        <v>SIEWE NITCHEU GOUNLEPUE</v>
      </c>
      <c r="C786" t="str">
        <f>"Lynn"</f>
        <v>Lynn</v>
      </c>
      <c r="D786" t="str">
        <f>"022-2289"</f>
        <v>022-2289</v>
      </c>
      <c r="E786" t="str">
        <f>"193021754AB"</f>
        <v>193021754AB</v>
      </c>
      <c r="F786" t="str">
        <f t="shared" si="149"/>
        <v>0352480F</v>
      </c>
      <c r="G786" t="str">
        <f t="shared" si="150"/>
        <v>O</v>
      </c>
      <c r="H786">
        <v>10</v>
      </c>
      <c r="I786">
        <v>2001</v>
      </c>
      <c r="J786">
        <v>2</v>
      </c>
      <c r="K786">
        <v>31</v>
      </c>
      <c r="L786">
        <v>0</v>
      </c>
      <c r="M786">
        <v>2019</v>
      </c>
      <c r="N786" t="str">
        <f t="shared" si="153"/>
        <v>E</v>
      </c>
      <c r="O786" t="str">
        <f>"D"</f>
        <v>D</v>
      </c>
      <c r="P786">
        <v>0</v>
      </c>
      <c r="Q786">
        <v>322</v>
      </c>
      <c r="R786">
        <v>100</v>
      </c>
      <c r="S786">
        <v>35136</v>
      </c>
      <c r="T786">
        <v>100</v>
      </c>
      <c r="U786">
        <v>35136</v>
      </c>
      <c r="V786" t="str">
        <f>"Boursière Campus France du 1/09/2023 au 31/08/2024 - 685 EUR par mois.  TOEIC passé à l'ENSAI le 22/05/2023 : score 985"</f>
        <v>Boursière Campus France du 1/09/2023 au 31/08/2024 - 685 EUR par mois.  TOEIC passé à l'ENSAI le 22/05/2023 : score 985</v>
      </c>
      <c r="W786">
        <v>38</v>
      </c>
      <c r="X786">
        <v>0</v>
      </c>
      <c r="Y786">
        <v>6000577</v>
      </c>
      <c r="Z786" t="str">
        <f>""</f>
        <v/>
      </c>
      <c r="AA786">
        <v>27</v>
      </c>
      <c r="AB786" t="str">
        <f>""</f>
        <v/>
      </c>
      <c r="AC786" t="str">
        <f>""</f>
        <v/>
      </c>
      <c r="AD786" t="str">
        <f>""</f>
        <v/>
      </c>
      <c r="AE786">
        <v>2019</v>
      </c>
      <c r="AF786">
        <v>2022</v>
      </c>
      <c r="AG786" t="str">
        <f>"Saint jacques de la lande"</f>
        <v>Saint jacques de la lande</v>
      </c>
      <c r="AH786" t="str">
        <f>"Saint jacques de la lande"</f>
        <v>Saint jacques de la lande</v>
      </c>
      <c r="AI786" t="str">
        <f>""</f>
        <v/>
      </c>
      <c r="AJ786" t="str">
        <f>""</f>
        <v/>
      </c>
      <c r="AK786" t="str">
        <f>""</f>
        <v/>
      </c>
      <c r="AL786">
        <v>31</v>
      </c>
      <c r="AM786" t="str">
        <f>""</f>
        <v/>
      </c>
      <c r="AN786" t="str">
        <f>""</f>
        <v/>
      </c>
      <c r="AO786" t="str">
        <f>"Lycée Francais Dominique Savio"</f>
        <v>Lycée Francais Dominique Savio</v>
      </c>
      <c r="AP786" t="str">
        <f>"DOUALA"</f>
        <v>DOUALA</v>
      </c>
      <c r="AQ786" t="str">
        <f>"Etranger"</f>
        <v>Etranger</v>
      </c>
    </row>
    <row r="787" spans="1:43" x14ac:dyDescent="0.25">
      <c r="A787" t="str">
        <f>"T02650"</f>
        <v>T02650</v>
      </c>
      <c r="B787" t="str">
        <f>"FIEDLER"</f>
        <v>FIEDLER</v>
      </c>
      <c r="C787" t="str">
        <f>"Simon"</f>
        <v>Simon</v>
      </c>
      <c r="D787" t="str">
        <f>"023-2410"</f>
        <v>023-2410</v>
      </c>
      <c r="E787" t="str">
        <f>"223411684HE"</f>
        <v>223411684HE</v>
      </c>
      <c r="F787" t="str">
        <f t="shared" si="149"/>
        <v>0352480F</v>
      </c>
      <c r="G787" t="str">
        <f t="shared" si="150"/>
        <v>O</v>
      </c>
      <c r="H787">
        <v>10</v>
      </c>
      <c r="I787">
        <v>2003</v>
      </c>
      <c r="J787">
        <v>1</v>
      </c>
      <c r="K787">
        <v>37</v>
      </c>
      <c r="L787">
        <v>0</v>
      </c>
      <c r="M787">
        <v>2021</v>
      </c>
      <c r="N787" t="str">
        <f t="shared" si="153"/>
        <v>E</v>
      </c>
      <c r="O787">
        <v>1</v>
      </c>
      <c r="P787">
        <v>0</v>
      </c>
      <c r="Q787">
        <v>109</v>
      </c>
      <c r="R787">
        <v>100</v>
      </c>
      <c r="S787">
        <v>35200</v>
      </c>
      <c r="T787">
        <v>100</v>
      </c>
      <c r="U787">
        <v>35200</v>
      </c>
      <c r="V787" t="str">
        <f>""</f>
        <v/>
      </c>
      <c r="W787">
        <v>37</v>
      </c>
      <c r="X787">
        <v>0</v>
      </c>
      <c r="Y787">
        <v>6000577</v>
      </c>
      <c r="Z787" t="str">
        <f>""</f>
        <v/>
      </c>
      <c r="AA787">
        <v>27</v>
      </c>
      <c r="AB787" t="str">
        <f>""</f>
        <v/>
      </c>
      <c r="AC787" t="str">
        <f>""</f>
        <v/>
      </c>
      <c r="AD787" t="str">
        <f>""</f>
        <v/>
      </c>
      <c r="AE787">
        <v>2023</v>
      </c>
      <c r="AF787">
        <v>2023</v>
      </c>
      <c r="AG787" t="str">
        <f>"Rennes"</f>
        <v>Rennes</v>
      </c>
      <c r="AH787" t="str">
        <f>"Rennes"</f>
        <v>Rennes</v>
      </c>
      <c r="AI787" t="str">
        <f>""</f>
        <v/>
      </c>
      <c r="AJ787" t="str">
        <f>""</f>
        <v/>
      </c>
      <c r="AK787" t="str">
        <f>""</f>
        <v/>
      </c>
      <c r="AL787">
        <v>37</v>
      </c>
      <c r="AM787" t="str">
        <f>""</f>
        <v/>
      </c>
      <c r="AN787" t="str">
        <f>""</f>
        <v/>
      </c>
      <c r="AO787" t="str">
        <f>"Humboldt-Gymnasium-Vaterstetten"</f>
        <v>Humboldt-Gymnasium-Vaterstetten</v>
      </c>
      <c r="AP787" t="str">
        <f>"VATERSTETTEN"</f>
        <v>VATERSTETTEN</v>
      </c>
      <c r="AQ787" t="str">
        <f>"Etranger"</f>
        <v>Etranger</v>
      </c>
    </row>
    <row r="788" spans="1:43" x14ac:dyDescent="0.25">
      <c r="A788" t="str">
        <f>"T04000"</f>
        <v>T04000</v>
      </c>
      <c r="B788" t="str">
        <f>"DEHIWALAGE DON"</f>
        <v>DEHIWALAGE DON</v>
      </c>
      <c r="C788" t="str">
        <f>"Dilruwan"</f>
        <v>Dilruwan</v>
      </c>
      <c r="D788" t="str">
        <f>"024-2797"</f>
        <v>024-2797</v>
      </c>
      <c r="E788" t="str">
        <f>"193793519GF"</f>
        <v>193793519GF</v>
      </c>
      <c r="F788" t="str">
        <f t="shared" si="149"/>
        <v>0352480F</v>
      </c>
      <c r="G788" t="str">
        <f t="shared" si="150"/>
        <v>O</v>
      </c>
      <c r="H788">
        <v>10</v>
      </c>
      <c r="I788">
        <v>1992</v>
      </c>
      <c r="J788">
        <v>1</v>
      </c>
      <c r="K788" t="str">
        <f>""</f>
        <v/>
      </c>
      <c r="L788" t="str">
        <f>""</f>
        <v/>
      </c>
      <c r="M788" t="str">
        <f>""</f>
        <v/>
      </c>
      <c r="N788" t="str">
        <f>""</f>
        <v/>
      </c>
      <c r="O788" t="str">
        <f>""</f>
        <v/>
      </c>
      <c r="P788">
        <v>0</v>
      </c>
      <c r="Q788" t="str">
        <f>""</f>
        <v/>
      </c>
      <c r="R788">
        <v>100</v>
      </c>
      <c r="S788" t="str">
        <f>""</f>
        <v/>
      </c>
      <c r="T788">
        <v>100</v>
      </c>
      <c r="U788" t="str">
        <f>""</f>
        <v/>
      </c>
      <c r="V788" t="str">
        <f>"Ne peut pas venir en 2024-25  Report de scolarité pour 2025-26"</f>
        <v>Ne peut pas venir en 2024-25  Report de scolarité pour 2025-26</v>
      </c>
      <c r="W788">
        <v>0</v>
      </c>
      <c r="X788">
        <v>0</v>
      </c>
      <c r="Y788">
        <v>6000577</v>
      </c>
      <c r="Z788" t="str">
        <f>""</f>
        <v/>
      </c>
      <c r="AA788">
        <v>27</v>
      </c>
      <c r="AB788" t="str">
        <f>""</f>
        <v/>
      </c>
      <c r="AC788" t="str">
        <f>""</f>
        <v/>
      </c>
      <c r="AD788" t="str">
        <f>""</f>
        <v/>
      </c>
      <c r="AE788" t="str">
        <f>""</f>
        <v/>
      </c>
      <c r="AF788">
        <v>2024</v>
      </c>
      <c r="AG788" t="str">
        <f>""</f>
        <v/>
      </c>
      <c r="AH788" t="str">
        <f>""</f>
        <v/>
      </c>
      <c r="AI788" t="str">
        <f>""</f>
        <v/>
      </c>
      <c r="AJ788" t="str">
        <f>""</f>
        <v/>
      </c>
      <c r="AK788" t="str">
        <f>""</f>
        <v/>
      </c>
      <c r="AL788">
        <v>0</v>
      </c>
      <c r="AM788" t="str">
        <f>""</f>
        <v/>
      </c>
      <c r="AN788" t="str">
        <f>""</f>
        <v/>
      </c>
      <c r="AO788" t="str">
        <f>""</f>
        <v/>
      </c>
      <c r="AP788" t="str">
        <f>""</f>
        <v/>
      </c>
      <c r="AQ788" t="str">
        <f>""</f>
        <v/>
      </c>
    </row>
    <row r="789" spans="1:43" x14ac:dyDescent="0.25">
      <c r="A789" t="str">
        <f>"T06000"</f>
        <v>T06000</v>
      </c>
      <c r="B789" t="str">
        <f>"GUO"</f>
        <v>GUO</v>
      </c>
      <c r="C789" t="str">
        <f>"Xinli"</f>
        <v>Xinli</v>
      </c>
      <c r="D789" t="str">
        <f>"024-2805"</f>
        <v>024-2805</v>
      </c>
      <c r="E789" t="str">
        <f>"233078065DE"</f>
        <v>233078065DE</v>
      </c>
      <c r="F789" t="str">
        <f t="shared" si="149"/>
        <v>0352480F</v>
      </c>
      <c r="G789" t="str">
        <f t="shared" si="150"/>
        <v>O</v>
      </c>
      <c r="H789">
        <v>10</v>
      </c>
      <c r="I789">
        <v>1999</v>
      </c>
      <c r="J789">
        <v>1</v>
      </c>
      <c r="K789" t="str">
        <f>""</f>
        <v/>
      </c>
      <c r="L789" t="str">
        <f>""</f>
        <v/>
      </c>
      <c r="M789" t="str">
        <f>""</f>
        <v/>
      </c>
      <c r="N789" t="str">
        <f>""</f>
        <v/>
      </c>
      <c r="O789" t="str">
        <f>""</f>
        <v/>
      </c>
      <c r="P789">
        <v>0</v>
      </c>
      <c r="Q789" t="str">
        <f>""</f>
        <v/>
      </c>
      <c r="R789">
        <v>100</v>
      </c>
      <c r="S789" t="str">
        <f>""</f>
        <v/>
      </c>
      <c r="T789">
        <v>100</v>
      </c>
      <c r="U789" t="str">
        <f>""</f>
        <v/>
      </c>
      <c r="V789" t="str">
        <f>"Ne peut pas venir pour raisons familiales et parce qu'il n'a pas trouvé de logement.   Démission"</f>
        <v>Ne peut pas venir pour raisons familiales et parce qu'il n'a pas trouvé de logement.   Démission</v>
      </c>
      <c r="W789">
        <v>0</v>
      </c>
      <c r="X789">
        <v>0</v>
      </c>
      <c r="Y789">
        <v>6000577</v>
      </c>
      <c r="Z789" t="str">
        <f>""</f>
        <v/>
      </c>
      <c r="AA789">
        <v>27</v>
      </c>
      <c r="AB789" t="str">
        <f>""</f>
        <v/>
      </c>
      <c r="AC789" t="str">
        <f>""</f>
        <v/>
      </c>
      <c r="AD789" t="str">
        <f>""</f>
        <v/>
      </c>
      <c r="AE789" t="str">
        <f>""</f>
        <v/>
      </c>
      <c r="AF789">
        <v>2024</v>
      </c>
      <c r="AG789" t="str">
        <f>""</f>
        <v/>
      </c>
      <c r="AH789" t="str">
        <f>""</f>
        <v/>
      </c>
      <c r="AI789" t="str">
        <f>""</f>
        <v/>
      </c>
      <c r="AJ789" t="str">
        <f>""</f>
        <v/>
      </c>
      <c r="AK789" t="str">
        <f>""</f>
        <v/>
      </c>
      <c r="AL789">
        <v>0</v>
      </c>
      <c r="AM789" t="str">
        <f>""</f>
        <v/>
      </c>
      <c r="AN789" t="str">
        <f>""</f>
        <v/>
      </c>
      <c r="AO789" t="str">
        <f>""</f>
        <v/>
      </c>
      <c r="AP789" t="str">
        <f>""</f>
        <v/>
      </c>
      <c r="AQ789" t="str">
        <f>""</f>
        <v/>
      </c>
    </row>
  </sheetData>
  <autoFilter ref="A1:AQ7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tabSelected="1" workbookViewId="0">
      <selection activeCell="F44" sqref="F44"/>
    </sheetView>
  </sheetViews>
  <sheetFormatPr baseColWidth="10" defaultRowHeight="15" x14ac:dyDescent="0.25"/>
  <cols>
    <col min="1" max="1" width="27.5703125" customWidth="1"/>
    <col min="2" max="2" width="47.5703125" customWidth="1"/>
    <col min="3" max="3" width="49.85546875" customWidth="1"/>
  </cols>
  <sheetData>
    <row r="1" spans="1:3" x14ac:dyDescent="0.25">
      <c r="A1" s="2" t="s">
        <v>3</v>
      </c>
      <c r="B1" s="2" t="s">
        <v>4</v>
      </c>
      <c r="C1" s="2" t="s">
        <v>2</v>
      </c>
    </row>
    <row r="2" spans="1:3" x14ac:dyDescent="0.25">
      <c r="A2" s="3"/>
      <c r="B2" s="3" t="str">
        <f>"VOIES"</f>
        <v>VOIES</v>
      </c>
      <c r="C2" s="3"/>
    </row>
    <row r="3" spans="1:3" x14ac:dyDescent="0.25">
      <c r="A3" s="1" t="s">
        <v>45</v>
      </c>
      <c r="B3" s="1" t="s">
        <v>70</v>
      </c>
      <c r="C3" s="1"/>
    </row>
    <row r="4" spans="1:3" x14ac:dyDescent="0.25">
      <c r="A4" s="4" t="s">
        <v>44</v>
      </c>
      <c r="B4" s="4"/>
      <c r="C4" s="4" t="s">
        <v>71</v>
      </c>
    </row>
    <row r="5" spans="1:3" x14ac:dyDescent="0.25">
      <c r="A5" s="1" t="s">
        <v>46</v>
      </c>
      <c r="B5" s="1" t="s">
        <v>69</v>
      </c>
      <c r="C5" s="1"/>
    </row>
    <row r="6" spans="1:3" x14ac:dyDescent="0.25">
      <c r="A6" s="4" t="s">
        <v>47</v>
      </c>
      <c r="B6" s="4"/>
      <c r="C6" s="4" t="s">
        <v>49</v>
      </c>
    </row>
    <row r="7" spans="1:3" x14ac:dyDescent="0.25">
      <c r="A7" s="4" t="s">
        <v>48</v>
      </c>
      <c r="B7" s="4"/>
      <c r="C7" s="4" t="s">
        <v>50</v>
      </c>
    </row>
    <row r="8" spans="1:3" x14ac:dyDescent="0.25">
      <c r="A8" s="1" t="s">
        <v>5</v>
      </c>
      <c r="B8" s="1" t="str">
        <f>"NUMINS"</f>
        <v>NUMINS</v>
      </c>
      <c r="C8" s="1"/>
    </row>
    <row r="9" spans="1:3" x14ac:dyDescent="0.25">
      <c r="A9" s="1" t="s">
        <v>6</v>
      </c>
      <c r="B9" s="1" t="str">
        <f>"IDETU"</f>
        <v>IDETU</v>
      </c>
      <c r="C9" s="1"/>
    </row>
    <row r="10" spans="1:3" x14ac:dyDescent="0.25">
      <c r="A10" s="1" t="s">
        <v>7</v>
      </c>
      <c r="B10" s="1" t="str">
        <f>"COMPOS"</f>
        <v>COMPOS</v>
      </c>
      <c r="C10" s="1"/>
    </row>
    <row r="11" spans="1:3" x14ac:dyDescent="0.25">
      <c r="A11" s="1" t="s">
        <v>8</v>
      </c>
      <c r="B11" s="1" t="str">
        <f>"INSPR"</f>
        <v>INSPR</v>
      </c>
      <c r="C11" s="1"/>
    </row>
    <row r="12" spans="1:3" x14ac:dyDescent="0.25">
      <c r="A12" s="1" t="s">
        <v>9</v>
      </c>
      <c r="B12" s="1" t="str">
        <f>"REGIME"</f>
        <v>REGIME</v>
      </c>
      <c r="C12" s="6" t="s">
        <v>79</v>
      </c>
    </row>
    <row r="13" spans="1:3" x14ac:dyDescent="0.25">
      <c r="A13" s="4" t="s">
        <v>11</v>
      </c>
      <c r="B13" s="4"/>
      <c r="C13" s="4" t="s">
        <v>10</v>
      </c>
    </row>
    <row r="14" spans="1:3" x14ac:dyDescent="0.25">
      <c r="A14" s="4" t="s">
        <v>12</v>
      </c>
      <c r="B14" s="4"/>
      <c r="C14" s="4" t="s">
        <v>13</v>
      </c>
    </row>
    <row r="15" spans="1:3" x14ac:dyDescent="0.25">
      <c r="A15" s="1" t="s">
        <v>14</v>
      </c>
      <c r="B15" s="1" t="str">
        <f>"ANNAIS"</f>
        <v>ANNAIS</v>
      </c>
      <c r="C15" s="1"/>
    </row>
    <row r="16" spans="1:3" x14ac:dyDescent="0.25">
      <c r="A16" s="1" t="s">
        <v>15</v>
      </c>
      <c r="B16" s="1" t="str">
        <f>"SEXE"</f>
        <v>SEXE</v>
      </c>
      <c r="C16" s="1"/>
    </row>
    <row r="17" spans="1:3" x14ac:dyDescent="0.25">
      <c r="A17" s="1" t="s">
        <v>16</v>
      </c>
      <c r="B17" s="1" t="str">
        <f>"BAC"</f>
        <v>BAC</v>
      </c>
      <c r="C17" s="1"/>
    </row>
    <row r="18" spans="1:3" x14ac:dyDescent="0.25">
      <c r="A18" s="1" t="s">
        <v>17</v>
      </c>
      <c r="B18" s="1" t="str">
        <f>"ACABAC"</f>
        <v>ACABAC</v>
      </c>
      <c r="C18" s="1"/>
    </row>
    <row r="19" spans="1:3" x14ac:dyDescent="0.25">
      <c r="A19" s="1" t="s">
        <v>18</v>
      </c>
      <c r="B19" s="1" t="str">
        <f>"ANBAC"</f>
        <v>ANBAC</v>
      </c>
      <c r="C19" s="1"/>
    </row>
    <row r="20" spans="1:3" x14ac:dyDescent="0.25">
      <c r="A20" s="1" t="s">
        <v>19</v>
      </c>
      <c r="B20" s="1" t="str">
        <f>"SITUPRE"</f>
        <v>SITUPRE</v>
      </c>
      <c r="C20" s="1"/>
    </row>
    <row r="21" spans="1:3" x14ac:dyDescent="0.25">
      <c r="A21" s="1" t="s">
        <v>20</v>
      </c>
      <c r="B21" s="1" t="str">
        <f>"DIPDER"</f>
        <v>DIPDER</v>
      </c>
      <c r="C21" s="1"/>
    </row>
    <row r="22" spans="1:3" x14ac:dyDescent="0.25">
      <c r="A22" s="1" t="s">
        <v>21</v>
      </c>
      <c r="B22" s="1" t="str">
        <f>"CURPAR"</f>
        <v>CURPAR</v>
      </c>
      <c r="C22" s="1"/>
    </row>
    <row r="23" spans="1:3" x14ac:dyDescent="0.25">
      <c r="A23" s="1" t="s">
        <v>22</v>
      </c>
      <c r="B23" s="1" t="str">
        <f>"NATION"</f>
        <v>NATION</v>
      </c>
      <c r="C23" s="1"/>
    </row>
    <row r="24" spans="1:3" x14ac:dyDescent="0.25">
      <c r="A24" s="1" t="s">
        <v>23</v>
      </c>
      <c r="B24" s="1" t="str">
        <f>"PARIPA_100_SAUF_CESURE_A_COMPLETER"</f>
        <v>PARIPA_100_SAUF_CESURE_A_COMPLETER</v>
      </c>
      <c r="C24" s="6" t="s">
        <v>80</v>
      </c>
    </row>
    <row r="25" spans="1:3" x14ac:dyDescent="0.25">
      <c r="A25" s="1" t="s">
        <v>24</v>
      </c>
      <c r="B25" s="1" t="str">
        <f>"CP_ETU"</f>
        <v>CP_ETU</v>
      </c>
      <c r="C25" s="1"/>
    </row>
    <row r="26" spans="1:3" x14ac:dyDescent="0.25">
      <c r="A26" s="1" t="s">
        <v>25</v>
      </c>
      <c r="B26" s="1" t="str">
        <f>"PAYPAR_A_COMPLETER_EGAL_PARIPA"</f>
        <v>PAYPAR_A_COMPLETER_EGAL_PARIPA</v>
      </c>
      <c r="C26" s="6" t="s">
        <v>72</v>
      </c>
    </row>
    <row r="27" spans="1:3" x14ac:dyDescent="0.25">
      <c r="A27" s="1" t="s">
        <v>26</v>
      </c>
      <c r="B27" s="1" t="str">
        <f>"CP_PAR_A_COMPLETER_EGAL_CP_ETU"</f>
        <v>CP_PAR_A_COMPLETER_EGAL_CP_ETU</v>
      </c>
      <c r="C27" s="6" t="s">
        <v>73</v>
      </c>
    </row>
    <row r="28" spans="1:3" x14ac:dyDescent="0.25">
      <c r="A28" s="3"/>
      <c r="B28" s="3" t="str">
        <f>"CADRE_INFORMATION"</f>
        <v>CADRE_INFORMATION</v>
      </c>
      <c r="C28" s="3"/>
    </row>
    <row r="29" spans="1:3" x14ac:dyDescent="0.25">
      <c r="A29" s="1" t="s">
        <v>27</v>
      </c>
      <c r="B29" s="1" t="str">
        <f>"PCSPAR_REMPLACER_0_PAR_99"</f>
        <v>PCSPAR_REMPLACER_0_PAR_99</v>
      </c>
      <c r="C29" s="1"/>
    </row>
    <row r="30" spans="1:3" x14ac:dyDescent="0.25">
      <c r="A30" s="1" t="s">
        <v>28</v>
      </c>
      <c r="B30" s="1" t="str">
        <f>"ECHANG"</f>
        <v>ECHANG</v>
      </c>
      <c r="C30" s="1"/>
    </row>
    <row r="31" spans="1:3" ht="30" x14ac:dyDescent="0.25">
      <c r="A31" s="1" t="s">
        <v>29</v>
      </c>
      <c r="B31" s="1" t="str">
        <f>"DIPLOM"</f>
        <v>DIPLOM</v>
      </c>
      <c r="C31" s="7" t="s">
        <v>74</v>
      </c>
    </row>
    <row r="32" spans="1:3" x14ac:dyDescent="0.25">
      <c r="A32" s="1" t="s">
        <v>30</v>
      </c>
      <c r="B32" s="1" t="str">
        <f>"NIVEAU_A_COMPLETER_pr_CESURE_SCOLARITE_EXT"</f>
        <v>NIVEAU_A_COMPLETER_pr_CESURE_SCOLARITE_EXT</v>
      </c>
      <c r="C32" s="5"/>
    </row>
    <row r="33" spans="1:3" x14ac:dyDescent="0.25">
      <c r="A33" s="1" t="s">
        <v>31</v>
      </c>
      <c r="B33" s="1" t="str">
        <f>"SPECIA"</f>
        <v>SPECIA</v>
      </c>
      <c r="C33" s="1"/>
    </row>
    <row r="34" spans="1:3" x14ac:dyDescent="0.25">
      <c r="A34" s="1" t="s">
        <v>32</v>
      </c>
      <c r="B34" s="1" t="str">
        <f>"SPECIB"</f>
        <v>SPECIB</v>
      </c>
      <c r="C34" s="1"/>
    </row>
    <row r="35" spans="1:3" x14ac:dyDescent="0.25">
      <c r="A35" s="1" t="s">
        <v>33</v>
      </c>
      <c r="B35" s="1" t="str">
        <f>"SPECIC"</f>
        <v>SPECIC</v>
      </c>
      <c r="C35" s="1"/>
    </row>
    <row r="36" spans="1:3" x14ac:dyDescent="0.25">
      <c r="A36" s="1" t="s">
        <v>34</v>
      </c>
      <c r="B36" s="1" t="str">
        <f>"REIMMA_A_VERIFIER"</f>
        <v>REIMMA_A_VERIFIER</v>
      </c>
      <c r="C36" s="1"/>
    </row>
    <row r="37" spans="1:3" x14ac:dyDescent="0.25">
      <c r="A37" s="1" t="s">
        <v>35</v>
      </c>
      <c r="B37" s="1" t="str">
        <f>"ANSUP_BLANC_QD_NON_RENSEIGNE"</f>
        <v>ANSUP_BLANC_QD_NON_RENSEIGNE</v>
      </c>
      <c r="C37" s="1"/>
    </row>
    <row r="38" spans="1:3" x14ac:dyDescent="0.25">
      <c r="A38" s="1" t="s">
        <v>36</v>
      </c>
      <c r="B38" s="1" t="str">
        <f>"ANETAB"</f>
        <v>ANETAB</v>
      </c>
      <c r="C38" s="1"/>
    </row>
    <row r="39" spans="1:3" x14ac:dyDescent="0.25">
      <c r="A39" s="1" t="s">
        <v>37</v>
      </c>
      <c r="B39" s="1" t="str">
        <f>"LCOMETU_VERIFIER_PBS_ACCENTS"</f>
        <v>LCOMETU_VERIFIER_PBS_ACCENTS</v>
      </c>
      <c r="C39" s="1"/>
    </row>
    <row r="40" spans="1:3" x14ac:dyDescent="0.25">
      <c r="A40" s="1" t="s">
        <v>38</v>
      </c>
      <c r="B40" s="1" t="str">
        <f>"LCOMREF_A_CORRIGER_EGAL_LCOMETU"</f>
        <v>LCOMREF_A_CORRIGER_EGAL_LCOMETU</v>
      </c>
      <c r="C40" s="6" t="s">
        <v>75</v>
      </c>
    </row>
    <row r="41" spans="1:3" x14ac:dyDescent="0.25">
      <c r="A41" s="1" t="s">
        <v>39</v>
      </c>
      <c r="B41" s="1" t="str">
        <f>"AMENA"</f>
        <v>AMENA</v>
      </c>
      <c r="C41" s="1"/>
    </row>
    <row r="42" spans="1:3" x14ac:dyDescent="0.25">
      <c r="A42" s="3"/>
      <c r="B42" s="3" t="str">
        <f>"TYP_FORMATION"</f>
        <v>TYP_FORMATION</v>
      </c>
      <c r="C42" s="3"/>
    </row>
    <row r="43" spans="1:3" x14ac:dyDescent="0.25">
      <c r="A43" s="1" t="s">
        <v>40</v>
      </c>
      <c r="B43" s="1" t="str">
        <f>"TYPREPA"</f>
        <v>TYPREPA</v>
      </c>
      <c r="C43" s="6" t="s">
        <v>78</v>
      </c>
    </row>
    <row r="44" spans="1:3" x14ac:dyDescent="0.25">
      <c r="A44" s="1" t="s">
        <v>41</v>
      </c>
      <c r="B44" s="1" t="str">
        <f>"PCSPAR2"</f>
        <v>PCSPAR2</v>
      </c>
      <c r="C44" s="1"/>
    </row>
    <row r="45" spans="1:3" x14ac:dyDescent="0.25">
      <c r="A45" s="1" t="s">
        <v>42</v>
      </c>
      <c r="B45" s="1" t="str">
        <f>"NUMED"</f>
        <v>NUMED</v>
      </c>
      <c r="C45" s="1"/>
    </row>
    <row r="46" spans="1:3" x14ac:dyDescent="0.25">
      <c r="A46" s="1" t="s">
        <v>43</v>
      </c>
      <c r="B46" s="1" t="str">
        <f>"FONCTIO"</f>
        <v>FONCTIO</v>
      </c>
      <c r="C46" s="1"/>
    </row>
    <row r="47" spans="1:3" x14ac:dyDescent="0.25">
      <c r="A47" s="3"/>
      <c r="B47" s="3" t="str">
        <f>"bac_lycee"</f>
        <v>bac_lycee</v>
      </c>
      <c r="C47" s="3"/>
    </row>
    <row r="48" spans="1:3" x14ac:dyDescent="0.25">
      <c r="A48" s="3"/>
      <c r="B48" s="3" t="str">
        <f>"bac_ville"</f>
        <v>bac_ville</v>
      </c>
      <c r="C48" s="3" t="s">
        <v>77</v>
      </c>
    </row>
    <row r="49" spans="1:3" x14ac:dyDescent="0.25">
      <c r="A49" s="3"/>
      <c r="B49" s="3" t="str">
        <f>"bac_academie"</f>
        <v>bac_academie</v>
      </c>
      <c r="C49" s="3" t="s">
        <v>76</v>
      </c>
    </row>
    <row r="50" spans="1:3" x14ac:dyDescent="0.25">
      <c r="A50" s="4" t="s">
        <v>51</v>
      </c>
      <c r="B50" s="4"/>
      <c r="C50" s="4" t="s">
        <v>52</v>
      </c>
    </row>
    <row r="51" spans="1:3" x14ac:dyDescent="0.25">
      <c r="A51" s="4" t="s">
        <v>53</v>
      </c>
      <c r="B51" s="4"/>
      <c r="C51" s="4" t="s">
        <v>54</v>
      </c>
    </row>
    <row r="52" spans="1:3" x14ac:dyDescent="0.25">
      <c r="A52" s="4" t="s">
        <v>55</v>
      </c>
      <c r="B52" s="4"/>
      <c r="C52" s="4" t="s">
        <v>56</v>
      </c>
    </row>
    <row r="53" spans="1:3" x14ac:dyDescent="0.25">
      <c r="A53" s="4" t="s">
        <v>57</v>
      </c>
      <c r="B53" s="4"/>
      <c r="C53" s="4" t="s">
        <v>58</v>
      </c>
    </row>
    <row r="54" spans="1:3" x14ac:dyDescent="0.25">
      <c r="A54" s="4" t="s">
        <v>61</v>
      </c>
      <c r="B54" s="4"/>
      <c r="C54" s="4" t="s">
        <v>59</v>
      </c>
    </row>
    <row r="55" spans="1:3" x14ac:dyDescent="0.25">
      <c r="A55" s="4" t="s">
        <v>62</v>
      </c>
      <c r="B55" s="4"/>
      <c r="C55" s="4" t="s">
        <v>60</v>
      </c>
    </row>
    <row r="56" spans="1:3" x14ac:dyDescent="0.25">
      <c r="A56" s="4" t="s">
        <v>63</v>
      </c>
      <c r="B56" s="4"/>
      <c r="C56" s="4" t="s">
        <v>65</v>
      </c>
    </row>
    <row r="57" spans="1:3" x14ac:dyDescent="0.25">
      <c r="A57" s="4" t="s">
        <v>64</v>
      </c>
      <c r="B57" s="4"/>
      <c r="C57" s="4" t="s">
        <v>66</v>
      </c>
    </row>
    <row r="58" spans="1:3" x14ac:dyDescent="0.25">
      <c r="A58" s="4" t="s">
        <v>67</v>
      </c>
      <c r="B58" s="4"/>
      <c r="C58" s="4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resultat(102)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LEDUC Isabelle</dc:creator>
  <cp:lastModifiedBy>LESIEUR Christophe</cp:lastModifiedBy>
  <dcterms:created xsi:type="dcterms:W3CDTF">2024-10-06T13:02:35Z</dcterms:created>
  <dcterms:modified xsi:type="dcterms:W3CDTF">2024-10-07T07:53:13Z</dcterms:modified>
</cp:coreProperties>
</file>