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251B0687-3C90-1A44-BF98-220AEF21FB01}" xr6:coauthVersionLast="47" xr6:coauthVersionMax="47" xr10:uidLastSave="{00000000-0000-0000-0000-000000000000}"/>
  <bookViews>
    <workbookView xWindow="480" yWindow="600" windowWidth="14400" windowHeight="16000" activeTab="1" xr2:uid="{00000000-000D-0000-FFFF-FFFF00000000}"/>
  </bookViews>
  <sheets>
    <sheet name="Data" sheetId="1" r:id="rId1"/>
    <sheet name="Fiche de production 7000 L" sheetId="2" r:id="rId2"/>
    <sheet name="CUVE 3 mesure" sheetId="9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G36" i="2" l="1"/>
  <c r="H70" i="2"/>
  <c r="M73" i="2"/>
  <c r="D43" i="2"/>
  <c r="A43" i="2"/>
  <c r="S14" i="2" l="1"/>
  <c r="Q14" i="2"/>
  <c r="O14" i="2"/>
  <c r="M14" i="2"/>
  <c r="K14" i="2"/>
  <c r="K60" i="2"/>
  <c r="K70" i="2" s="1"/>
  <c r="K16" i="2" l="1"/>
  <c r="H44" i="2" l="1"/>
  <c r="H45" i="2" s="1"/>
  <c r="H50" i="2" s="1"/>
  <c r="E1" i="9"/>
  <c r="E2" i="9" s="1" a="1"/>
  <c r="E2" i="9" s="1"/>
  <c r="E4" i="9" s="1"/>
  <c r="E8" i="9" l="1"/>
  <c r="O64" i="2"/>
  <c r="O65" i="2" s="1"/>
  <c r="Q64" i="2"/>
  <c r="Q65" i="2" s="1"/>
  <c r="S64" i="2"/>
  <c r="S65" i="2" s="1"/>
  <c r="K64" i="2"/>
  <c r="K65" i="2" s="1"/>
  <c r="M64" i="2"/>
  <c r="M65" i="2" s="1"/>
  <c r="E9" i="9" a="1"/>
  <c r="E9" i="9" s="1"/>
  <c r="E11" i="9" s="1"/>
  <c r="E10" i="9" a="1"/>
  <c r="E10" i="9" s="1"/>
  <c r="E12" i="9" s="1"/>
  <c r="E3" i="9" a="1"/>
  <c r="E3" i="9" s="1"/>
  <c r="E5" i="9" s="1"/>
  <c r="G4" i="7"/>
  <c r="B23" i="7"/>
  <c r="B14" i="7"/>
  <c r="D15" i="7" s="1"/>
  <c r="B3" i="7"/>
  <c r="C4" i="7"/>
  <c r="D4" i="7" s="1"/>
  <c r="C5" i="7"/>
  <c r="D5" i="7" s="1"/>
  <c r="C6" i="7"/>
  <c r="D6" i="7" s="1"/>
  <c r="E13" i="9" l="1"/>
  <c r="H51" i="2" s="1"/>
  <c r="E6" i="9"/>
  <c r="H46" i="2" s="1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X10" i="2"/>
  <c r="G32" i="2" l="1"/>
  <c r="G30" i="2"/>
  <c r="G31" i="2"/>
  <c r="G29" i="2"/>
  <c r="I6" i="7"/>
  <c r="I7" i="7" s="1"/>
  <c r="F9" i="7"/>
  <c r="I4" i="7" s="1"/>
  <c r="G34" i="2" s="1"/>
  <c r="F10" i="7"/>
  <c r="G33" i="2" s="1"/>
  <c r="D10" i="2" l="1"/>
  <c r="E5" i="1"/>
  <c r="W55" i="2"/>
  <c r="D49" i="2"/>
  <c r="A49" i="2"/>
  <c r="A12" i="2" l="1"/>
  <c r="K76" i="2"/>
  <c r="O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<sst xmlns="http://schemas.openxmlformats.org/spreadsheetml/2006/main" count="186" uniqueCount="112">
  <si>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</si>
  <si>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</si>
  <si>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</si>
  <si>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</si>
  <si>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</si>
  <si>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</si>
  <si>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</si>
  <si>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</si>
  <si>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</si>
  <si>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</si>
  <si>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</si>
  <si>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</si>
  <si>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</si>
  <si>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</si>
  <si>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</si>
  <si>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</si>
  <si>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</si>
  <si>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</si>
  <si>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</si>
  <si>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</si>
  <si>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</si>
  <si>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</si>
  <si>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</si>
  <si>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</si>
  <si>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</si>
  <si>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</si>
  <si>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</si>
  <si>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</si>
  <si>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</si>
  <si>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</si>
  <si>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</si>
  <si>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</si>
  <si>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</si>
  <si>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</si>
  <si>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</si>
  <si>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</si>
  <si>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</si>
  <si>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</si>
  <si>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</si>
  <si>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</si>
  <si>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</si>
  <si>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</si>
  <si>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</si>
  <si>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</si>
  <si>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</si>
  <si>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</si>
  <si>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</si>
  <si>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</si>
  <si>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</si>
  <si>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</si>
  <si>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</si>
  <si>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</si>
  <si>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</si>
  <si>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</si>
  <si>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</si>
  <si>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</si>
  <si>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</si>
  <si>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</si>
  <si>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</si>
  <si>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</si>
  <si>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</si>
  <si>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</si>
  <si>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</si>
  <si>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</si>
  <si>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</si>
  <si>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</si>
  <si>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</si>
  <si>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</si>
  <si>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</si>
  <si>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</si>
  <si>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</si>
  <si>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</si>
  <si>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</si>
  <si>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</si>
  <si>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</si>
  <si>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</si>
  <si>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</si>
  <si>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</si>
  <si>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</si>
  <si>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</si>
  <si>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Cuve 3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</si>
  <si>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</si>
  <si>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</si>
  <si>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</si>
  <si>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</si>
  <si>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</si>
  <si>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</si>
  <si>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</si>
  <si>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</si>
  <si>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Fiche de production Cuve de 7000 L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</si>
  <si>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</si>
  <si>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</si>
  <si>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</si>
  <si>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</si>
  <si>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</si>
  <si>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</si>
  <si>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</si>
  <si>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</si>
  <si>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</si>
  <si>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</si>
  <si>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</si>
  <si>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</si>
  <si>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</si>
  <si>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</si>
  <si>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</si>
  <si>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</si>
  <si>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</si>
  <si>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</si>
  <si>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t>Hauteur (cm)</t>
  </si>
  <si>
    <t>Cuve 4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</si>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</sst>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theme="5" tint="0.79998168889431442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9" borderId="2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top"/>
    </xf>
    <xf numFmtId="0" fontId="4" fillId="9" borderId="9" xfId="0" applyFont="1" applyFill="1" applyBorder="1" applyAlignment="1">
      <alignment horizontal="left" vertical="top"/>
    </xf>
    <xf numFmtId="0" fontId="4" fillId="9" borderId="12" xfId="0" applyFont="1" applyFill="1" applyBorder="1" applyAlignment="1">
      <alignment horizontal="left" vertical="top"/>
    </xf>
    <xf numFmtId="0" fontId="4" fillId="9" borderId="13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4" fillId="9" borderId="14" xfId="0" applyFont="1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 vertical="top"/>
    </xf>
    <xf numFmtId="0" fontId="4" fillId="9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9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9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42" fillId="11" borderId="2" xfId="0" applyFont="1" applyFill="1" applyBorder="1"/>
    <xf numFmtId="0" fontId="28" fillId="4" borderId="2" xfId="0" applyFont="1" applyFill="1" applyBorder="1"/>
    <xf numFmtId="0" fontId="23" fillId="9" borderId="7" xfId="0" applyFont="1" applyFill="1" applyBorder="1"/>
    <xf numFmtId="0" fontId="8" fillId="4" borderId="2" xfId="0" applyFont="1" applyFill="1" applyBorder="1" applyAlignment="1">
      <alignment vertical="center"/>
    </xf>
    <xf numFmtId="0" fontId="39" fillId="9" borderId="3" xfId="0" applyFont="1" applyFill="1" applyBorder="1" applyAlignment="1">
      <alignment horizontal="center"/>
    </xf>
    <xf numFmtId="0" fontId="39" fillId="9" borderId="5" xfId="0" applyFont="1" applyFill="1" applyBorder="1" applyAlignment="1">
      <alignment horizontal="center"/>
    </xf>
    <xf numFmtId="0" fontId="4" fillId="9" borderId="5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6" fontId="18" fillId="9" borderId="55" xfId="0" applyNumberFormat="1" applyFont="1" applyFill="1" applyBorder="1" applyAlignment="1">
      <alignment horizontal="center" vertic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8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9" fillId="9" borderId="29" xfId="0" applyFont="1" applyFill="1" applyBorder="1" applyAlignment="1">
      <alignment horizontal="center"/>
    </xf>
    <xf numFmtId="0" fontId="39" fillId="9" borderId="22" xfId="0" applyFont="1" applyFill="1" applyBorder="1" applyAlignment="1">
      <alignment horizontal="center"/>
    </xf>
    <xf numFmtId="0" fontId="39" fillId="9" borderId="27" xfId="0" applyFont="1" applyFill="1" applyBorder="1" applyAlignment="1">
      <alignment horizontal="center"/>
    </xf>
    <xf numFmtId="0" fontId="10" fillId="9" borderId="28" xfId="0" applyFont="1" applyFill="1" applyBorder="1" applyAlignment="1">
      <alignment vertical="center"/>
    </xf>
    <xf numFmtId="0" fontId="39" fillId="9" borderId="54" xfId="0" applyFont="1" applyFill="1" applyBorder="1" applyAlignment="1">
      <alignment horizontal="center"/>
    </xf>
    <xf numFmtId="0" fontId="10" fillId="9" borderId="6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  <xf numFmtId="0" fontId="4" fillId="9" borderId="52" xfId="0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vertical="center"/>
    </xf>
    <xf numFmtId="0" fontId="39" fillId="9" borderId="4" xfId="0" applyFont="1" applyFill="1" applyBorder="1" applyAlignment="1">
      <alignment horizontal="center"/>
    </xf>
    <xf numFmtId="0" fontId="39" fillId="9" borderId="52" xfId="0" applyFont="1" applyFill="1" applyBorder="1" applyAlignment="1">
      <alignment horizontal="center"/>
    </xf>
    <xf numFmtId="0" fontId="10" fillId="9" borderId="13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14" xfId="0" applyFont="1" applyFill="1" applyBorder="1" applyAlignment="1">
      <alignment vertical="center"/>
    </xf>
    <xf numFmtId="0" fontId="39" fillId="9" borderId="20" xfId="0" applyFont="1" applyFill="1" applyBorder="1" applyAlignment="1">
      <alignment horizontal="center"/>
    </xf>
    <xf numFmtId="0" fontId="39" fillId="9" borderId="21" xfId="0" applyFont="1" applyFill="1" applyBorder="1" applyAlignment="1">
      <alignment horizontal="center"/>
    </xf>
    <xf numFmtId="0" fontId="10" fillId="9" borderId="29" xfId="0" applyFont="1" applyFill="1" applyBorder="1" applyAlignment="1">
      <alignment vertical="center"/>
    </xf>
    <xf numFmtId="0" fontId="10" fillId="9" borderId="27" xfId="0" applyFont="1" applyFill="1" applyBorder="1" applyAlignment="1">
      <alignment vertical="center"/>
    </xf>
    <xf numFmtId="166" fontId="18" fillId="9" borderId="3" xfId="0" applyNumberFormat="1" applyFont="1" applyFill="1" applyBorder="1" applyAlignment="1">
      <alignment horizontal="center" vertical="center"/>
    </xf>
    <xf numFmtId="166" fontId="18" fillId="9" borderId="4" xfId="0" applyNumberFormat="1" applyFont="1" applyFill="1" applyBorder="1" applyAlignment="1">
      <alignment horizontal="center" vertical="center"/>
    </xf>
    <xf numFmtId="166" fontId="18" fillId="9" borderId="52" xfId="0" applyNumberFormat="1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5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3" fillId="4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1" fillId="11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1" borderId="37" xfId="0" applyNumberFormat="1" applyFont="1" applyFill="1" applyBorder="1" applyAlignment="1">
      <alignment horizontal="center" vertical="center"/>
    </xf>
    <xf numFmtId="14" fontId="11" fillId="11" borderId="17" xfId="0" applyNumberFormat="1" applyFont="1" applyFill="1" applyBorder="1" applyAlignment="1">
      <alignment horizontal="center" vertical="center"/>
    </xf>
    <xf numFmtId="14" fontId="11" fillId="11" borderId="26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41" fillId="11" borderId="10" xfId="0" applyFont="1" applyFill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190146</xdr:colOff>
      <xdr:row>27</xdr:row>
      <xdr:rowOff>103608</xdr:rowOff>
    </xdr:from>
    <xdr:to>
      <xdr:col>20</xdr:col>
      <xdr:colOff>86955</xdr:colOff>
      <xdr:row>33</xdr:row>
      <xdr:rowOff>174715</xdr:rowOff>
    </xdr:to>
    <xdr:sp macro="" textlink="">
      <xdr:nvSpPr>
        <xdr:cNvPr id="21" name="Cylindre 20">
          <a:extLst>
            <a:ext uri="{FF2B5EF4-FFF2-40B4-BE49-F238E27FC236}">
              <a16:creationId xmlns:a16="http://schemas.microsoft.com/office/drawing/2014/main" id="{A99E93A7-7F76-F24B-A9E6-E1FC1DFCFCCC}"/>
            </a:ext>
          </a:extLst>
        </xdr:cNvPr>
        <xdr:cNvSpPr/>
      </xdr:nvSpPr>
      <xdr:spPr>
        <a:xfrm>
          <a:off x="3860446" y="5361408"/>
          <a:ext cx="1039809" cy="1214107"/>
        </a:xfrm>
        <a:prstGeom prst="ca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  <a:p>
          <a:pPr algn="ctr"/>
          <a:endParaRPr lang="fr-FR" sz="1100" baseline="0"/>
        </a:p>
        <a:p>
          <a:pPr algn="ctr"/>
          <a:r>
            <a:rPr lang="fr-FR" sz="1100" baseline="0"/>
            <a:t> </a:t>
          </a:r>
        </a:p>
        <a:p>
          <a:pPr algn="ctr"/>
          <a:endParaRPr lang="fr-FR" sz="1100" baseline="0"/>
        </a:p>
        <a:p>
          <a:pPr algn="ctr"/>
          <a:endParaRPr lang="fr-FR" sz="1100" baseline="0"/>
        </a:p>
      </xdr:txBody>
    </xdr:sp>
    <xdr:clientData/>
  </xdr:twoCellAnchor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15</xdr:col>
      <xdr:colOff>203200</xdr:colOff>
      <xdr:row>42</xdr:row>
      <xdr:rowOff>127000</xdr:rowOff>
    </xdr:from>
    <xdr:to>
      <xdr:col>20</xdr:col>
      <xdr:colOff>50800</xdr:colOff>
      <xdr:row>49</xdr:row>
      <xdr:rowOff>88900</xdr:rowOff>
    </xdr:to>
    <xdr:sp macro="" textlink="">
      <xdr:nvSpPr>
        <xdr:cNvPr id="26" name="Cylindre 25">
          <a:extLst>
            <a:ext uri="{FF2B5EF4-FFF2-40B4-BE49-F238E27FC236}">
              <a16:creationId xmlns:a16="http://schemas.microsoft.com/office/drawing/2014/main" id="{4BDE1D47-C296-E942-9929-06D22629183A}"/>
            </a:ext>
          </a:extLst>
        </xdr:cNvPr>
        <xdr:cNvSpPr/>
      </xdr:nvSpPr>
      <xdr:spPr>
        <a:xfrm>
          <a:off x="3873500" y="8128000"/>
          <a:ext cx="990600" cy="1206500"/>
        </a:xfrm>
        <a:prstGeom prst="ca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205815</xdr:colOff>
      <xdr:row>42</xdr:row>
      <xdr:rowOff>65368</xdr:rowOff>
    </xdr:from>
    <xdr:to>
      <xdr:col>20</xdr:col>
      <xdr:colOff>63500</xdr:colOff>
      <xdr:row>49</xdr:row>
      <xdr:rowOff>101600</xdr:rowOff>
    </xdr:to>
    <xdr:sp macro="" textlink="">
      <xdr:nvSpPr>
        <xdr:cNvPr id="25" name="Cylindre 24">
          <a:extLst>
            <a:ext uri="{FF2B5EF4-FFF2-40B4-BE49-F238E27FC236}">
              <a16:creationId xmlns:a16="http://schemas.microsoft.com/office/drawing/2014/main" id="{D2DB0FDF-2CDE-EB4E-8DE6-B19F15FF4DBF}"/>
            </a:ext>
          </a:extLst>
        </xdr:cNvPr>
        <xdr:cNvSpPr/>
      </xdr:nvSpPr>
      <xdr:spPr>
        <a:xfrm>
          <a:off x="3876115" y="8066368"/>
          <a:ext cx="1000685" cy="1280832"/>
        </a:xfrm>
        <a:prstGeom prst="ca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20358</xdr:colOff>
      <xdr:row>33</xdr:row>
      <xdr:rowOff>174715</xdr:rowOff>
    </xdr:from>
    <xdr:to>
      <xdr:col>18</xdr:col>
      <xdr:colOff>24251</xdr:colOff>
      <xdr:row>42</xdr:row>
      <xdr:rowOff>65368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BDE552D0-42E8-67B0-3F39-496678D9218D}"/>
            </a:ext>
          </a:extLst>
        </xdr:cNvPr>
        <xdr:cNvCxnSpPr>
          <a:stCxn id="21" idx="3"/>
          <a:endCxn id="25" idx="1"/>
        </xdr:cNvCxnSpPr>
      </xdr:nvCxnSpPr>
      <xdr:spPr>
        <a:xfrm flipH="1">
          <a:off x="4376458" y="6575515"/>
          <a:ext cx="3893" cy="1490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25400</xdr:colOff>
      <xdr:row>27</xdr:row>
      <xdr:rowOff>127000</xdr:rowOff>
    </xdr:from>
    <xdr:to>
      <xdr:col>10</xdr:col>
      <xdr:colOff>12700</xdr:colOff>
      <xdr:row>34</xdr:row>
      <xdr:rowOff>63500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77894251-70AE-59FB-9715-BDE43584577F}"/>
            </a:ext>
          </a:extLst>
        </xdr:cNvPr>
        <xdr:cNvSpPr/>
      </xdr:nvSpPr>
      <xdr:spPr>
        <a:xfrm>
          <a:off x="2120900" y="5384800"/>
          <a:ext cx="215900" cy="12573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88900</xdr:colOff>
      <xdr:row>34</xdr:row>
      <xdr:rowOff>152400</xdr:rowOff>
    </xdr:from>
    <xdr:to>
      <xdr:col>8</xdr:col>
      <xdr:colOff>203200</xdr:colOff>
      <xdr:row>39</xdr:row>
      <xdr:rowOff>25400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1DB23E6B-C671-A644-AC30-5351A515FDB5}"/>
            </a:ext>
          </a:extLst>
        </xdr:cNvPr>
        <xdr:cNvSpPr/>
      </xdr:nvSpPr>
      <xdr:spPr>
        <a:xfrm>
          <a:off x="1955800" y="6731000"/>
          <a:ext cx="114300" cy="7620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25400</xdr:colOff>
      <xdr:row>30</xdr:row>
      <xdr:rowOff>50800</xdr:rowOff>
    </xdr:from>
    <xdr:ext cx="627095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C963B60-BA78-0BB3-1D90-9D91F958D373}"/>
            </a:ext>
          </a:extLst>
        </xdr:cNvPr>
        <xdr:cNvSpPr txBox="1"/>
      </xdr:nvSpPr>
      <xdr:spPr>
        <a:xfrm>
          <a:off x="2349500" y="5880100"/>
          <a:ext cx="627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Dilution</a:t>
          </a:r>
        </a:p>
      </xdr:txBody>
    </xdr:sp>
    <xdr:clientData/>
  </xdr:oneCellAnchor>
  <xdr:oneCellAnchor>
    <xdr:from>
      <xdr:col>9</xdr:col>
      <xdr:colOff>25400</xdr:colOff>
      <xdr:row>36</xdr:row>
      <xdr:rowOff>50800</xdr:rowOff>
    </xdr:from>
    <xdr:ext cx="681469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D98E549-634F-6C47-BA4A-A3A857DE3404}"/>
            </a:ext>
          </a:extLst>
        </xdr:cNvPr>
        <xdr:cNvSpPr txBox="1"/>
      </xdr:nvSpPr>
      <xdr:spPr>
        <a:xfrm>
          <a:off x="2120900" y="6985000"/>
          <a:ext cx="681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Transfert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93</v>
      </c>
      <c r="B10" s="1">
        <v>365</v>
      </c>
      <c r="D10" s="3" t="s">
        <v>93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showWhiteSpace="0" view="pageLayout" zoomScale="113" zoomScaleNormal="167" zoomScaleSheetLayoutView="57" zoomScalePageLayoutView="113" workbookViewId="0">
      <selection activeCell="H46" sqref="H46:I46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237" t="s">
        <v>89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9"/>
      <c r="W1" s="228" t="s">
        <v>12</v>
      </c>
      <c r="X1" s="229"/>
      <c r="Y1" s="229"/>
      <c r="Z1" s="229"/>
      <c r="AA1" s="230"/>
    </row>
    <row r="2" spans="1:31" ht="14.25" customHeight="1">
      <c r="A2" s="240"/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2"/>
      <c r="W2" s="231" t="s">
        <v>104</v>
      </c>
      <c r="X2" s="232"/>
      <c r="Y2" s="232"/>
      <c r="Z2" s="232"/>
      <c r="AA2" s="233"/>
    </row>
    <row r="3" spans="1:31" ht="14.25" customHeigh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2"/>
      <c r="W3" s="231" t="s">
        <v>13</v>
      </c>
      <c r="X3" s="232"/>
      <c r="Y3" s="232"/>
      <c r="Z3" s="232"/>
      <c r="AA3" s="233"/>
    </row>
    <row r="4" spans="1:31" ht="14.25" customHeight="1">
      <c r="A4" s="243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5"/>
      <c r="W4" s="234" t="s">
        <v>105</v>
      </c>
      <c r="X4" s="235"/>
      <c r="Y4" s="235"/>
      <c r="Z4" s="235"/>
      <c r="AA4" s="236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246" t="s">
        <v>103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8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49" t="s">
        <v>106</v>
      </c>
      <c r="B8" s="250"/>
      <c r="C8" s="250"/>
      <c r="D8" s="250"/>
      <c r="E8" s="250"/>
      <c r="F8" s="250"/>
      <c r="G8" s="251"/>
      <c r="H8" s="252" t="s">
        <v>5</v>
      </c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6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273" t="s">
        <v>46</v>
      </c>
      <c r="B10" s="274"/>
      <c r="C10" s="274"/>
      <c r="D10" s="275">
        <f>_xlfn.XLOOKUP(H8,Data!A2:A12,Data!B2:B12)+A20</f>
        <v>46270</v>
      </c>
      <c r="E10" s="275"/>
      <c r="F10" s="275"/>
      <c r="G10" s="27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63" t="s">
        <v>47</v>
      </c>
      <c r="V10" s="264"/>
      <c r="W10" s="264"/>
      <c r="X10" s="265">
        <f>_xlfn.XLOOKUP(H8,Data!A2:A12,Data!B2:B12)+A20</f>
        <v>46270</v>
      </c>
      <c r="Y10" s="265"/>
      <c r="Z10" s="265"/>
      <c r="AA10" s="266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294" t="str">
        <f ca="1">IF(OR(D10&lt;(TODAY()+355),D10&gt;(TODAY()+375)),"ATTENTION ERREUR DDM","DDM SEMBLE OK")</f>
        <v>ATTENTION ERREUR DDM</v>
      </c>
      <c r="B12" s="294"/>
      <c r="C12" s="294"/>
      <c r="D12" s="294"/>
      <c r="E12" s="97"/>
      <c r="F12" s="97"/>
      <c r="G12" s="97"/>
      <c r="H12" s="178" t="s">
        <v>85</v>
      </c>
      <c r="I12" s="178"/>
      <c r="J12" s="179"/>
      <c r="K12" s="133" t="s">
        <v>32</v>
      </c>
      <c r="L12" s="136"/>
      <c r="M12" s="136"/>
      <c r="N12" s="136"/>
      <c r="O12" s="133" t="s">
        <v>33</v>
      </c>
      <c r="P12" s="136"/>
      <c r="Q12" s="136"/>
      <c r="R12" s="136"/>
      <c r="S12" s="136"/>
      <c r="T12" s="134"/>
      <c r="U12" s="4"/>
      <c r="V12" s="4"/>
      <c r="W12" s="4"/>
      <c r="X12" s="4"/>
      <c r="Y12" s="4"/>
      <c r="Z12" s="4"/>
      <c r="AA12" s="4"/>
    </row>
    <row r="13" spans="1:31" ht="25" customHeight="1">
      <c r="A13" s="294"/>
      <c r="B13" s="294"/>
      <c r="C13" s="294"/>
      <c r="D13" s="294"/>
      <c r="E13" s="97"/>
      <c r="F13" s="97"/>
      <c r="G13" s="97"/>
      <c r="H13" s="130"/>
      <c r="I13" s="131"/>
      <c r="J13" s="132"/>
      <c r="K13" s="133" t="s">
        <v>90</v>
      </c>
      <c r="L13" s="134"/>
      <c r="M13" s="133" t="s">
        <v>102</v>
      </c>
      <c r="N13" s="135"/>
      <c r="O13" s="180" t="s">
        <v>91</v>
      </c>
      <c r="P13" s="181"/>
      <c r="Q13" s="182" t="s">
        <v>92</v>
      </c>
      <c r="R13" s="181"/>
      <c r="S13" s="203" t="s">
        <v>107</v>
      </c>
      <c r="T13" s="204"/>
      <c r="U13" s="4"/>
      <c r="V13" s="4"/>
      <c r="W13" s="4"/>
      <c r="X13" s="4"/>
      <c r="Y13" s="4"/>
      <c r="Z13" s="4"/>
      <c r="AA13" s="4"/>
    </row>
    <row r="14" spans="1:31" ht="14.25" customHeight="1">
      <c r="A14" s="294"/>
      <c r="B14" s="294"/>
      <c r="C14" s="294"/>
      <c r="D14" s="294"/>
      <c r="E14" s="97"/>
      <c r="F14" s="97"/>
      <c r="G14" s="97"/>
      <c r="H14" s="151" t="s">
        <v>20</v>
      </c>
      <c r="I14" s="152"/>
      <c r="J14" s="153"/>
      <c r="K14" s="154">
        <f>K15*12</f>
        <v>7764</v>
      </c>
      <c r="L14" s="155"/>
      <c r="M14" s="286">
        <f>M15*12</f>
        <v>0</v>
      </c>
      <c r="N14" s="156"/>
      <c r="O14" s="286">
        <f>O15*6</f>
        <v>1356</v>
      </c>
      <c r="P14" s="155"/>
      <c r="Q14" s="286">
        <f>Q15*4</f>
        <v>3760</v>
      </c>
      <c r="R14" s="155"/>
      <c r="S14" s="204">
        <f>S15*6</f>
        <v>0</v>
      </c>
      <c r="T14" s="204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294"/>
      <c r="B15" s="294"/>
      <c r="C15" s="294"/>
      <c r="D15" s="294"/>
      <c r="E15" s="97"/>
      <c r="F15" s="97"/>
      <c r="G15" s="97"/>
      <c r="H15" s="151" t="s">
        <v>22</v>
      </c>
      <c r="I15" s="152"/>
      <c r="J15" s="153"/>
      <c r="K15" s="157">
        <v>647</v>
      </c>
      <c r="L15" s="158"/>
      <c r="M15" s="157">
        <v>0</v>
      </c>
      <c r="N15" s="159"/>
      <c r="O15" s="160">
        <v>226</v>
      </c>
      <c r="P15" s="158"/>
      <c r="Q15" s="157">
        <v>940</v>
      </c>
      <c r="R15" s="158"/>
      <c r="S15" s="287">
        <v>0</v>
      </c>
      <c r="T15" s="287"/>
      <c r="U15" s="4"/>
      <c r="V15" s="4"/>
      <c r="W15" s="4"/>
      <c r="X15" s="4"/>
      <c r="Y15" s="4"/>
      <c r="Z15" s="4"/>
      <c r="AA15" s="4"/>
    </row>
    <row r="16" spans="1:31" ht="14.25" customHeight="1">
      <c r="A16" s="294"/>
      <c r="B16" s="294"/>
      <c r="C16" s="294"/>
      <c r="D16" s="294"/>
      <c r="E16" s="97"/>
      <c r="F16" s="97"/>
      <c r="G16" s="97"/>
      <c r="H16" s="151" t="s">
        <v>52</v>
      </c>
      <c r="I16" s="152"/>
      <c r="J16" s="153"/>
      <c r="K16" s="291">
        <f>(K14+M14)*0.33+(O14+Q14+S14)*0.75</f>
        <v>6399.1200000000008</v>
      </c>
      <c r="L16" s="292"/>
      <c r="M16" s="292"/>
      <c r="N16" s="292"/>
      <c r="O16" s="292"/>
      <c r="P16" s="292"/>
      <c r="Q16" s="292"/>
      <c r="R16" s="292"/>
      <c r="S16" s="292"/>
      <c r="T16" s="293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280" t="s">
        <v>14</v>
      </c>
      <c r="B18" s="281"/>
      <c r="C18" s="281"/>
      <c r="D18" s="281"/>
      <c r="E18" s="281"/>
      <c r="F18" s="281"/>
      <c r="G18" s="281"/>
      <c r="H18" s="281"/>
      <c r="I18" s="281"/>
      <c r="J18" s="281"/>
      <c r="K18" s="281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  <c r="AA18" s="282"/>
    </row>
    <row r="19" spans="1:31" s="9" customFormat="1" ht="25" customHeight="1">
      <c r="A19" s="283" t="s">
        <v>24</v>
      </c>
      <c r="B19" s="284"/>
      <c r="C19" s="285"/>
      <c r="D19" s="278" t="s">
        <v>25</v>
      </c>
      <c r="E19" s="279"/>
      <c r="F19" s="288" t="s">
        <v>15</v>
      </c>
      <c r="G19" s="289"/>
      <c r="H19" s="289" t="s">
        <v>26</v>
      </c>
      <c r="I19" s="289"/>
      <c r="J19" s="253" t="s">
        <v>16</v>
      </c>
      <c r="K19" s="223"/>
      <c r="L19" s="290" t="s">
        <v>53</v>
      </c>
      <c r="M19" s="290"/>
      <c r="N19" s="256" t="s">
        <v>17</v>
      </c>
      <c r="O19" s="256"/>
      <c r="P19" s="256"/>
      <c r="Q19" s="256"/>
      <c r="R19" s="256"/>
      <c r="S19" s="256"/>
      <c r="T19" s="256"/>
      <c r="U19" s="256"/>
      <c r="V19" s="256"/>
      <c r="W19" s="277" t="s">
        <v>27</v>
      </c>
      <c r="X19" s="277"/>
      <c r="Y19" s="277" t="s">
        <v>28</v>
      </c>
      <c r="Z19" s="277"/>
      <c r="AA19" s="277"/>
      <c r="AD19" s="87"/>
    </row>
    <row r="20" spans="1:31" ht="20" customHeight="1">
      <c r="A20" s="267">
        <v>45905</v>
      </c>
      <c r="B20" s="268"/>
      <c r="C20" s="269"/>
      <c r="D20" s="223"/>
      <c r="E20" s="224"/>
      <c r="F20" s="225"/>
      <c r="G20" s="225"/>
      <c r="H20" s="225"/>
      <c r="I20" s="225"/>
      <c r="J20" s="254"/>
      <c r="K20" s="255"/>
      <c r="L20" s="259" t="s">
        <v>54</v>
      </c>
      <c r="M20" s="260"/>
      <c r="N20" s="257"/>
      <c r="O20" s="258"/>
      <c r="P20" s="258"/>
      <c r="Q20" s="258"/>
      <c r="R20" s="258"/>
      <c r="S20" s="258"/>
      <c r="T20" s="258"/>
      <c r="U20" s="258"/>
      <c r="V20" s="258"/>
      <c r="W20" s="189"/>
      <c r="X20" s="189"/>
      <c r="Y20" s="183" t="b">
        <v>0</v>
      </c>
      <c r="Z20" s="183"/>
      <c r="AA20" s="183"/>
    </row>
    <row r="21" spans="1:31" ht="20" customHeight="1">
      <c r="A21" s="270"/>
      <c r="B21" s="270"/>
      <c r="C21" s="271"/>
      <c r="D21" s="226"/>
      <c r="E21" s="227"/>
      <c r="F21" s="209"/>
      <c r="G21" s="209"/>
      <c r="H21" s="209"/>
      <c r="I21" s="209"/>
      <c r="J21" s="254"/>
      <c r="K21" s="255"/>
      <c r="L21" s="259" t="s">
        <v>54</v>
      </c>
      <c r="M21" s="260"/>
      <c r="N21" s="257"/>
      <c r="O21" s="258"/>
      <c r="P21" s="258"/>
      <c r="Q21" s="258"/>
      <c r="R21" s="258"/>
      <c r="S21" s="258"/>
      <c r="T21" s="258"/>
      <c r="U21" s="258"/>
      <c r="V21" s="258"/>
      <c r="W21" s="189"/>
      <c r="X21" s="189"/>
      <c r="Y21" s="183" t="b">
        <v>0</v>
      </c>
      <c r="Z21" s="183"/>
      <c r="AA21" s="183"/>
    </row>
    <row r="22" spans="1:31" ht="20" customHeight="1">
      <c r="A22" s="212"/>
      <c r="B22" s="212"/>
      <c r="C22" s="213"/>
      <c r="D22" s="207"/>
      <c r="E22" s="208"/>
      <c r="F22" s="209"/>
      <c r="G22" s="209"/>
      <c r="H22" s="209"/>
      <c r="I22" s="209"/>
      <c r="J22" s="254"/>
      <c r="K22" s="255"/>
      <c r="L22" s="259" t="s">
        <v>54</v>
      </c>
      <c r="M22" s="260"/>
      <c r="N22" s="257"/>
      <c r="O22" s="258"/>
      <c r="P22" s="258"/>
      <c r="Q22" s="258"/>
      <c r="R22" s="258"/>
      <c r="S22" s="258"/>
      <c r="T22" s="258"/>
      <c r="U22" s="258"/>
      <c r="V22" s="258"/>
      <c r="W22" s="189"/>
      <c r="X22" s="189"/>
      <c r="Y22" s="183" t="b">
        <v>0</v>
      </c>
      <c r="Z22" s="183"/>
      <c r="AA22" s="183"/>
      <c r="AE22" s="88"/>
    </row>
    <row r="23" spans="1:31" ht="20" customHeight="1">
      <c r="A23" s="212"/>
      <c r="B23" s="212"/>
      <c r="C23" s="213"/>
      <c r="D23" s="214"/>
      <c r="E23" s="215"/>
      <c r="F23" s="209"/>
      <c r="G23" s="209"/>
      <c r="H23" s="209"/>
      <c r="I23" s="209"/>
      <c r="J23" s="191"/>
      <c r="K23" s="192"/>
      <c r="L23" s="261" t="s">
        <v>54</v>
      </c>
      <c r="M23" s="262"/>
      <c r="N23" s="272"/>
      <c r="O23" s="258"/>
      <c r="P23" s="258"/>
      <c r="Q23" s="258"/>
      <c r="R23" s="258"/>
      <c r="S23" s="258"/>
      <c r="T23" s="258"/>
      <c r="U23" s="258"/>
      <c r="V23" s="258"/>
      <c r="W23" s="189"/>
      <c r="X23" s="189"/>
      <c r="Y23" s="183" t="b">
        <v>0</v>
      </c>
      <c r="Z23" s="183"/>
      <c r="AA23" s="183"/>
    </row>
    <row r="24" spans="1:31" ht="10" customHeight="1">
      <c r="A24" s="31"/>
      <c r="B24" s="31"/>
      <c r="C24" s="31"/>
      <c r="D24" s="32"/>
      <c r="E24" s="195"/>
      <c r="F24" s="195"/>
      <c r="G24" s="195"/>
      <c r="H24" s="195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110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6" t="s">
        <v>111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16">
        <f>IF(ISNUMBER( SEARCH("K.",$H$8)),Recette!D24,Recette!D15)</f>
        <v>251.96920000000006</v>
      </c>
      <c r="H29" s="216"/>
      <c r="I29" s="217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18">
        <f>IF(ISNUMBER( SEARCH("K.",$H$8)),Recette!D25,Recette!D16)</f>
        <v>115.18592000000001</v>
      </c>
      <c r="H30" s="218"/>
      <c r="I30" s="219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18">
        <f>IF(ISNUMBER( SEARCH("K.",$H$8)),Recette!D26,Recette!D17)</f>
        <v>28.796480000000003</v>
      </c>
      <c r="H31" s="218"/>
      <c r="I31" s="219"/>
      <c r="J31" s="11"/>
      <c r="K31" s="4"/>
      <c r="L31" s="4"/>
      <c r="M31" s="11"/>
      <c r="N31" s="11"/>
      <c r="P31" s="11"/>
      <c r="Q31" s="11"/>
      <c r="R31" s="11"/>
      <c r="S31" s="4"/>
      <c r="V31" s="190" t="s">
        <v>80</v>
      </c>
      <c r="W31" s="190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18">
        <f>IF(ISNUMBER( SEARCH("K.",$H$8)),Recette!D27,Recette!D18)</f>
        <v>43.194720000000004</v>
      </c>
      <c r="H32" s="218"/>
      <c r="I32" s="219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18">
        <f>Recette!F10</f>
        <v>704.89599999999996</v>
      </c>
      <c r="H33" s="218"/>
      <c r="I33" s="219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20">
        <f>Recette!I4</f>
        <v>35.273593630378194</v>
      </c>
      <c r="H34" s="220"/>
      <c r="I34" s="221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193">
        <f>K16 + 800</f>
        <v>7199.1200000000008</v>
      </c>
      <c r="H36" s="194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197">
        <v>260</v>
      </c>
      <c r="H37" s="198"/>
      <c r="I37" s="11"/>
      <c r="J37" s="30"/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199" t="s">
        <v>49</v>
      </c>
      <c r="H38" s="200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201" t="s">
        <v>94</v>
      </c>
      <c r="H39" s="202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66"/>
      <c r="T41" s="166"/>
      <c r="U41" s="166"/>
      <c r="V41" s="222"/>
      <c r="W41" s="222"/>
      <c r="X41" s="222"/>
      <c r="Y41" s="222"/>
      <c r="Z41" s="222"/>
      <c r="AA41" s="222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66"/>
      <c r="T42" s="166"/>
      <c r="U42" s="166"/>
      <c r="V42" s="169"/>
      <c r="W42" s="169"/>
      <c r="X42" s="169"/>
      <c r="Y42" s="169"/>
      <c r="Z42" s="169"/>
      <c r="AA42" s="169"/>
      <c r="AB42" s="26"/>
      <c r="AC42" s="82"/>
      <c r="AD42" s="82"/>
      <c r="AE42" s="26"/>
    </row>
    <row r="43" spans="1:32" ht="14.25" customHeight="1">
      <c r="A43" s="187" t="str">
        <f>A8</f>
        <v>Produit  :</v>
      </c>
      <c r="B43" s="188"/>
      <c r="C43" s="188"/>
      <c r="D43" s="210" t="str">
        <f>H8</f>
        <v>K. Mangue - Passion</v>
      </c>
      <c r="E43" s="210"/>
      <c r="F43" s="210"/>
      <c r="G43" s="210"/>
      <c r="H43" s="210"/>
      <c r="I43" s="211"/>
      <c r="J43" s="27"/>
      <c r="K43" s="27"/>
      <c r="L43" s="11"/>
      <c r="M43" s="10"/>
      <c r="N43" s="10"/>
      <c r="O43" s="10"/>
      <c r="P43" s="10"/>
      <c r="Q43" s="10"/>
      <c r="R43" s="10"/>
      <c r="S43" s="166"/>
      <c r="T43" s="166"/>
      <c r="U43" s="166"/>
      <c r="V43" s="169"/>
      <c r="W43" s="169"/>
      <c r="X43" s="169"/>
      <c r="Y43" s="169"/>
      <c r="Z43" s="169"/>
      <c r="AA43" s="169"/>
      <c r="AB43" s="26"/>
      <c r="AC43" s="82"/>
      <c r="AD43" s="83"/>
      <c r="AE43" s="26"/>
    </row>
    <row r="44" spans="1:32" ht="14.25" customHeight="1">
      <c r="A44" s="161" t="s">
        <v>18</v>
      </c>
      <c r="B44" s="162"/>
      <c r="C44" s="162"/>
      <c r="D44" s="162"/>
      <c r="E44" s="162"/>
      <c r="F44" s="162"/>
      <c r="G44" s="162"/>
      <c r="H44" s="169">
        <f>IF(ISNUMBER( SEARCH("EP",H8)), 0, (G36-400)*60%)</f>
        <v>4079.4720000000002</v>
      </c>
      <c r="I44" s="170"/>
      <c r="J44" s="27"/>
      <c r="K44" s="28"/>
      <c r="L44" s="11"/>
      <c r="M44" s="10"/>
      <c r="N44" s="10"/>
      <c r="O44" s="10"/>
      <c r="P44" s="10"/>
      <c r="Q44" s="10"/>
      <c r="R44" s="10"/>
      <c r="S44" s="166"/>
      <c r="T44" s="166"/>
      <c r="U44" s="166"/>
      <c r="V44" s="173"/>
      <c r="W44" s="173"/>
      <c r="X44" s="173"/>
      <c r="Y44" s="173"/>
      <c r="Z44" s="173"/>
      <c r="AA44" s="173"/>
      <c r="AB44" s="26"/>
      <c r="AC44" s="26"/>
      <c r="AD44" s="80"/>
      <c r="AF44" s="26"/>
    </row>
    <row r="45" spans="1:32" ht="14.25" customHeight="1">
      <c r="A45" s="161" t="s">
        <v>86</v>
      </c>
      <c r="B45" s="162"/>
      <c r="C45" s="162"/>
      <c r="D45" s="162"/>
      <c r="E45" s="162"/>
      <c r="F45" s="162"/>
      <c r="G45" s="100"/>
      <c r="H45" s="169">
        <f>(K16+800)*_xlfn.XLOOKUP(H8,Data!D:D,Data!E:E)+H44</f>
        <v>4324.24208</v>
      </c>
      <c r="I45" s="170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163" t="s">
        <v>19</v>
      </c>
      <c r="B46" s="164"/>
      <c r="C46" s="164"/>
      <c r="D46" s="164"/>
      <c r="E46" s="164"/>
      <c r="F46" s="164"/>
      <c r="G46" s="101"/>
      <c r="H46" s="171">
        <f>'CUVE 3 mesure'!E6</f>
        <v>249.15039565676261</v>
      </c>
      <c r="I46" s="172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105" t="s">
        <v>109</v>
      </c>
      <c r="W46" s="105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295"/>
      <c r="Z48" s="295"/>
      <c r="AA48" s="10"/>
    </row>
    <row r="49" spans="1:32" ht="14.25" customHeight="1">
      <c r="A49" s="187" t="str">
        <f>A43</f>
        <v>Produit  :</v>
      </c>
      <c r="B49" s="188"/>
      <c r="C49" s="188"/>
      <c r="D49" s="210" t="str">
        <f>D43</f>
        <v>K. Mangue - Passion</v>
      </c>
      <c r="E49" s="210"/>
      <c r="F49" s="210"/>
      <c r="G49" s="210"/>
      <c r="H49" s="210"/>
      <c r="I49" s="211"/>
      <c r="J49" s="54"/>
      <c r="K49" s="54"/>
      <c r="L49" s="10"/>
      <c r="M49" s="10"/>
      <c r="N49" s="10"/>
      <c r="O49" s="10"/>
      <c r="P49" s="10"/>
      <c r="Q49" s="10"/>
      <c r="R49" s="10"/>
      <c r="S49" s="166"/>
      <c r="T49" s="166"/>
      <c r="U49" s="166"/>
      <c r="V49" s="222"/>
      <c r="W49" s="222"/>
      <c r="X49" s="222"/>
      <c r="Y49" s="222"/>
      <c r="Z49" s="222"/>
      <c r="AA49" s="222"/>
      <c r="AC49" s="80"/>
    </row>
    <row r="50" spans="1:32" ht="14.25" customHeight="1">
      <c r="A50" s="165" t="s">
        <v>31</v>
      </c>
      <c r="B50" s="166"/>
      <c r="C50" s="166"/>
      <c r="D50" s="166"/>
      <c r="E50" s="102"/>
      <c r="F50" s="102"/>
      <c r="G50" s="102"/>
      <c r="H50" s="169">
        <f>K16+400+(H45-H44)</f>
        <v>7043.890080000001</v>
      </c>
      <c r="I50" s="170"/>
      <c r="J50" s="27"/>
      <c r="K50" s="27"/>
      <c r="L50" s="10"/>
      <c r="M50" s="196"/>
      <c r="N50" s="196"/>
      <c r="O50" s="196"/>
      <c r="P50" s="196"/>
      <c r="Q50" s="10"/>
      <c r="R50" s="10"/>
      <c r="S50" s="166"/>
      <c r="T50" s="166"/>
      <c r="U50" s="166"/>
      <c r="V50" s="169"/>
      <c r="W50" s="169"/>
      <c r="X50" s="169"/>
      <c r="Y50" s="169"/>
      <c r="Z50" s="169"/>
      <c r="AA50" s="169"/>
      <c r="AC50" s="78"/>
      <c r="AD50" s="78"/>
      <c r="AE50" s="26"/>
      <c r="AF50" s="26"/>
    </row>
    <row r="51" spans="1:32" ht="14.25" customHeight="1">
      <c r="A51" s="167" t="s">
        <v>19</v>
      </c>
      <c r="B51" s="168"/>
      <c r="C51" s="168"/>
      <c r="D51" s="168"/>
      <c r="E51" s="103"/>
      <c r="F51" s="103"/>
      <c r="G51" s="103"/>
      <c r="H51" s="171">
        <f>'CUVE 3 mesure'!E13</f>
        <v>243.95263437681319</v>
      </c>
      <c r="I51" s="172"/>
      <c r="J51" s="28"/>
      <c r="K51" s="28"/>
      <c r="L51" s="10"/>
      <c r="M51" s="10"/>
      <c r="N51" s="10"/>
      <c r="O51" s="10"/>
      <c r="P51" s="10"/>
      <c r="Q51" s="10"/>
      <c r="R51" s="10"/>
      <c r="S51" s="166"/>
      <c r="T51" s="166"/>
      <c r="U51" s="166"/>
      <c r="V51" s="173"/>
      <c r="W51" s="173"/>
      <c r="X51" s="173"/>
      <c r="Y51" s="173"/>
      <c r="Z51" s="173"/>
      <c r="AA51" s="173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84" t="s">
        <v>39</v>
      </c>
      <c r="P55" s="184"/>
      <c r="Q55" s="184"/>
      <c r="R55" s="184"/>
      <c r="S55" s="184"/>
      <c r="T55" s="184"/>
      <c r="U55" s="184"/>
      <c r="V55" s="184"/>
      <c r="W55" s="177">
        <f>A20</f>
        <v>45905</v>
      </c>
      <c r="X55" s="177"/>
      <c r="Y55" s="177"/>
      <c r="Z55" s="177"/>
      <c r="AA55" s="177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174" t="s">
        <v>41</v>
      </c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6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8"/>
    </row>
    <row r="60" spans="1:32" ht="18" customHeight="1">
      <c r="A60" s="4"/>
      <c r="B60" s="4"/>
      <c r="C60" s="4"/>
      <c r="D60" s="4"/>
      <c r="E60" s="4"/>
      <c r="F60" s="4"/>
      <c r="G60" s="4"/>
      <c r="H60" s="185" t="s">
        <v>106</v>
      </c>
      <c r="I60" s="186"/>
      <c r="J60" s="186"/>
      <c r="K60" s="205" t="str">
        <f>H8</f>
        <v>K. Mangue - Passion</v>
      </c>
      <c r="L60" s="205"/>
      <c r="M60" s="205"/>
      <c r="N60" s="205"/>
      <c r="O60" s="205"/>
      <c r="P60" s="205"/>
      <c r="Q60" s="205"/>
      <c r="R60" s="205"/>
      <c r="S60" s="205"/>
      <c r="T60" s="206"/>
      <c r="U60" s="108"/>
      <c r="V60" s="108"/>
      <c r="W60" s="108"/>
      <c r="X60" s="108"/>
      <c r="Y60" s="108"/>
      <c r="Z60" s="108"/>
      <c r="AA60" s="108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78" t="s">
        <v>85</v>
      </c>
      <c r="I62" s="178"/>
      <c r="J62" s="179"/>
      <c r="K62" s="133" t="s">
        <v>32</v>
      </c>
      <c r="L62" s="136"/>
      <c r="M62" s="136"/>
      <c r="N62" s="136"/>
      <c r="O62" s="133" t="s">
        <v>33</v>
      </c>
      <c r="P62" s="136"/>
      <c r="Q62" s="136"/>
      <c r="R62" s="136"/>
      <c r="S62" s="136"/>
      <c r="T62" s="134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30"/>
      <c r="I63" s="131"/>
      <c r="J63" s="132"/>
      <c r="K63" s="133" t="s">
        <v>90</v>
      </c>
      <c r="L63" s="134"/>
      <c r="M63" s="133" t="s">
        <v>102</v>
      </c>
      <c r="N63" s="135"/>
      <c r="O63" s="180" t="s">
        <v>91</v>
      </c>
      <c r="P63" s="181"/>
      <c r="Q63" s="182" t="s">
        <v>92</v>
      </c>
      <c r="R63" s="181"/>
      <c r="S63" s="203" t="s">
        <v>107</v>
      </c>
      <c r="T63" s="204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51" t="s">
        <v>20</v>
      </c>
      <c r="I64" s="152"/>
      <c r="J64" s="153"/>
      <c r="K64" s="154">
        <f>ROUNDDOWN(((K14*0.33/$K$16)*($H$50-400-$K$16)/0.33)+K14,0)</f>
        <v>8060</v>
      </c>
      <c r="L64" s="155"/>
      <c r="M64" s="154">
        <f>ROUNDDOWN(((M14*0.33/$K$16)*($H$50-400-$K$16)/0.33)+M14,0)</f>
        <v>0</v>
      </c>
      <c r="N64" s="156"/>
      <c r="O64" s="154">
        <f>ROUNDDOWN(((O14*0.75/$K$16)*($H$50-400-$K$16)/0.75)+O14,0)</f>
        <v>1407</v>
      </c>
      <c r="P64" s="155"/>
      <c r="Q64" s="154">
        <f t="shared" ref="Q64" si="0">ROUNDDOWN(((Q14*0.75/$K$16)*($H$50-400-$K$16)/0.75)+Q14,0)</f>
        <v>3903</v>
      </c>
      <c r="R64" s="155"/>
      <c r="S64" s="154">
        <f t="shared" ref="S64" si="1">ROUNDDOWN(((S14*0.75/$K$16)*($H$50-400-$K$16)/0.75)+S14,0)</f>
        <v>0</v>
      </c>
      <c r="T64" s="155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51" t="s">
        <v>22</v>
      </c>
      <c r="I65" s="152"/>
      <c r="J65" s="153"/>
      <c r="K65" s="157">
        <f>ROUNDDOWN(K64/12,0)</f>
        <v>671</v>
      </c>
      <c r="L65" s="158"/>
      <c r="M65" s="157">
        <f>ROUNDDOWN(M64/12,0)</f>
        <v>0</v>
      </c>
      <c r="N65" s="159"/>
      <c r="O65" s="160">
        <f>ROUNDDOWN(O64/6,0)</f>
        <v>234</v>
      </c>
      <c r="P65" s="158"/>
      <c r="Q65" s="160">
        <f>ROUNDDOWN(Q64/4,0)</f>
        <v>975</v>
      </c>
      <c r="R65" s="158"/>
      <c r="S65" s="160">
        <f t="shared" ref="S65" si="2">ROUNDDOWN(S64/6,0)</f>
        <v>0</v>
      </c>
      <c r="T65" s="158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174" t="s">
        <v>42</v>
      </c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6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126" t="str">
        <f>H60</f>
        <v>Produit  :</v>
      </c>
      <c r="I70" s="127"/>
      <c r="J70" s="127"/>
      <c r="K70" s="117" t="str">
        <f>K60</f>
        <v>K. Mangue - Passion</v>
      </c>
      <c r="L70" s="117"/>
      <c r="M70" s="117"/>
      <c r="N70" s="117"/>
      <c r="O70" s="117"/>
      <c r="P70" s="117"/>
      <c r="Q70" s="117"/>
      <c r="R70" s="117"/>
      <c r="S70" s="117"/>
      <c r="T70" s="118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28" t="s">
        <v>32</v>
      </c>
      <c r="L72" s="112"/>
      <c r="M72" s="112"/>
      <c r="N72" s="129"/>
      <c r="O72" s="111" t="s">
        <v>33</v>
      </c>
      <c r="P72" s="112"/>
      <c r="Q72" s="112"/>
      <c r="R72" s="112"/>
      <c r="S72" s="112"/>
      <c r="T72" s="113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30"/>
      <c r="I73" s="131"/>
      <c r="J73" s="132"/>
      <c r="K73" s="133" t="s">
        <v>90</v>
      </c>
      <c r="L73" s="134"/>
      <c r="M73" s="133" t="str">
        <f>M63</f>
        <v>NIKO</v>
      </c>
      <c r="N73" s="135"/>
      <c r="O73" s="136" t="s">
        <v>91</v>
      </c>
      <c r="P73" s="134"/>
      <c r="Q73" s="133" t="s">
        <v>92</v>
      </c>
      <c r="R73" s="134"/>
      <c r="S73" s="150" t="s">
        <v>107</v>
      </c>
      <c r="T73" s="134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124" t="s">
        <v>22</v>
      </c>
      <c r="I74" s="125"/>
      <c r="J74" s="137"/>
      <c r="K74" s="109" t="s">
        <v>37</v>
      </c>
      <c r="L74" s="138"/>
      <c r="M74" s="109" t="s">
        <v>37</v>
      </c>
      <c r="N74" s="139"/>
      <c r="O74" s="138" t="s">
        <v>37</v>
      </c>
      <c r="P74" s="138"/>
      <c r="Q74" s="109" t="s">
        <v>37</v>
      </c>
      <c r="R74" s="110"/>
      <c r="S74" s="109" t="s">
        <v>37</v>
      </c>
      <c r="T74" s="110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140" t="s">
        <v>44</v>
      </c>
      <c r="I75" s="141"/>
      <c r="J75" s="142"/>
      <c r="K75" s="109" t="s">
        <v>37</v>
      </c>
      <c r="L75" s="138"/>
      <c r="M75" s="109" t="s">
        <v>37</v>
      </c>
      <c r="N75" s="139"/>
      <c r="O75" s="138" t="s">
        <v>37</v>
      </c>
      <c r="P75" s="138"/>
      <c r="Q75" s="143" t="s">
        <v>37</v>
      </c>
      <c r="R75" s="144"/>
      <c r="S75" s="109" t="s">
        <v>37</v>
      </c>
      <c r="T75" s="110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145" t="s">
        <v>38</v>
      </c>
      <c r="I76" s="146"/>
      <c r="J76" s="146"/>
      <c r="K76" s="147">
        <f>D10</f>
        <v>46270</v>
      </c>
      <c r="L76" s="148"/>
      <c r="M76" s="148"/>
      <c r="N76" s="149"/>
      <c r="O76" s="114">
        <f>K76</f>
        <v>46270</v>
      </c>
      <c r="P76" s="115"/>
      <c r="Q76" s="115"/>
      <c r="R76" s="115"/>
      <c r="S76" s="115"/>
      <c r="T76" s="116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88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122" t="s">
        <v>87</v>
      </c>
      <c r="I78" s="122"/>
      <c r="J78" s="122"/>
      <c r="K78" s="119" t="s">
        <v>57</v>
      </c>
      <c r="L78" s="120"/>
      <c r="M78" s="119" t="s">
        <v>57</v>
      </c>
      <c r="N78" s="123"/>
      <c r="O78" s="121" t="s">
        <v>57</v>
      </c>
      <c r="P78" s="120"/>
      <c r="Q78" s="119" t="s">
        <v>57</v>
      </c>
      <c r="R78" s="120"/>
      <c r="S78" s="119" t="s">
        <v>57</v>
      </c>
      <c r="T78" s="120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122" t="s">
        <v>55</v>
      </c>
      <c r="I79" s="122"/>
      <c r="J79" s="122"/>
      <c r="K79" s="119" t="s">
        <v>57</v>
      </c>
      <c r="L79" s="120"/>
      <c r="M79" s="119" t="s">
        <v>57</v>
      </c>
      <c r="N79" s="123"/>
      <c r="O79" s="121" t="s">
        <v>57</v>
      </c>
      <c r="P79" s="120"/>
      <c r="Q79" s="119" t="s">
        <v>57</v>
      </c>
      <c r="R79" s="120"/>
      <c r="S79" s="119" t="s">
        <v>57</v>
      </c>
      <c r="T79" s="120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124" t="s">
        <v>56</v>
      </c>
      <c r="I80" s="125"/>
      <c r="J80" s="125"/>
      <c r="K80" s="119" t="s">
        <v>57</v>
      </c>
      <c r="L80" s="120"/>
      <c r="M80" s="119" t="s">
        <v>57</v>
      </c>
      <c r="N80" s="123"/>
      <c r="O80" s="121" t="s">
        <v>57</v>
      </c>
      <c r="P80" s="120"/>
      <c r="Q80" s="119" t="s">
        <v>57</v>
      </c>
      <c r="R80" s="120"/>
      <c r="S80" s="119" t="s">
        <v>57</v>
      </c>
      <c r="T80" s="120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Q15:R15"/>
    <mergeCell ref="S15:T15"/>
    <mergeCell ref="F19:G19"/>
    <mergeCell ref="H19:I19"/>
    <mergeCell ref="L19:M19"/>
    <mergeCell ref="H16:J16"/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1:AA21"/>
    <mergeCell ref="Y22:AA22"/>
    <mergeCell ref="W20:X20"/>
    <mergeCell ref="L22:M22"/>
    <mergeCell ref="W22:X22"/>
    <mergeCell ref="D19:E19"/>
    <mergeCell ref="A21:C21"/>
    <mergeCell ref="A22:C22"/>
    <mergeCell ref="H21:I21"/>
    <mergeCell ref="L21:M21"/>
    <mergeCell ref="N22:V22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D22:E22"/>
    <mergeCell ref="F22:G22"/>
    <mergeCell ref="H22:I22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A44:G44"/>
    <mergeCell ref="A45:F45"/>
    <mergeCell ref="A46:F46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  <ignoredError sqref="H51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E149"/>
  <sheetViews>
    <sheetView workbookViewId="0">
      <selection activeCell="D22" sqref="D22"/>
    </sheetView>
  </sheetViews>
  <sheetFormatPr baseColWidth="10" defaultRowHeight="15"/>
  <cols>
    <col min="4" max="4" width="33.83203125" bestFit="1" customWidth="1"/>
  </cols>
  <sheetData>
    <row r="1" spans="1:5">
      <c r="A1" s="94" t="s">
        <v>52</v>
      </c>
      <c r="B1" s="94" t="s">
        <v>108</v>
      </c>
      <c r="D1" s="94" t="s">
        <v>100</v>
      </c>
      <c r="E1" s="94">
        <f>'Fiche de production 7000 L'!G36</f>
        <v>7199.1200000000008</v>
      </c>
    </row>
    <row r="2" spans="1:5">
      <c r="A2">
        <v>50</v>
      </c>
      <c r="B2" s="77">
        <v>3.3</v>
      </c>
      <c r="D2" t="s">
        <v>95</v>
      </c>
      <c r="E2" s="77" cm="1">
        <f t="array" ref="E2">MAX(IF(A:A&lt;=E1,A:A))</f>
        <v>7150</v>
      </c>
    </row>
    <row r="3" spans="1:5">
      <c r="A3">
        <v>100</v>
      </c>
      <c r="B3" s="77">
        <v>7.5</v>
      </c>
      <c r="D3" t="s">
        <v>96</v>
      </c>
      <c r="E3" s="77" cm="1">
        <f t="array" ref="E3">MIN(IF(A:A&gt;=E1,A:A))</f>
        <v>7200</v>
      </c>
    </row>
    <row r="4" spans="1:5">
      <c r="A4">
        <v>150</v>
      </c>
      <c r="B4" s="77">
        <v>10.8</v>
      </c>
      <c r="D4" t="s">
        <v>97</v>
      </c>
      <c r="E4" s="77">
        <f>_xlfn.XLOOKUP(E2,A:A,B:B)</f>
        <v>247.5056480844446</v>
      </c>
    </row>
    <row r="5" spans="1:5">
      <c r="A5">
        <v>200</v>
      </c>
      <c r="B5" s="77">
        <v>13.6</v>
      </c>
      <c r="D5" t="s">
        <v>98</v>
      </c>
      <c r="E5" s="77">
        <f>_xlfn.XLOOKUP(E3,A:A,B:B)</f>
        <v>249.17986181848164</v>
      </c>
    </row>
    <row r="6" spans="1:5">
      <c r="A6">
        <v>250</v>
      </c>
      <c r="B6" s="77">
        <v>16</v>
      </c>
      <c r="D6" s="94" t="s">
        <v>99</v>
      </c>
      <c r="E6">
        <f>E4+(E1-E2)*(E5-E4)/(E3-E2)</f>
        <v>249.15039565676261</v>
      </c>
    </row>
    <row r="7" spans="1:5">
      <c r="A7">
        <v>300</v>
      </c>
      <c r="B7" s="77">
        <v>18.2</v>
      </c>
    </row>
    <row r="8" spans="1:5">
      <c r="A8">
        <v>350</v>
      </c>
      <c r="B8" s="77">
        <v>20.399999999999999</v>
      </c>
      <c r="D8" s="94" t="s">
        <v>101</v>
      </c>
      <c r="E8" s="94">
        <f>'Fiche de production 7000 L'!H50</f>
        <v>7043.890080000001</v>
      </c>
    </row>
    <row r="9" spans="1:5">
      <c r="A9">
        <v>400</v>
      </c>
      <c r="B9" s="77">
        <v>22.4</v>
      </c>
      <c r="D9" t="s">
        <v>95</v>
      </c>
      <c r="E9" s="77" cm="1">
        <f t="array" ref="E9">MAX(IF(A:A&lt;=E8,A:A))</f>
        <v>7000</v>
      </c>
    </row>
    <row r="10" spans="1:5">
      <c r="A10" s="77">
        <v>428.57142857142861</v>
      </c>
      <c r="B10" s="77">
        <v>24</v>
      </c>
      <c r="D10" t="s">
        <v>96</v>
      </c>
      <c r="E10" s="77" cm="1">
        <f t="array" ref="E10">MIN(IF(A:A&gt;=E8,A:A))</f>
        <v>7050</v>
      </c>
    </row>
    <row r="11" spans="1:5">
      <c r="A11">
        <v>450</v>
      </c>
      <c r="B11" s="77">
        <v>24.3</v>
      </c>
      <c r="D11" t="s">
        <v>97</v>
      </c>
      <c r="E11" s="77">
        <f>_xlfn.XLOOKUP(E9,A:A,B:B)</f>
        <v>242.48300688233348</v>
      </c>
    </row>
    <row r="12" spans="1:5">
      <c r="A12">
        <v>500</v>
      </c>
      <c r="B12" s="77">
        <v>26</v>
      </c>
      <c r="D12" t="s">
        <v>98</v>
      </c>
      <c r="E12" s="77">
        <f>_xlfn.XLOOKUP(E10,A:A,B:B)</f>
        <v>244.15722061637052</v>
      </c>
    </row>
    <row r="13" spans="1:5">
      <c r="A13">
        <v>550</v>
      </c>
      <c r="B13" s="77">
        <v>27.5</v>
      </c>
      <c r="D13" s="94" t="s">
        <v>99</v>
      </c>
      <c r="E13">
        <f>E11+(E8-E9)*(E12-E11)/(E10-E9)</f>
        <v>243.95263437681319</v>
      </c>
    </row>
    <row r="14" spans="1:5">
      <c r="A14">
        <v>600</v>
      </c>
      <c r="B14" s="77">
        <v>29.2</v>
      </c>
    </row>
    <row r="15" spans="1:5">
      <c r="A15">
        <v>650</v>
      </c>
      <c r="B15" s="77">
        <v>30.9</v>
      </c>
    </row>
    <row r="16" spans="1:5">
      <c r="A16">
        <v>700</v>
      </c>
      <c r="B16" s="77">
        <v>32.700000000000003</v>
      </c>
    </row>
    <row r="17" spans="1:2">
      <c r="A17">
        <v>750</v>
      </c>
      <c r="B17" s="77">
        <v>34.5</v>
      </c>
    </row>
    <row r="18" spans="1:2">
      <c r="A18">
        <v>800</v>
      </c>
      <c r="B18" s="77">
        <v>36</v>
      </c>
    </row>
    <row r="19" spans="1:2">
      <c r="A19">
        <v>850</v>
      </c>
      <c r="B19" s="77">
        <v>37.6</v>
      </c>
    </row>
    <row r="20" spans="1:2">
      <c r="A20">
        <v>900</v>
      </c>
      <c r="B20" s="77">
        <v>39.299999999999997</v>
      </c>
    </row>
    <row r="21" spans="1:2">
      <c r="A21">
        <v>950</v>
      </c>
      <c r="B21" s="77">
        <v>41</v>
      </c>
    </row>
    <row r="22" spans="1:2">
      <c r="A22">
        <v>1000</v>
      </c>
      <c r="B22" s="77">
        <v>42.5</v>
      </c>
    </row>
    <row r="23" spans="1:2">
      <c r="A23">
        <v>1050</v>
      </c>
      <c r="B23" s="77">
        <v>43.8</v>
      </c>
    </row>
    <row r="24" spans="1:2">
      <c r="A24">
        <v>1100</v>
      </c>
      <c r="B24" s="77">
        <v>45</v>
      </c>
    </row>
    <row r="25" spans="1:2">
      <c r="A25">
        <v>1150</v>
      </c>
      <c r="B25" s="77">
        <v>46.6</v>
      </c>
    </row>
    <row r="26" spans="1:2">
      <c r="A26">
        <v>1200</v>
      </c>
      <c r="B26" s="77">
        <v>48.274213734037033</v>
      </c>
    </row>
    <row r="27" spans="1:2">
      <c r="A27">
        <v>1250</v>
      </c>
      <c r="B27" s="77">
        <v>49.948427468074065</v>
      </c>
    </row>
    <row r="28" spans="1:2">
      <c r="A28">
        <v>1300</v>
      </c>
      <c r="B28" s="77">
        <v>51.622641202111097</v>
      </c>
    </row>
    <row r="29" spans="1:2">
      <c r="A29">
        <v>1350</v>
      </c>
      <c r="B29" s="77">
        <v>53.296854936148129</v>
      </c>
    </row>
    <row r="30" spans="1:2">
      <c r="A30">
        <v>1400</v>
      </c>
      <c r="B30" s="77">
        <v>54.971068670185161</v>
      </c>
    </row>
    <row r="31" spans="1:2">
      <c r="A31">
        <v>1450</v>
      </c>
      <c r="B31" s="77">
        <v>56.645282404222193</v>
      </c>
    </row>
    <row r="32" spans="1:2">
      <c r="A32">
        <v>1500</v>
      </c>
      <c r="B32" s="77">
        <v>58.319496138259225</v>
      </c>
    </row>
    <row r="33" spans="1:2">
      <c r="A33">
        <v>1550</v>
      </c>
      <c r="B33" s="77">
        <v>59.993709872296257</v>
      </c>
    </row>
    <row r="34" spans="1:2">
      <c r="A34">
        <v>1600</v>
      </c>
      <c r="B34" s="77">
        <v>61.667923606333289</v>
      </c>
    </row>
    <row r="35" spans="1:2">
      <c r="A35">
        <v>1650</v>
      </c>
      <c r="B35" s="77">
        <v>63.342137340370321</v>
      </c>
    </row>
    <row r="36" spans="1:2">
      <c r="A36">
        <v>1700</v>
      </c>
      <c r="B36" s="77">
        <v>65.016351074407353</v>
      </c>
    </row>
    <row r="37" spans="1:2">
      <c r="A37">
        <v>1750</v>
      </c>
      <c r="B37" s="77">
        <v>66.690564808444378</v>
      </c>
    </row>
    <row r="38" spans="1:2">
      <c r="A38">
        <v>1800</v>
      </c>
      <c r="B38" s="77">
        <v>68.364778542481417</v>
      </c>
    </row>
    <row r="39" spans="1:2">
      <c r="A39">
        <v>1850</v>
      </c>
      <c r="B39" s="77">
        <v>70.038992276518456</v>
      </c>
    </row>
    <row r="40" spans="1:2">
      <c r="A40">
        <v>1900</v>
      </c>
      <c r="B40" s="77">
        <v>71.713206010555496</v>
      </c>
    </row>
    <row r="41" spans="1:2">
      <c r="A41">
        <v>1950</v>
      </c>
      <c r="B41" s="77">
        <v>73.387419744592535</v>
      </c>
    </row>
    <row r="42" spans="1:2">
      <c r="A42">
        <v>2000</v>
      </c>
      <c r="B42" s="77">
        <v>75.061633478629574</v>
      </c>
    </row>
    <row r="43" spans="1:2">
      <c r="A43">
        <v>2050</v>
      </c>
      <c r="B43" s="77">
        <v>76.735847212666613</v>
      </c>
    </row>
    <row r="44" spans="1:2">
      <c r="A44">
        <v>2100</v>
      </c>
      <c r="B44" s="77">
        <v>78.410060946703652</v>
      </c>
    </row>
    <row r="45" spans="1:2">
      <c r="A45">
        <v>2150</v>
      </c>
      <c r="B45" s="77">
        <v>80.084274680740691</v>
      </c>
    </row>
    <row r="46" spans="1:2">
      <c r="A46">
        <v>2200</v>
      </c>
      <c r="B46" s="77">
        <v>81.75848841477773</v>
      </c>
    </row>
    <row r="47" spans="1:2">
      <c r="A47">
        <v>2250</v>
      </c>
      <c r="B47" s="77">
        <v>83.432702148814769</v>
      </c>
    </row>
    <row r="48" spans="1:2">
      <c r="A48">
        <v>2300</v>
      </c>
      <c r="B48" s="77">
        <v>85.106915882851808</v>
      </c>
    </row>
    <row r="49" spans="1:2">
      <c r="A49">
        <v>2350</v>
      </c>
      <c r="B49" s="77">
        <v>86.781129616888848</v>
      </c>
    </row>
    <row r="50" spans="1:2">
      <c r="A50">
        <v>2400</v>
      </c>
      <c r="B50" s="77">
        <v>88.455343350925887</v>
      </c>
    </row>
    <row r="51" spans="1:2">
      <c r="A51">
        <v>2450</v>
      </c>
      <c r="B51" s="77">
        <v>90.129557084962926</v>
      </c>
    </row>
    <row r="52" spans="1:2">
      <c r="A52">
        <v>2500</v>
      </c>
      <c r="B52" s="77">
        <v>91.803770818999965</v>
      </c>
    </row>
    <row r="53" spans="1:2">
      <c r="A53">
        <v>2550</v>
      </c>
      <c r="B53" s="77">
        <v>93.477984553037004</v>
      </c>
    </row>
    <row r="54" spans="1:2">
      <c r="A54">
        <v>2600</v>
      </c>
      <c r="B54" s="77">
        <v>95.152198287074043</v>
      </c>
    </row>
    <row r="55" spans="1:2">
      <c r="A55">
        <v>2650</v>
      </c>
      <c r="B55" s="77">
        <v>96.826412021111082</v>
      </c>
    </row>
    <row r="56" spans="1:2">
      <c r="A56">
        <v>2700</v>
      </c>
      <c r="B56" s="77">
        <v>98.500625755148121</v>
      </c>
    </row>
    <row r="57" spans="1:2">
      <c r="A57">
        <v>2750</v>
      </c>
      <c r="B57" s="77">
        <v>100.17483948918516</v>
      </c>
    </row>
    <row r="58" spans="1:2">
      <c r="A58">
        <v>2800</v>
      </c>
      <c r="B58" s="77">
        <v>101.8490532232222</v>
      </c>
    </row>
    <row r="59" spans="1:2">
      <c r="A59">
        <v>2850</v>
      </c>
      <c r="B59" s="77">
        <v>103.52326695725924</v>
      </c>
    </row>
    <row r="60" spans="1:2">
      <c r="A60">
        <v>2900</v>
      </c>
      <c r="B60" s="77">
        <v>105.19748069129628</v>
      </c>
    </row>
    <row r="61" spans="1:2">
      <c r="A61">
        <v>2950</v>
      </c>
      <c r="B61" s="77">
        <v>106.87169442533332</v>
      </c>
    </row>
    <row r="62" spans="1:2">
      <c r="A62">
        <v>3000</v>
      </c>
      <c r="B62" s="77">
        <v>108.54590815937036</v>
      </c>
    </row>
    <row r="63" spans="1:2">
      <c r="A63">
        <v>3050</v>
      </c>
      <c r="B63" s="77">
        <v>110.22012189340739</v>
      </c>
    </row>
    <row r="64" spans="1:2">
      <c r="A64">
        <v>3100</v>
      </c>
      <c r="B64" s="77">
        <v>111.89433562744443</v>
      </c>
    </row>
    <row r="65" spans="1:2">
      <c r="A65">
        <v>3150</v>
      </c>
      <c r="B65" s="77">
        <v>113.56854936148147</v>
      </c>
    </row>
    <row r="66" spans="1:2">
      <c r="A66">
        <v>3200</v>
      </c>
      <c r="B66" s="77">
        <v>115.24276309551851</v>
      </c>
    </row>
    <row r="67" spans="1:2">
      <c r="A67">
        <v>3250</v>
      </c>
      <c r="B67" s="77">
        <v>116.91697682955555</v>
      </c>
    </row>
    <row r="68" spans="1:2">
      <c r="A68">
        <v>3300</v>
      </c>
      <c r="B68" s="77">
        <v>118.59119056359259</v>
      </c>
    </row>
    <row r="69" spans="1:2">
      <c r="A69">
        <v>3350</v>
      </c>
      <c r="B69" s="77">
        <v>120.26540429762963</v>
      </c>
    </row>
    <row r="70" spans="1:2">
      <c r="A70">
        <v>3400</v>
      </c>
      <c r="B70" s="77">
        <v>121.93961803166667</v>
      </c>
    </row>
    <row r="71" spans="1:2">
      <c r="A71">
        <v>3450</v>
      </c>
      <c r="B71" s="77">
        <v>123.61383176570371</v>
      </c>
    </row>
    <row r="72" spans="1:2">
      <c r="A72">
        <v>3500</v>
      </c>
      <c r="B72" s="77">
        <v>125.28804549974075</v>
      </c>
    </row>
    <row r="73" spans="1:2">
      <c r="A73">
        <v>3550</v>
      </c>
      <c r="B73" s="77">
        <v>126.96225923377779</v>
      </c>
    </row>
    <row r="74" spans="1:2">
      <c r="A74">
        <v>3600</v>
      </c>
      <c r="B74" s="77">
        <v>128.63647296781483</v>
      </c>
    </row>
    <row r="75" spans="1:2">
      <c r="A75">
        <v>3650</v>
      </c>
      <c r="B75" s="77">
        <v>130.31068670185186</v>
      </c>
    </row>
    <row r="76" spans="1:2">
      <c r="A76">
        <v>3700</v>
      </c>
      <c r="B76" s="77">
        <v>131.9849004358889</v>
      </c>
    </row>
    <row r="77" spans="1:2">
      <c r="A77">
        <v>3750</v>
      </c>
      <c r="B77" s="77">
        <v>133.65911416992594</v>
      </c>
    </row>
    <row r="78" spans="1:2">
      <c r="A78">
        <v>3800</v>
      </c>
      <c r="B78" s="77">
        <v>135.33332790396298</v>
      </c>
    </row>
    <row r="79" spans="1:2">
      <c r="A79">
        <v>3850</v>
      </c>
      <c r="B79" s="77">
        <v>137.00754163800002</v>
      </c>
    </row>
    <row r="80" spans="1:2">
      <c r="A80">
        <v>3900</v>
      </c>
      <c r="B80" s="77">
        <v>138.68175537203706</v>
      </c>
    </row>
    <row r="81" spans="1:2">
      <c r="A81">
        <v>3950</v>
      </c>
      <c r="B81" s="77">
        <v>140.3559691060741</v>
      </c>
    </row>
    <row r="82" spans="1:2">
      <c r="A82">
        <v>4000</v>
      </c>
      <c r="B82" s="77">
        <v>142.03018284011114</v>
      </c>
    </row>
    <row r="83" spans="1:2">
      <c r="A83">
        <v>4050</v>
      </c>
      <c r="B83" s="77">
        <v>143.70439657414818</v>
      </c>
    </row>
    <row r="84" spans="1:2">
      <c r="A84">
        <v>4100</v>
      </c>
      <c r="B84" s="77">
        <v>145.37861030818522</v>
      </c>
    </row>
    <row r="85" spans="1:2">
      <c r="A85">
        <v>4150</v>
      </c>
      <c r="B85" s="77">
        <v>147.05282404222226</v>
      </c>
    </row>
    <row r="86" spans="1:2">
      <c r="A86">
        <v>4200</v>
      </c>
      <c r="B86" s="77">
        <v>148.72703777625929</v>
      </c>
    </row>
    <row r="87" spans="1:2">
      <c r="A87">
        <v>4250</v>
      </c>
      <c r="B87" s="77">
        <v>150.40125151029633</v>
      </c>
    </row>
    <row r="88" spans="1:2">
      <c r="A88">
        <v>4300</v>
      </c>
      <c r="B88" s="77">
        <v>152.07546524433337</v>
      </c>
    </row>
    <row r="89" spans="1:2">
      <c r="A89">
        <v>4350</v>
      </c>
      <c r="B89" s="77">
        <v>153.74967897837041</v>
      </c>
    </row>
    <row r="90" spans="1:2">
      <c r="A90">
        <v>4400</v>
      </c>
      <c r="B90" s="77">
        <v>155.42389271240745</v>
      </c>
    </row>
    <row r="91" spans="1:2">
      <c r="A91">
        <v>4450</v>
      </c>
      <c r="B91" s="77">
        <v>157.09810644644449</v>
      </c>
    </row>
    <row r="92" spans="1:2">
      <c r="A92">
        <v>4500</v>
      </c>
      <c r="B92" s="77">
        <v>158.77232018048153</v>
      </c>
    </row>
    <row r="93" spans="1:2">
      <c r="A93">
        <v>4550</v>
      </c>
      <c r="B93" s="77">
        <v>160.44653391451857</v>
      </c>
    </row>
    <row r="94" spans="1:2">
      <c r="A94">
        <v>4600</v>
      </c>
      <c r="B94" s="77">
        <v>162.12074764855561</v>
      </c>
    </row>
    <row r="95" spans="1:2">
      <c r="A95">
        <v>4650</v>
      </c>
      <c r="B95" s="77">
        <v>163.79496138259265</v>
      </c>
    </row>
    <row r="96" spans="1:2">
      <c r="A96">
        <v>4700</v>
      </c>
      <c r="B96" s="77">
        <v>165.46917511662969</v>
      </c>
    </row>
    <row r="97" spans="1:2">
      <c r="A97">
        <v>4750</v>
      </c>
      <c r="B97" s="77">
        <v>167.14338885066672</v>
      </c>
    </row>
    <row r="98" spans="1:2">
      <c r="A98">
        <v>4800</v>
      </c>
      <c r="B98" s="77">
        <v>168.81760258470376</v>
      </c>
    </row>
    <row r="99" spans="1:2">
      <c r="A99">
        <v>4850</v>
      </c>
      <c r="B99" s="77">
        <v>170.4918163187408</v>
      </c>
    </row>
    <row r="100" spans="1:2">
      <c r="A100">
        <v>4900</v>
      </c>
      <c r="B100" s="77">
        <v>172.16603005277784</v>
      </c>
    </row>
    <row r="101" spans="1:2">
      <c r="A101">
        <v>4950</v>
      </c>
      <c r="B101" s="77">
        <v>173.84024378681488</v>
      </c>
    </row>
    <row r="102" spans="1:2">
      <c r="A102">
        <v>5000</v>
      </c>
      <c r="B102" s="77">
        <v>175.51445752085192</v>
      </c>
    </row>
    <row r="103" spans="1:2">
      <c r="A103">
        <v>5050</v>
      </c>
      <c r="B103" s="77">
        <v>177.18867125488896</v>
      </c>
    </row>
    <row r="104" spans="1:2">
      <c r="A104">
        <v>5100</v>
      </c>
      <c r="B104" s="77">
        <v>178.862884988926</v>
      </c>
    </row>
    <row r="105" spans="1:2">
      <c r="A105">
        <v>5150</v>
      </c>
      <c r="B105" s="77">
        <v>180.53709872296304</v>
      </c>
    </row>
    <row r="106" spans="1:2">
      <c r="A106">
        <v>5200</v>
      </c>
      <c r="B106" s="77">
        <v>182.21131245700008</v>
      </c>
    </row>
    <row r="107" spans="1:2">
      <c r="A107">
        <v>5250</v>
      </c>
      <c r="B107" s="77">
        <v>183.88552619103712</v>
      </c>
    </row>
    <row r="108" spans="1:2">
      <c r="A108">
        <v>5300</v>
      </c>
      <c r="B108" s="77">
        <v>185.55973992507415</v>
      </c>
    </row>
    <row r="109" spans="1:2">
      <c r="A109">
        <v>5350</v>
      </c>
      <c r="B109" s="77">
        <v>187.23395365911119</v>
      </c>
    </row>
    <row r="110" spans="1:2">
      <c r="A110">
        <v>5400</v>
      </c>
      <c r="B110" s="77">
        <v>188.90816739314823</v>
      </c>
    </row>
    <row r="111" spans="1:2">
      <c r="A111">
        <v>5450</v>
      </c>
      <c r="B111" s="77">
        <v>190.58238112718527</v>
      </c>
    </row>
    <row r="112" spans="1:2">
      <c r="A112">
        <v>5500</v>
      </c>
      <c r="B112" s="77">
        <v>192.25659486122231</v>
      </c>
    </row>
    <row r="113" spans="1:2">
      <c r="A113">
        <v>5550</v>
      </c>
      <c r="B113" s="77">
        <v>193.93080859525935</v>
      </c>
    </row>
    <row r="114" spans="1:2">
      <c r="A114">
        <v>5600</v>
      </c>
      <c r="B114" s="77">
        <v>195.60502232929639</v>
      </c>
    </row>
    <row r="115" spans="1:2">
      <c r="A115">
        <v>5650</v>
      </c>
      <c r="B115" s="77">
        <v>197.27923606333343</v>
      </c>
    </row>
    <row r="116" spans="1:2">
      <c r="A116">
        <v>5700</v>
      </c>
      <c r="B116" s="77">
        <v>198.95344979737047</v>
      </c>
    </row>
    <row r="117" spans="1:2">
      <c r="A117">
        <v>5750</v>
      </c>
      <c r="B117" s="77">
        <v>200.62766353140751</v>
      </c>
    </row>
    <row r="118" spans="1:2">
      <c r="A118">
        <v>5800</v>
      </c>
      <c r="B118" s="77">
        <v>202.30187726544455</v>
      </c>
    </row>
    <row r="119" spans="1:2">
      <c r="A119">
        <v>5850</v>
      </c>
      <c r="B119" s="77">
        <v>203.97609099948158</v>
      </c>
    </row>
    <row r="120" spans="1:2">
      <c r="A120">
        <v>5900</v>
      </c>
      <c r="B120" s="77">
        <v>205.65030473351862</v>
      </c>
    </row>
    <row r="121" spans="1:2">
      <c r="A121">
        <v>5950</v>
      </c>
      <c r="B121" s="77">
        <v>207.32451846755566</v>
      </c>
    </row>
    <row r="122" spans="1:2">
      <c r="A122">
        <v>6000</v>
      </c>
      <c r="B122" s="77">
        <v>208.9987322015927</v>
      </c>
    </row>
    <row r="123" spans="1:2">
      <c r="A123">
        <v>6050</v>
      </c>
      <c r="B123" s="77">
        <v>210.67294593562974</v>
      </c>
    </row>
    <row r="124" spans="1:2">
      <c r="A124">
        <v>6100</v>
      </c>
      <c r="B124" s="77">
        <v>212.34715966966678</v>
      </c>
    </row>
    <row r="125" spans="1:2">
      <c r="A125">
        <v>6150</v>
      </c>
      <c r="B125" s="77">
        <v>214.02137340370382</v>
      </c>
    </row>
    <row r="126" spans="1:2">
      <c r="A126">
        <v>6200</v>
      </c>
      <c r="B126" s="77">
        <v>215.69558713774086</v>
      </c>
    </row>
    <row r="127" spans="1:2">
      <c r="A127">
        <v>6250</v>
      </c>
      <c r="B127" s="77">
        <v>217.3698008717779</v>
      </c>
    </row>
    <row r="128" spans="1:2">
      <c r="A128">
        <v>6300</v>
      </c>
      <c r="B128" s="77">
        <v>219.04401460581494</v>
      </c>
    </row>
    <row r="129" spans="1:2">
      <c r="A129">
        <v>6350</v>
      </c>
      <c r="B129" s="77">
        <v>220.71822833985198</v>
      </c>
    </row>
    <row r="130" spans="1:2">
      <c r="A130">
        <v>6400</v>
      </c>
      <c r="B130" s="77">
        <v>222.39244207388901</v>
      </c>
    </row>
    <row r="131" spans="1:2">
      <c r="A131">
        <v>6450</v>
      </c>
      <c r="B131" s="77">
        <v>224.06665580792605</v>
      </c>
    </row>
    <row r="132" spans="1:2">
      <c r="A132">
        <v>6500</v>
      </c>
      <c r="B132" s="77">
        <v>225.74086954196309</v>
      </c>
    </row>
    <row r="133" spans="1:2">
      <c r="A133">
        <v>6550</v>
      </c>
      <c r="B133" s="77">
        <v>227.41508327600013</v>
      </c>
    </row>
    <row r="134" spans="1:2">
      <c r="A134" s="77">
        <v>6566.8467477486947</v>
      </c>
      <c r="B134" s="77">
        <v>228</v>
      </c>
    </row>
    <row r="135" spans="1:2">
      <c r="A135">
        <v>6600</v>
      </c>
      <c r="B135" s="77">
        <v>229.08929701003717</v>
      </c>
    </row>
    <row r="136" spans="1:2">
      <c r="A136">
        <v>6650</v>
      </c>
      <c r="B136" s="77">
        <v>230.76351074407421</v>
      </c>
    </row>
    <row r="137" spans="1:2">
      <c r="A137">
        <v>6700</v>
      </c>
      <c r="B137" s="77">
        <v>232.43772447811125</v>
      </c>
    </row>
    <row r="138" spans="1:2">
      <c r="A138">
        <v>6750</v>
      </c>
      <c r="B138" s="77">
        <v>234.11193821214829</v>
      </c>
    </row>
    <row r="139" spans="1:2">
      <c r="A139">
        <v>6800</v>
      </c>
      <c r="B139" s="77">
        <v>235.78615194618533</v>
      </c>
    </row>
    <row r="140" spans="1:2">
      <c r="A140">
        <v>6850</v>
      </c>
      <c r="B140" s="77">
        <v>237.46036568022237</v>
      </c>
    </row>
    <row r="141" spans="1:2">
      <c r="A141">
        <v>6900</v>
      </c>
      <c r="B141" s="77">
        <v>239.13457941425941</v>
      </c>
    </row>
    <row r="142" spans="1:2">
      <c r="A142">
        <v>6950</v>
      </c>
      <c r="B142" s="77">
        <v>240.80879314829644</v>
      </c>
    </row>
    <row r="143" spans="1:2">
      <c r="A143">
        <v>7000</v>
      </c>
      <c r="B143" s="77">
        <v>242.48300688233348</v>
      </c>
    </row>
    <row r="144" spans="1:2">
      <c r="A144">
        <v>7050</v>
      </c>
      <c r="B144" s="77">
        <v>244.15722061637052</v>
      </c>
    </row>
    <row r="145" spans="1:2">
      <c r="A145">
        <v>7100</v>
      </c>
      <c r="B145" s="77">
        <v>245.83143435040756</v>
      </c>
    </row>
    <row r="146" spans="1:2">
      <c r="A146">
        <v>7150</v>
      </c>
      <c r="B146" s="77">
        <v>247.5056480844446</v>
      </c>
    </row>
    <row r="147" spans="1:2">
      <c r="A147">
        <v>7200</v>
      </c>
      <c r="B147" s="77">
        <v>249.17986181848164</v>
      </c>
    </row>
    <row r="148" spans="1:2">
      <c r="A148">
        <v>7250</v>
      </c>
      <c r="B148" s="77">
        <v>250.85407555251868</v>
      </c>
    </row>
    <row r="149" spans="1:2">
      <c r="B149" s="7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7199.1200000000008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287.96480000000003</v>
      </c>
      <c r="I4" s="56">
        <f>H4/F9*100</f>
        <v>35.273593630378194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18.355199999999968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5.9921650561504204E-2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84</v>
      </c>
    </row>
    <row r="14" spans="2:9">
      <c r="B14" s="67">
        <f>'Fiche de production 7000 L'!G36</f>
        <v>7199.1200000000008</v>
      </c>
      <c r="C14" s="66" t="s">
        <v>82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79.19032</v>
      </c>
      <c r="F15" s="57"/>
    </row>
    <row r="16" spans="2:9">
      <c r="B16" s="64" t="s">
        <v>64</v>
      </c>
      <c r="C16" s="55">
        <v>8.0000000000000002E-3</v>
      </c>
      <c r="D16" s="63">
        <f>C16*$B$14</f>
        <v>57.592960000000005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28.796480000000003</v>
      </c>
      <c r="F17" s="57"/>
      <c r="I17" s="58"/>
    </row>
    <row r="18" spans="2:9" ht="16" thickBot="1">
      <c r="B18" s="62" t="s">
        <v>81</v>
      </c>
      <c r="C18" s="61">
        <v>8.0000000000000002E-3</v>
      </c>
      <c r="D18" s="60">
        <f>C18*$B$14</f>
        <v>57.592960000000005</v>
      </c>
      <c r="F18" s="57"/>
    </row>
    <row r="19" spans="2:9">
      <c r="F19" s="57"/>
    </row>
    <row r="22" spans="2:9" ht="16" thickBot="1">
      <c r="B22" s="55" t="s">
        <v>83</v>
      </c>
    </row>
    <row r="23" spans="2:9">
      <c r="B23" s="67">
        <f>'Fiche de production 7000 L'!G36</f>
        <v>7199.1200000000008</v>
      </c>
      <c r="C23" s="66" t="s">
        <v>82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251.96920000000006</v>
      </c>
    </row>
    <row r="25" spans="2:9">
      <c r="B25" s="64" t="s">
        <v>64</v>
      </c>
      <c r="C25" s="55">
        <v>1.6E-2</v>
      </c>
      <c r="D25" s="63">
        <f>C25*$B$14</f>
        <v>115.18592000000001</v>
      </c>
    </row>
    <row r="26" spans="2:9">
      <c r="B26" s="64" t="s">
        <v>65</v>
      </c>
      <c r="C26" s="55">
        <v>4.0000000000000001E-3</v>
      </c>
      <c r="D26" s="63">
        <f>C26*$B$14</f>
        <v>28.796480000000003</v>
      </c>
    </row>
    <row r="27" spans="2:9" ht="16" thickBot="1">
      <c r="B27" s="62" t="s">
        <v>81</v>
      </c>
      <c r="C27" s="61">
        <v>6.0000000000000001E-3</v>
      </c>
      <c r="D27" s="60">
        <f>C27*$B$14</f>
        <v>43.194720000000004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2025-10-14T10:01:12Z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