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loe/Desktop/"/>
    </mc:Choice>
  </mc:AlternateContent>
  <xr:revisionPtr revIDLastSave="0" documentId="13_ncr:1_{3846FBEB-E8BE-674F-B612-A1DD1035554E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Data" sheetId="1" r:id="rId1"/>
    <sheet name="Fiche de production 7000 L" sheetId="2" r:id="rId2"/>
    <sheet name="CUVE 1 et 2 Mesure" sheetId="8" r:id="rId3"/>
    <sheet name="CUVE 3 mesure" sheetId="9" r:id="rId4"/>
    <sheet name="Recette" sheetId="7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V73" i="2" l="1"/>
  <c r="V63" i="2"/>
  <c r="F73" i="2"/>
  <c r="F63" i="2"/>
  <c r="D60" i="2"/>
  <c r="T60" i="2"/>
  <c r="C37" i="8"/>
  <c r="D35" i="8"/>
  <c r="C35" i="8"/>
  <c r="D31" i="8"/>
  <c r="C31" i="8"/>
  <c r="D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B14" i="8"/>
  <c r="B15" i="8" s="1"/>
  <c r="B16" i="8" s="1"/>
  <c r="D13" i="8"/>
  <c r="C13" i="8"/>
  <c r="D12" i="8"/>
  <c r="D32" i="8" s="1"/>
  <c r="C12" i="8"/>
  <c r="C32" i="8" s="1"/>
  <c r="D11" i="8"/>
  <c r="D33" i="8" s="1"/>
  <c r="C11" i="8"/>
  <c r="C33" i="8" s="1"/>
  <c r="D10" i="8"/>
  <c r="D34" i="8" s="1"/>
  <c r="C10" i="8"/>
  <c r="C34" i="8" s="1"/>
  <c r="D9" i="8"/>
  <c r="C9" i="8"/>
  <c r="D8" i="8"/>
  <c r="D36" i="8" s="1"/>
  <c r="C8" i="8"/>
  <c r="C36" i="8" s="1"/>
  <c r="D7" i="8"/>
  <c r="D37" i="8" s="1"/>
  <c r="D6" i="8"/>
  <c r="D38" i="8" s="1"/>
  <c r="C6" i="8"/>
  <c r="C38" i="8" s="1"/>
  <c r="D5" i="8"/>
  <c r="D39" i="8" s="1"/>
  <c r="C5" i="8"/>
  <c r="C39" i="8" s="1"/>
  <c r="D4" i="8"/>
  <c r="D40" i="8" s="1"/>
  <c r="C4" i="8"/>
  <c r="C40" i="8" s="1"/>
  <c r="D3" i="8"/>
  <c r="D41" i="8" s="1"/>
  <c r="C3" i="8"/>
  <c r="C41" i="8" s="1"/>
  <c r="B17" i="8" l="1"/>
  <c r="D16" i="8"/>
  <c r="B18" i="8" l="1"/>
  <c r="D17" i="8"/>
  <c r="B19" i="8" l="1"/>
  <c r="D18" i="8"/>
  <c r="B20" i="8" l="1"/>
  <c r="D19" i="8"/>
  <c r="B21" i="8" l="1"/>
  <c r="D20" i="8"/>
  <c r="B22" i="8" l="1"/>
  <c r="D21" i="8"/>
  <c r="B23" i="8" l="1"/>
  <c r="D22" i="8"/>
  <c r="B24" i="8" l="1"/>
  <c r="D23" i="8"/>
  <c r="B25" i="8" l="1"/>
  <c r="D24" i="8"/>
  <c r="B26" i="8" l="1"/>
  <c r="D25" i="8"/>
  <c r="D26" i="8" l="1"/>
  <c r="B27" i="8"/>
  <c r="B28" i="8" l="1"/>
  <c r="D27" i="8"/>
  <c r="B29" i="8" l="1"/>
  <c r="D28" i="8"/>
  <c r="B30" i="8" l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D29" i="8"/>
  <c r="V14" i="2" l="1"/>
  <c r="Z14" i="2" l="1"/>
  <c r="X14" i="2"/>
  <c r="T14" i="2"/>
  <c r="H14" i="2"/>
  <c r="D14" i="2"/>
  <c r="F14" i="2"/>
  <c r="J14" i="2"/>
  <c r="D16" i="2" l="1"/>
  <c r="T16" i="2"/>
  <c r="T70" i="2"/>
  <c r="Q70" i="2"/>
  <c r="D70" i="2"/>
  <c r="A70" i="2"/>
  <c r="G29" i="2" l="1"/>
  <c r="E1" i="9" a="1"/>
  <c r="E1" i="9" s="1"/>
  <c r="E3" i="9" l="1" a="1"/>
  <c r="E3" i="9" s="1"/>
  <c r="E5" i="9" s="1"/>
  <c r="E2" i="9" a="1"/>
  <c r="E2" i="9" s="1"/>
  <c r="E4" i="9" s="1"/>
  <c r="G4" i="7"/>
  <c r="B23" i="7"/>
  <c r="B14" i="7"/>
  <c r="D15" i="7" s="1"/>
  <c r="B3" i="7"/>
  <c r="C4" i="7"/>
  <c r="D4" i="7" s="1"/>
  <c r="C5" i="7"/>
  <c r="D5" i="7" s="1"/>
  <c r="C6" i="7"/>
  <c r="D6" i="7" s="1"/>
  <c r="H36" i="2"/>
  <c r="D42" i="2" s="1"/>
  <c r="E6" i="9" l="1"/>
  <c r="F6" i="7"/>
  <c r="F4" i="7"/>
  <c r="C7" i="7"/>
  <c r="J1" i="8"/>
  <c r="D43" i="2"/>
  <c r="D50" i="2" s="1"/>
  <c r="H37" i="2" s="1"/>
  <c r="D18" i="7"/>
  <c r="D26" i="7"/>
  <c r="D24" i="7"/>
  <c r="Y29" i="2" s="1"/>
  <c r="D25" i="7"/>
  <c r="Y30" i="2" s="1"/>
  <c r="D17" i="7"/>
  <c r="D16" i="7"/>
  <c r="D27" i="7"/>
  <c r="H4" i="7"/>
  <c r="D7" i="7"/>
  <c r="F5" i="7"/>
  <c r="F7" i="7" s="1"/>
  <c r="F8" i="7" s="1"/>
  <c r="O10" i="2"/>
  <c r="G9" i="8" l="1"/>
  <c r="G1" i="8"/>
  <c r="J3" i="8" a="1"/>
  <c r="J3" i="8" s="1"/>
  <c r="J5" i="8" s="1"/>
  <c r="J2" i="8" a="1"/>
  <c r="J2" i="8" s="1"/>
  <c r="J4" i="8" s="1"/>
  <c r="Y32" i="2"/>
  <c r="Y31" i="2"/>
  <c r="I6" i="7"/>
  <c r="I7" i="7" s="1"/>
  <c r="F9" i="7"/>
  <c r="I4" i="7" s="1"/>
  <c r="F10" i="7"/>
  <c r="D64" i="2" l="1"/>
  <c r="D65" i="2" s="1"/>
  <c r="F64" i="2"/>
  <c r="F65" i="2" s="1"/>
  <c r="J64" i="2"/>
  <c r="J65" i="2" s="1"/>
  <c r="H64" i="2"/>
  <c r="H65" i="2" s="1"/>
  <c r="J6" i="8"/>
  <c r="V44" i="2" s="1"/>
  <c r="Z64" i="2"/>
  <c r="Z65" i="2" s="1"/>
  <c r="J9" i="8"/>
  <c r="G2" i="8" a="1"/>
  <c r="G2" i="8" s="1"/>
  <c r="G4" i="8" s="1"/>
  <c r="G3" i="8" a="1"/>
  <c r="G3" i="8" s="1"/>
  <c r="G5" i="8" s="1"/>
  <c r="G11" i="8" a="1"/>
  <c r="G11" i="8" s="1"/>
  <c r="G13" i="8" s="1"/>
  <c r="G10" i="8" a="1"/>
  <c r="G10" i="8" s="1"/>
  <c r="G12" i="8" s="1"/>
  <c r="T64" i="2"/>
  <c r="T65" i="2" s="1"/>
  <c r="X64" i="2"/>
  <c r="X65" i="2" s="1"/>
  <c r="V64" i="2"/>
  <c r="V65" i="2" s="1"/>
  <c r="G14" i="8" l="1"/>
  <c r="D51" i="2" s="1"/>
  <c r="G6" i="8"/>
  <c r="D44" i="2" s="1"/>
  <c r="J11" i="8" a="1"/>
  <c r="J11" i="8" s="1"/>
  <c r="J13" i="8" s="1"/>
  <c r="J10" i="8" a="1"/>
  <c r="J10" i="8" s="1"/>
  <c r="J12" i="8" s="1"/>
  <c r="D10" i="2"/>
  <c r="M12" i="2" s="1"/>
  <c r="E5" i="1"/>
  <c r="W55" i="2"/>
  <c r="D41" i="2"/>
  <c r="D49" i="2" s="1"/>
  <c r="A41" i="2"/>
  <c r="A49" i="2" s="1"/>
  <c r="S41" i="2"/>
  <c r="S49" i="2" s="1"/>
  <c r="V41" i="2"/>
  <c r="V49" i="2" s="1"/>
  <c r="J14" i="8" l="1"/>
  <c r="V51" i="2" s="1"/>
  <c r="X76" i="2"/>
  <c r="T76" i="2"/>
  <c r="D76" i="2"/>
  <c r="H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<sst xmlns="http://schemas.openxmlformats.org/spreadsheetml/2006/main" count="258" uniqueCount="122">
  <si>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</si>
  <si>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</si>
  <si>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</si>
  <si>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</si>
  <si>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</si>
  <si>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</si>
  <si>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</si>
  <si>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</si>
  <si>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</si>
  <si>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</si>
  <si>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</si>
  <si>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</si>
  <si>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</si>
  <si>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</si>
  <si>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Produits préparés</t>
  </si>
  <si>
    <t>Fermentation</t>
  </si>
  <si>
    <t>Brix</t>
  </si>
  <si>
    <t>°C</t>
  </si>
  <si>
    <t>Observation</t>
  </si>
  <si>
    <t>Produit 1 :</t>
  </si>
  <si>
    <t>Produit 2 :</t>
  </si>
  <si>
    <t>Volume filtré :</t>
  </si>
  <si>
    <t>Hauteur :</t>
  </si>
  <si>
    <t>Volume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</si>
  <si>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</si>
  <si>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</si>
  <si>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</si>
  <si>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</si>
  <si>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</si>
  <si>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</si>
  <si>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</si>
  <si>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</si>
  <si>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</si>
  <si>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</si>
  <si>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</si>
  <si>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Filtration Totale</t>
  </si>
  <si>
    <t>Volume total :</t>
  </si>
  <si>
    <t>33 CL</t>
  </si>
  <si>
    <t>75 CL</t>
  </si>
  <si>
    <t>Phase 1 : Fermentation</t>
  </si>
  <si>
    <t>Phase 2 : Filtration</t>
  </si>
  <si>
    <t>Répartition de la filtration entre les deux cuves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</si>
  <si>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</si>
  <si>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</si>
  <si>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</si>
  <si>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</si>
  <si>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</si>
  <si>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</si>
  <si>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</si>
  <si>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</si>
  <si>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</si>
  <si>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</si>
  <si>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</si>
  <si>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</si>
  <si>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</si>
  <si>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</si>
  <si>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</si>
  <si>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</si>
  <si>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</si>
  <si>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</si>
  <si>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</si>
  <si>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Non conforme :</t>
    </r>
  </si>
  <si>
    <t>Ecommerce</t>
  </si>
  <si>
    <t>Tracabilité</t>
  </si>
  <si>
    <t>…............................</t>
  </si>
  <si>
    <t>Tranfert</t>
  </si>
  <si>
    <t>Dilution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</si>
  <si>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</si>
  <si>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</si>
  <si>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</si>
  <si>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</si>
  <si>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</si>
  <si>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</si>
  <si>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</si>
  <si>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</si>
  <si>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</si>
  <si>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</si>
  <si>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</si>
  <si>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</si>
  <si>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</si>
  <si>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</si>
  <si>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Jus de Citron (kg)</t>
  </si>
  <si>
    <t>eau + figues + jus</t>
  </si>
  <si>
    <t xml:space="preserve">RECETTE </t>
  </si>
  <si>
    <t>sucre  (kg)</t>
  </si>
  <si>
    <t xml:space="preserve">Grains </t>
  </si>
  <si>
    <t>Hauteur</t>
  </si>
  <si>
    <t>grain</t>
  </si>
  <si>
    <t>Facteur 1L</t>
  </si>
  <si>
    <t xml:space="preserve">Recette Kefir </t>
  </si>
  <si>
    <t xml:space="preserve">Recette Eau </t>
  </si>
  <si>
    <t>Version : 06</t>
  </si>
  <si>
    <t>Mis à jour : 13/11/2024</t>
  </si>
  <si>
    <t>Quantité</t>
  </si>
  <si>
    <t>Volume final :</t>
  </si>
  <si>
    <t>Antoine</t>
  </si>
  <si>
    <t>Répartition en carton :</t>
  </si>
  <si>
    <t>France</t>
  </si>
  <si>
    <t>X6</t>
  </si>
  <si>
    <t>X4</t>
  </si>
  <si>
    <t>EP. Zest d'agrumes</t>
  </si>
  <si>
    <t>24°C</t>
  </si>
  <si>
    <t>Volume (en L)</t>
  </si>
  <si>
    <t>Regle (en cm)</t>
  </si>
  <si>
    <t>Palier de Volume</t>
  </si>
  <si>
    <t>Palier de cm</t>
  </si>
  <si>
    <t>Limite Basse</t>
  </si>
  <si>
    <t>Limite Haute</t>
  </si>
  <si>
    <t>Hauteur limite Basse</t>
  </si>
  <si>
    <t>Hauteur limite Haute</t>
  </si>
  <si>
    <t>HAUTEUR CIBLE</t>
  </si>
  <si>
    <t>Valeur recherchée Produit 1 Post Filtration</t>
  </si>
  <si>
    <t>Valeur recherchée Produit 1 Cuve pleine</t>
  </si>
  <si>
    <t>Valeur recherchée Produit 2 Post Filtration</t>
  </si>
  <si>
    <t>Valeur recherchée Produit 2 Cuve pleine</t>
  </si>
  <si>
    <t>NIKO</t>
  </si>
  <si>
    <t>Fiche de production Cuve de 5000 L</t>
  </si>
  <si>
    <t>269 cm</t>
  </si>
  <si>
    <t>Cuve 2</t>
  </si>
  <si>
    <t>non filtré</t>
  </si>
  <si>
    <t>Sirop de figues</t>
  </si>
  <si>
    <t>Sirop de figues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</si>
</sst>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2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u/>
      <sz val="10"/>
      <color theme="1"/>
      <name val="Aptos Narrow"/>
      <family val="2"/>
      <scheme val="minor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C1E4F5"/>
      </patternFill>
    </fill>
    <fill>
      <patternFill patternType="solid">
        <fgColor rgb="FFFFFDE8"/>
        <bgColor rgb="FF83CAEB"/>
      </patternFill>
    </fill>
    <fill>
      <patternFill patternType="solid">
        <fgColor theme="7" tint="0.79998168889431442"/>
        <bgColor rgb="FFC1E4F5"/>
      </patternFill>
    </fill>
    <fill>
      <patternFill patternType="solid">
        <fgColor theme="5" tint="0.79998168889431442"/>
        <bgColor rgb="FF83CAEB"/>
      </patternFill>
    </fill>
  </fills>
  <borders count="59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5" fillId="0" borderId="0" applyFont="0" applyFill="0" applyBorder="0" applyAlignment="0" applyProtection="0"/>
  </cellStyleXfs>
  <cellXfs count="32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8" fillId="4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10" borderId="2" xfId="0" applyFont="1" applyFill="1" applyBorder="1" applyAlignment="1">
      <alignment horizontal="center"/>
    </xf>
    <xf numFmtId="0" fontId="0" fillId="4" borderId="9" xfId="0" applyFill="1" applyBorder="1"/>
    <xf numFmtId="0" fontId="20" fillId="4" borderId="2" xfId="0" applyFont="1" applyFill="1" applyBorder="1"/>
    <xf numFmtId="0" fontId="5" fillId="4" borderId="2" xfId="0" applyFont="1" applyFill="1" applyBorder="1" applyAlignment="1">
      <alignment vertical="center"/>
    </xf>
    <xf numFmtId="0" fontId="23" fillId="4" borderId="2" xfId="0" applyFont="1" applyFill="1" applyBorder="1"/>
    <xf numFmtId="0" fontId="4" fillId="10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center" vertical="center"/>
    </xf>
    <xf numFmtId="0" fontId="25" fillId="4" borderId="2" xfId="0" applyFont="1" applyFill="1" applyBorder="1"/>
    <xf numFmtId="0" fontId="25" fillId="4" borderId="2" xfId="0" applyFont="1" applyFill="1" applyBorder="1" applyAlignment="1">
      <alignment vertical="center"/>
    </xf>
    <xf numFmtId="0" fontId="26" fillId="10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8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1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vertical="top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2" fillId="10" borderId="2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left" vertical="top"/>
    </xf>
    <xf numFmtId="0" fontId="4" fillId="10" borderId="9" xfId="0" applyFont="1" applyFill="1" applyBorder="1" applyAlignment="1">
      <alignment horizontal="left" vertical="top"/>
    </xf>
    <xf numFmtId="0" fontId="4" fillId="10" borderId="12" xfId="0" applyFont="1" applyFill="1" applyBorder="1" applyAlignment="1">
      <alignment horizontal="left" vertical="top"/>
    </xf>
    <xf numFmtId="0" fontId="4" fillId="10" borderId="13" xfId="0" applyFont="1" applyFill="1" applyBorder="1" applyAlignment="1">
      <alignment horizontal="left" vertical="top"/>
    </xf>
    <xf numFmtId="0" fontId="4" fillId="10" borderId="2" xfId="0" applyFont="1" applyFill="1" applyBorder="1" applyAlignment="1">
      <alignment horizontal="left" vertical="top"/>
    </xf>
    <xf numFmtId="0" fontId="4" fillId="10" borderId="14" xfId="0" applyFont="1" applyFill="1" applyBorder="1" applyAlignment="1">
      <alignment horizontal="left" vertical="top"/>
    </xf>
    <xf numFmtId="0" fontId="4" fillId="10" borderId="6" xfId="0" applyFont="1" applyFill="1" applyBorder="1" applyAlignment="1">
      <alignment horizontal="left" vertical="top"/>
    </xf>
    <xf numFmtId="0" fontId="4" fillId="10" borderId="7" xfId="0" applyFont="1" applyFill="1" applyBorder="1" applyAlignment="1">
      <alignment horizontal="left" vertical="top"/>
    </xf>
    <xf numFmtId="0" fontId="4" fillId="10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7" fillId="0" borderId="0" xfId="0" applyFont="1"/>
    <xf numFmtId="0" fontId="7" fillId="10" borderId="2" xfId="0" applyFont="1" applyFill="1" applyBorder="1"/>
    <xf numFmtId="0" fontId="1" fillId="0" borderId="0" xfId="0" applyFont="1"/>
    <xf numFmtId="0" fontId="38" fillId="10" borderId="2" xfId="0" applyFont="1" applyFill="1" applyBorder="1" applyAlignment="1">
      <alignment vertical="center"/>
    </xf>
    <xf numFmtId="0" fontId="38" fillId="10" borderId="9" xfId="0" applyFont="1" applyFill="1" applyBorder="1" applyAlignment="1">
      <alignment vertical="center"/>
    </xf>
    <xf numFmtId="0" fontId="39" fillId="4" borderId="2" xfId="0" applyFont="1" applyFill="1" applyBorder="1" applyAlignment="1">
      <alignment vertical="center"/>
    </xf>
    <xf numFmtId="0" fontId="38" fillId="10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/>
    </xf>
    <xf numFmtId="0" fontId="10" fillId="10" borderId="29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left" vertical="center"/>
    </xf>
    <xf numFmtId="0" fontId="10" fillId="10" borderId="7" xfId="0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10" fillId="10" borderId="13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14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/>
    </xf>
    <xf numFmtId="0" fontId="41" fillId="0" borderId="0" xfId="0" applyFont="1"/>
    <xf numFmtId="168" fontId="0" fillId="0" borderId="0" xfId="0" applyNumberFormat="1"/>
    <xf numFmtId="0" fontId="10" fillId="10" borderId="6" xfId="0" applyFont="1" applyFill="1" applyBorder="1" applyAlignment="1">
      <alignment vertical="center"/>
    </xf>
    <xf numFmtId="0" fontId="10" fillId="10" borderId="7" xfId="0" applyFont="1" applyFill="1" applyBorder="1" applyAlignment="1">
      <alignment vertical="center"/>
    </xf>
    <xf numFmtId="0" fontId="10" fillId="10" borderId="4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164" fontId="18" fillId="4" borderId="13" xfId="0" applyNumberFormat="1" applyFont="1" applyFill="1" applyBorder="1" applyAlignment="1">
      <alignment horizontal="center"/>
    </xf>
    <xf numFmtId="164" fontId="18" fillId="4" borderId="2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10" borderId="56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56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24" fillId="10" borderId="3" xfId="0" applyFont="1" applyFill="1" applyBorder="1" applyAlignment="1">
      <alignment horizontal="center"/>
    </xf>
    <xf numFmtId="0" fontId="24" fillId="10" borderId="4" xfId="0" applyFont="1" applyFill="1" applyBorder="1" applyAlignment="1">
      <alignment horizontal="center"/>
    </xf>
    <xf numFmtId="0" fontId="24" fillId="10" borderId="5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left" vertical="center"/>
    </xf>
    <xf numFmtId="0" fontId="10" fillId="10" borderId="4" xfId="0" applyFont="1" applyFill="1" applyBorder="1" applyAlignment="1">
      <alignment horizontal="left" vertical="center"/>
    </xf>
    <xf numFmtId="0" fontId="10" fillId="10" borderId="5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10" borderId="28" xfId="0" applyFont="1" applyFill="1" applyBorder="1" applyAlignment="1">
      <alignment vertical="center"/>
    </xf>
    <xf numFmtId="0" fontId="10" fillId="10" borderId="28" xfId="0" applyFont="1" applyFill="1" applyBorder="1" applyAlignment="1">
      <alignment horizontal="left" vertical="center"/>
    </xf>
    <xf numFmtId="0" fontId="10" fillId="10" borderId="29" xfId="0" applyFont="1" applyFill="1" applyBorder="1" applyAlignment="1">
      <alignment horizontal="left" vertical="center"/>
    </xf>
    <xf numFmtId="0" fontId="10" fillId="10" borderId="27" xfId="0" applyFont="1" applyFill="1" applyBorder="1" applyAlignment="1">
      <alignment horizontal="left" vertical="center"/>
    </xf>
    <xf numFmtId="0" fontId="10" fillId="10" borderId="22" xfId="0" applyFont="1" applyFill="1" applyBorder="1" applyAlignment="1">
      <alignment horizontal="left" vertical="center"/>
    </xf>
    <xf numFmtId="0" fontId="24" fillId="10" borderId="7" xfId="0" applyFont="1" applyFill="1" applyBorder="1" applyAlignment="1">
      <alignment horizontal="center"/>
    </xf>
    <xf numFmtId="0" fontId="24" fillId="10" borderId="8" xfId="0" applyFont="1" applyFill="1" applyBorder="1" applyAlignment="1">
      <alignment horizontal="center"/>
    </xf>
    <xf numFmtId="0" fontId="18" fillId="9" borderId="9" xfId="0" applyFont="1" applyFill="1" applyBorder="1" applyAlignment="1">
      <alignment horizontal="center"/>
    </xf>
    <xf numFmtId="0" fontId="18" fillId="9" borderId="12" xfId="0" applyFon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0" fontId="18" fillId="4" borderId="13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14" xfId="0" applyNumberFormat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164" fontId="18" fillId="7" borderId="9" xfId="0" applyNumberFormat="1" applyFont="1" applyFill="1" applyBorder="1" applyAlignment="1">
      <alignment horizontal="center"/>
    </xf>
    <xf numFmtId="164" fontId="18" fillId="7" borderId="12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3" borderId="37" xfId="0" applyNumberFormat="1" applyFont="1" applyFill="1" applyBorder="1" applyAlignment="1">
      <alignment horizontal="center" vertical="center"/>
    </xf>
    <xf numFmtId="14" fontId="11" fillId="13" borderId="17" xfId="0" applyNumberFormat="1" applyFont="1" applyFill="1" applyBorder="1" applyAlignment="1">
      <alignment horizontal="center" vertical="center"/>
    </xf>
    <xf numFmtId="14" fontId="11" fillId="13" borderId="26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16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4" fontId="0" fillId="4" borderId="0" xfId="0" applyNumberFormat="1" applyFill="1" applyAlignment="1">
      <alignment horizontal="center"/>
    </xf>
    <xf numFmtId="0" fontId="10" fillId="0" borderId="5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165" fontId="36" fillId="4" borderId="7" xfId="0" applyNumberFormat="1" applyFont="1" applyFill="1" applyBorder="1" applyAlignment="1">
      <alignment horizontal="center"/>
    </xf>
    <xf numFmtId="165" fontId="36" fillId="4" borderId="8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165" fontId="27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0" fontId="19" fillId="4" borderId="6" xfId="0" applyFont="1" applyFill="1" applyBorder="1" applyAlignment="1">
      <alignment horizontal="left"/>
    </xf>
    <xf numFmtId="0" fontId="19" fillId="4" borderId="7" xfId="0" applyFont="1" applyFill="1" applyBorder="1" applyAlignment="1">
      <alignment horizontal="left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0" fillId="10" borderId="29" xfId="0" applyFont="1" applyFill="1" applyBorder="1" applyAlignment="1">
      <alignment vertical="center"/>
    </xf>
    <xf numFmtId="0" fontId="10" fillId="10" borderId="27" xfId="0" applyFont="1" applyFill="1" applyBorder="1" applyAlignment="1">
      <alignment vertical="center"/>
    </xf>
    <xf numFmtId="166" fontId="18" fillId="10" borderId="3" xfId="0" applyNumberFormat="1" applyFont="1" applyFill="1" applyBorder="1" applyAlignment="1">
      <alignment horizontal="center" vertical="center"/>
    </xf>
    <xf numFmtId="166" fontId="18" fillId="10" borderId="4" xfId="0" applyNumberFormat="1" applyFont="1" applyFill="1" applyBorder="1" applyAlignment="1">
      <alignment horizontal="center" vertical="center"/>
    </xf>
    <xf numFmtId="166" fontId="18" fillId="10" borderId="56" xfId="0" applyNumberFormat="1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vertical="center"/>
    </xf>
    <xf numFmtId="0" fontId="10" fillId="10" borderId="2" xfId="0" applyFont="1" applyFill="1" applyBorder="1" applyAlignment="1">
      <alignment vertical="center"/>
    </xf>
    <xf numFmtId="0" fontId="10" fillId="10" borderId="14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18" fillId="8" borderId="3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vertic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6" xfId="0" applyFont="1" applyFill="1" applyBorder="1" applyAlignment="1">
      <alignment horizontal="center"/>
    </xf>
    <xf numFmtId="1" fontId="10" fillId="10" borderId="3" xfId="3" applyNumberFormat="1" applyFont="1" applyFill="1" applyBorder="1" applyAlignment="1">
      <alignment horizontal="center" vertical="center"/>
    </xf>
    <xf numFmtId="1" fontId="10" fillId="10" borderId="5" xfId="3" applyNumberFormat="1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/>
    </xf>
    <xf numFmtId="0" fontId="18" fillId="8" borderId="5" xfId="0" applyFont="1" applyFill="1" applyBorder="1" applyAlignment="1">
      <alignment horizontal="center"/>
    </xf>
    <xf numFmtId="0" fontId="40" fillId="10" borderId="4" xfId="0" applyFont="1" applyFill="1" applyBorder="1" applyAlignment="1">
      <alignment horizontal="center"/>
    </xf>
    <xf numFmtId="0" fontId="10" fillId="10" borderId="57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0" fontId="18" fillId="8" borderId="11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18" fillId="9" borderId="11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168" fontId="18" fillId="4" borderId="9" xfId="0" applyNumberFormat="1" applyFont="1" applyFill="1" applyBorder="1" applyAlignment="1">
      <alignment horizontal="center"/>
    </xf>
    <xf numFmtId="168" fontId="18" fillId="4" borderId="12" xfId="0" applyNumberFormat="1" applyFont="1" applyFill="1" applyBorder="1" applyAlignment="1">
      <alignment horizontal="center"/>
    </xf>
    <xf numFmtId="168" fontId="18" fillId="4" borderId="2" xfId="0" applyNumberFormat="1" applyFont="1" applyFill="1" applyBorder="1" applyAlignment="1">
      <alignment horizontal="center"/>
    </xf>
    <xf numFmtId="168" fontId="18" fillId="4" borderId="14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168" fontId="34" fillId="0" borderId="7" xfId="0" applyNumberFormat="1" applyFont="1" applyBorder="1" applyAlignment="1">
      <alignment horizontal="center"/>
    </xf>
    <xf numFmtId="168" fontId="34" fillId="0" borderId="8" xfId="0" applyNumberFormat="1" applyFont="1" applyBorder="1" applyAlignment="1">
      <alignment horizontal="center"/>
    </xf>
    <xf numFmtId="166" fontId="18" fillId="10" borderId="27" xfId="0" applyNumberFormat="1" applyFont="1" applyFill="1" applyBorder="1" applyAlignment="1">
      <alignment horizontal="center" vertical="center"/>
    </xf>
    <xf numFmtId="166" fontId="18" fillId="10" borderId="22" xfId="0" applyNumberFormat="1" applyFont="1" applyFill="1" applyBorder="1" applyAlignment="1">
      <alignment horizontal="center" vertical="center"/>
    </xf>
    <xf numFmtId="0" fontId="40" fillId="10" borderId="20" xfId="0" applyFont="1" applyFill="1" applyBorder="1" applyAlignment="1">
      <alignment horizontal="center"/>
    </xf>
    <xf numFmtId="0" fontId="40" fillId="10" borderId="21" xfId="0" applyFont="1" applyFill="1" applyBorder="1" applyAlignment="1">
      <alignment horizontal="center"/>
    </xf>
    <xf numFmtId="0" fontId="40" fillId="10" borderId="27" xfId="0" applyFont="1" applyFill="1" applyBorder="1" applyAlignment="1">
      <alignment horizontal="center"/>
    </xf>
    <xf numFmtId="0" fontId="40" fillId="10" borderId="22" xfId="0" applyFont="1" applyFill="1" applyBorder="1" applyAlignment="1">
      <alignment horizontal="center"/>
    </xf>
    <xf numFmtId="0" fontId="40" fillId="10" borderId="29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0" fillId="10" borderId="3" xfId="0" applyFont="1" applyFill="1" applyBorder="1" applyAlignment="1">
      <alignment horizontal="center"/>
    </xf>
    <xf numFmtId="0" fontId="40" fillId="10" borderId="56" xfId="0" applyFont="1" applyFill="1" applyBorder="1" applyAlignment="1">
      <alignment horizontal="center"/>
    </xf>
    <xf numFmtId="0" fontId="40" fillId="10" borderId="5" xfId="0" applyFont="1" applyFill="1" applyBorder="1" applyAlignment="1">
      <alignment horizontal="center"/>
    </xf>
    <xf numFmtId="0" fontId="40" fillId="10" borderId="58" xfId="0" applyFont="1" applyFill="1" applyBorder="1" applyAlignment="1">
      <alignment horizontal="center"/>
    </xf>
    <xf numFmtId="166" fontId="18" fillId="10" borderId="53" xfId="0" applyNumberFormat="1" applyFont="1" applyFill="1" applyBorder="1" applyAlignment="1">
      <alignment horizontal="center" vertical="center"/>
    </xf>
    <xf numFmtId="166" fontId="18" fillId="10" borderId="54" xfId="0" applyNumberFormat="1" applyFont="1" applyFill="1" applyBorder="1" applyAlignment="1">
      <alignment horizontal="center" vertical="center"/>
    </xf>
    <xf numFmtId="0" fontId="10" fillId="10" borderId="52" xfId="0" applyFont="1" applyFill="1" applyBorder="1" applyAlignment="1">
      <alignment horizontal="left" vertical="center"/>
    </xf>
    <xf numFmtId="0" fontId="10" fillId="10" borderId="53" xfId="0" applyFont="1" applyFill="1" applyBorder="1" applyAlignment="1">
      <alignment horizontal="left" vertical="center"/>
    </xf>
    <xf numFmtId="0" fontId="10" fillId="10" borderId="55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152046</xdr:colOff>
      <xdr:row>27</xdr:row>
      <xdr:rowOff>14708</xdr:rowOff>
    </xdr:from>
    <xdr:to>
      <xdr:col>16</xdr:col>
      <xdr:colOff>188555</xdr:colOff>
      <xdr:row>33</xdr:row>
      <xdr:rowOff>85815</xdr:rowOff>
    </xdr:to>
    <xdr:sp macro="" textlink="">
      <xdr:nvSpPr>
        <xdr:cNvPr id="21" name="Cylindre 20">
          <a:extLst>
            <a:ext uri="{FF2B5EF4-FFF2-40B4-BE49-F238E27FC236}">
              <a16:creationId xmlns:a16="http://schemas.microsoft.com/office/drawing/2014/main" id="{A99E93A7-7F76-F24B-A9E6-E1FC1DFCFCCC}"/>
            </a:ext>
          </a:extLst>
        </xdr:cNvPr>
        <xdr:cNvSpPr/>
      </xdr:nvSpPr>
      <xdr:spPr>
        <a:xfrm>
          <a:off x="2505281" y="3975987"/>
          <a:ext cx="977803" cy="1214107"/>
        </a:xfrm>
        <a:prstGeom prst="ca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  <a:p>
          <a:pPr algn="ctr"/>
          <a:endParaRPr lang="fr-FR" sz="1100" baseline="0"/>
        </a:p>
        <a:p>
          <a:pPr algn="ctr"/>
          <a:r>
            <a:rPr lang="fr-FR" sz="1100" baseline="0"/>
            <a:t> </a:t>
          </a:r>
        </a:p>
        <a:p>
          <a:pPr algn="ctr"/>
          <a:endParaRPr lang="fr-FR" sz="1100" baseline="0"/>
        </a:p>
        <a:p>
          <a:pPr algn="ctr"/>
          <a:endParaRPr lang="fr-FR" sz="1100" baseline="0"/>
        </a:p>
      </xdr:txBody>
    </xdr:sp>
    <xdr:clientData/>
  </xdr:twoCellAnchor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15</xdr:col>
      <xdr:colOff>152401</xdr:colOff>
      <xdr:row>38</xdr:row>
      <xdr:rowOff>49679</xdr:rowOff>
    </xdr:from>
    <xdr:to>
      <xdr:col>17</xdr:col>
      <xdr:colOff>140074</xdr:colOff>
      <xdr:row>44</xdr:row>
      <xdr:rowOff>18676</xdr:rowOff>
    </xdr:to>
    <xdr:sp macro="" textlink="">
      <xdr:nvSpPr>
        <xdr:cNvPr id="22" name="Cylindre 21">
          <a:extLst>
            <a:ext uri="{FF2B5EF4-FFF2-40B4-BE49-F238E27FC236}">
              <a16:creationId xmlns:a16="http://schemas.microsoft.com/office/drawing/2014/main" id="{7736D7FC-9AC6-4B4F-878A-8186B61E537C}"/>
            </a:ext>
          </a:extLst>
        </xdr:cNvPr>
        <xdr:cNvSpPr/>
      </xdr:nvSpPr>
      <xdr:spPr>
        <a:xfrm>
          <a:off x="3430122" y="5914091"/>
          <a:ext cx="491937" cy="856129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15</xdr:col>
      <xdr:colOff>155389</xdr:colOff>
      <xdr:row>39</xdr:row>
      <xdr:rowOff>46692</xdr:rowOff>
    </xdr:from>
    <xdr:to>
      <xdr:col>17</xdr:col>
      <xdr:colOff>143062</xdr:colOff>
      <xdr:row>44</xdr:row>
      <xdr:rowOff>12326</xdr:rowOff>
    </xdr:to>
    <xdr:sp macro="" textlink="">
      <xdr:nvSpPr>
        <xdr:cNvPr id="24" name="Cylindre 23">
          <a:extLst>
            <a:ext uri="{FF2B5EF4-FFF2-40B4-BE49-F238E27FC236}">
              <a16:creationId xmlns:a16="http://schemas.microsoft.com/office/drawing/2014/main" id="{62375B12-CFCE-3B4D-90C8-DAE614DD1BB1}"/>
            </a:ext>
          </a:extLst>
        </xdr:cNvPr>
        <xdr:cNvSpPr/>
      </xdr:nvSpPr>
      <xdr:spPr>
        <a:xfrm>
          <a:off x="3433110" y="6088530"/>
          <a:ext cx="491937" cy="675340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2</a:t>
          </a:r>
        </a:p>
      </xdr:txBody>
    </xdr:sp>
    <xdr:clientData/>
  </xdr:twoCellAnchor>
  <xdr:twoCellAnchor>
    <xdr:from>
      <xdr:col>12</xdr:col>
      <xdr:colOff>15315</xdr:colOff>
      <xdr:row>38</xdr:row>
      <xdr:rowOff>52668</xdr:rowOff>
    </xdr:from>
    <xdr:to>
      <xdr:col>14</xdr:col>
      <xdr:colOff>2988</xdr:colOff>
      <xdr:row>44</xdr:row>
      <xdr:rowOff>21665</xdr:rowOff>
    </xdr:to>
    <xdr:sp macro="" textlink="">
      <xdr:nvSpPr>
        <xdr:cNvPr id="25" name="Cylindre 24">
          <a:extLst>
            <a:ext uri="{FF2B5EF4-FFF2-40B4-BE49-F238E27FC236}">
              <a16:creationId xmlns:a16="http://schemas.microsoft.com/office/drawing/2014/main" id="{D2DB0FDF-2CDE-EB4E-8DE6-B19F15FF4DBF}"/>
            </a:ext>
          </a:extLst>
        </xdr:cNvPr>
        <xdr:cNvSpPr/>
      </xdr:nvSpPr>
      <xdr:spPr>
        <a:xfrm>
          <a:off x="2536639" y="5917080"/>
          <a:ext cx="491937" cy="856129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18304</xdr:colOff>
      <xdr:row>39</xdr:row>
      <xdr:rowOff>74706</xdr:rowOff>
    </xdr:from>
    <xdr:to>
      <xdr:col>14</xdr:col>
      <xdr:colOff>5977</xdr:colOff>
      <xdr:row>44</xdr:row>
      <xdr:rowOff>24651</xdr:rowOff>
    </xdr:to>
    <xdr:sp macro="" textlink="">
      <xdr:nvSpPr>
        <xdr:cNvPr id="26" name="Cylindre 25">
          <a:extLst>
            <a:ext uri="{FF2B5EF4-FFF2-40B4-BE49-F238E27FC236}">
              <a16:creationId xmlns:a16="http://schemas.microsoft.com/office/drawing/2014/main" id="{4BDE1D47-C296-E942-9929-06D22629183A}"/>
            </a:ext>
          </a:extLst>
        </xdr:cNvPr>
        <xdr:cNvSpPr/>
      </xdr:nvSpPr>
      <xdr:spPr>
        <a:xfrm>
          <a:off x="2539628" y="6116544"/>
          <a:ext cx="491937" cy="659651"/>
        </a:xfrm>
        <a:prstGeom prst="ca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1</a:t>
          </a:r>
        </a:p>
      </xdr:txBody>
    </xdr:sp>
    <xdr:clientData/>
  </xdr:twoCellAnchor>
  <xdr:twoCellAnchor>
    <xdr:from>
      <xdr:col>15</xdr:col>
      <xdr:colOff>155903</xdr:colOff>
      <xdr:row>45</xdr:row>
      <xdr:rowOff>89658</xdr:rowOff>
    </xdr:from>
    <xdr:to>
      <xdr:col>17</xdr:col>
      <xdr:colOff>139766</xdr:colOff>
      <xdr:row>50</xdr:row>
      <xdr:rowOff>168444</xdr:rowOff>
    </xdr:to>
    <xdr:sp macro="" textlink="">
      <xdr:nvSpPr>
        <xdr:cNvPr id="27" name="Cylindre 26">
          <a:extLst>
            <a:ext uri="{FF2B5EF4-FFF2-40B4-BE49-F238E27FC236}">
              <a16:creationId xmlns:a16="http://schemas.microsoft.com/office/drawing/2014/main" id="{0377AB23-B715-7D4B-B90F-10F9F0735C85}"/>
            </a:ext>
          </a:extLst>
        </xdr:cNvPr>
        <xdr:cNvSpPr/>
      </xdr:nvSpPr>
      <xdr:spPr>
        <a:xfrm>
          <a:off x="3739394" y="7599307"/>
          <a:ext cx="460113" cy="949975"/>
        </a:xfrm>
        <a:prstGeom prst="ca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2</a:t>
          </a:r>
        </a:p>
      </xdr:txBody>
    </xdr:sp>
    <xdr:clientData/>
  </xdr:twoCellAnchor>
  <xdr:twoCellAnchor>
    <xdr:from>
      <xdr:col>12</xdr:col>
      <xdr:colOff>17710</xdr:colOff>
      <xdr:row>45</xdr:row>
      <xdr:rowOff>91048</xdr:rowOff>
    </xdr:from>
    <xdr:to>
      <xdr:col>14</xdr:col>
      <xdr:colOff>18718</xdr:colOff>
      <xdr:row>50</xdr:row>
      <xdr:rowOff>172165</xdr:rowOff>
    </xdr:to>
    <xdr:sp macro="" textlink="">
      <xdr:nvSpPr>
        <xdr:cNvPr id="28" name="Cylindre 27">
          <a:extLst>
            <a:ext uri="{FF2B5EF4-FFF2-40B4-BE49-F238E27FC236}">
              <a16:creationId xmlns:a16="http://schemas.microsoft.com/office/drawing/2014/main" id="{7F82A92F-E2A5-6745-9E65-692A2E04A299}"/>
            </a:ext>
          </a:extLst>
        </xdr:cNvPr>
        <xdr:cNvSpPr/>
      </xdr:nvSpPr>
      <xdr:spPr>
        <a:xfrm>
          <a:off x="2875210" y="7600697"/>
          <a:ext cx="488874" cy="952306"/>
        </a:xfrm>
        <a:prstGeom prst="ca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Cuve 1</a:t>
          </a:r>
        </a:p>
      </xdr:txBody>
    </xdr:sp>
    <xdr:clientData/>
  </xdr:twoCellAnchor>
  <xdr:twoCellAnchor>
    <xdr:from>
      <xdr:col>13</xdr:col>
      <xdr:colOff>9151</xdr:colOff>
      <xdr:row>33</xdr:row>
      <xdr:rowOff>85815</xdr:rowOff>
    </xdr:from>
    <xdr:to>
      <xdr:col>14</xdr:col>
      <xdr:colOff>170301</xdr:colOff>
      <xdr:row>38</xdr:row>
      <xdr:rowOff>52668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BDE552D0-42E8-67B0-3F39-496678D9218D}"/>
            </a:ext>
          </a:extLst>
        </xdr:cNvPr>
        <xdr:cNvCxnSpPr>
          <a:stCxn id="21" idx="3"/>
          <a:endCxn id="25" idx="1"/>
        </xdr:cNvCxnSpPr>
      </xdr:nvCxnSpPr>
      <xdr:spPr>
        <a:xfrm flipH="1">
          <a:off x="2597710" y="5190094"/>
          <a:ext cx="396473" cy="835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170301</xdr:colOff>
      <xdr:row>33</xdr:row>
      <xdr:rowOff>85815</xdr:rowOff>
    </xdr:from>
    <xdr:to>
      <xdr:col>16</xdr:col>
      <xdr:colOff>146238</xdr:colOff>
      <xdr:row>38</xdr:row>
      <xdr:rowOff>49679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555BC4A2-A7B2-50AC-4C1C-834FD6BB5540}"/>
            </a:ext>
          </a:extLst>
        </xdr:cNvPr>
        <xdr:cNvCxnSpPr>
          <a:stCxn id="21" idx="3"/>
          <a:endCxn id="22" idx="1"/>
        </xdr:cNvCxnSpPr>
      </xdr:nvCxnSpPr>
      <xdr:spPr>
        <a:xfrm>
          <a:off x="2994183" y="5190094"/>
          <a:ext cx="446584" cy="832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20806</xdr:colOff>
      <xdr:row>44</xdr:row>
      <xdr:rowOff>20841</xdr:rowOff>
    </xdr:from>
    <xdr:to>
      <xdr:col>13</xdr:col>
      <xdr:colOff>27832</xdr:colOff>
      <xdr:row>45</xdr:row>
      <xdr:rowOff>94858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E42D545C-5CE1-0BBD-B8FC-B6DD53867095}"/>
            </a:ext>
          </a:extLst>
        </xdr:cNvPr>
        <xdr:cNvCxnSpPr>
          <a:stCxn id="26" idx="3"/>
          <a:endCxn id="28" idx="1"/>
        </xdr:cNvCxnSpPr>
      </xdr:nvCxnSpPr>
      <xdr:spPr>
        <a:xfrm>
          <a:off x="3116431" y="7356253"/>
          <a:ext cx="7026" cy="248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145930</xdr:colOff>
      <xdr:row>44</xdr:row>
      <xdr:rowOff>16136</xdr:rowOff>
    </xdr:from>
    <xdr:to>
      <xdr:col>16</xdr:col>
      <xdr:colOff>148273</xdr:colOff>
      <xdr:row>45</xdr:row>
      <xdr:rowOff>93468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3E3ED5CF-027E-9B4B-EC24-6790BD301364}"/>
            </a:ext>
          </a:extLst>
        </xdr:cNvPr>
        <xdr:cNvCxnSpPr>
          <a:stCxn id="24" idx="3"/>
          <a:endCxn id="27" idx="1"/>
        </xdr:cNvCxnSpPr>
      </xdr:nvCxnSpPr>
      <xdr:spPr>
        <a:xfrm flipH="1">
          <a:off x="3967546" y="7351548"/>
          <a:ext cx="2343" cy="251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17</xdr:col>
      <xdr:colOff>189216</xdr:colOff>
      <xdr:row>24</xdr:row>
      <xdr:rowOff>26764</xdr:rowOff>
    </xdr:from>
    <xdr:to>
      <xdr:col>18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3807652" y="4709446"/>
          <a:ext cx="136203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60960</xdr:colOff>
      <xdr:row>25</xdr:row>
      <xdr:rowOff>12700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103120" y="4721860"/>
          <a:ext cx="116840" cy="1549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44</v>
      </c>
      <c r="D1" t="s">
        <v>46</v>
      </c>
      <c r="E1" s="1" t="s">
        <v>11</v>
      </c>
      <c r="H1" t="s">
        <v>57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30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30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30"/>
      <c r="H4" s="30"/>
      <c r="I4" s="30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100</v>
      </c>
      <c r="B10" s="1">
        <v>365</v>
      </c>
      <c r="D10" s="3" t="s">
        <v>100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view="pageLayout" zoomScale="150" zoomScaleNormal="167" zoomScaleSheetLayoutView="57" zoomScalePageLayoutView="150" workbookViewId="0">
      <selection activeCell="Z36" sqref="Z36"/>
    </sheetView>
  </sheetViews>
  <sheetFormatPr baseColWidth="10" defaultColWidth="12.6640625" defaultRowHeight="15" customHeight="1"/>
  <cols>
    <col min="1" max="7" width="3" customWidth="1"/>
    <col min="8" max="8" width="3.6640625" customWidth="1"/>
    <col min="9" max="27" width="3" customWidth="1"/>
  </cols>
  <sheetData>
    <row r="1" spans="1:31" ht="14.25" customHeight="1">
      <c r="A1" s="221" t="s">
        <v>116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3"/>
      <c r="W1" s="212" t="s">
        <v>12</v>
      </c>
      <c r="X1" s="213"/>
      <c r="Y1" s="213"/>
      <c r="Z1" s="213"/>
      <c r="AA1" s="214"/>
    </row>
    <row r="2" spans="1:31" ht="14.25" customHeight="1">
      <c r="A2" s="224"/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6"/>
      <c r="W2" s="215" t="s">
        <v>91</v>
      </c>
      <c r="X2" s="216"/>
      <c r="Y2" s="216"/>
      <c r="Z2" s="216"/>
      <c r="AA2" s="217"/>
    </row>
    <row r="3" spans="1:31" ht="14.25" customHeight="1">
      <c r="A3" s="224"/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6"/>
      <c r="W3" s="215" t="s">
        <v>13</v>
      </c>
      <c r="X3" s="216"/>
      <c r="Y3" s="216"/>
      <c r="Z3" s="216"/>
      <c r="AA3" s="217"/>
    </row>
    <row r="4" spans="1:31" ht="14.25" customHeight="1">
      <c r="A4" s="227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9"/>
      <c r="W4" s="218" t="s">
        <v>92</v>
      </c>
      <c r="X4" s="219"/>
      <c r="Y4" s="219"/>
      <c r="Z4" s="219"/>
      <c r="AA4" s="220"/>
    </row>
    <row r="5" spans="1:31" ht="9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31" ht="19">
      <c r="A6" s="230" t="s">
        <v>14</v>
      </c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2"/>
      <c r="AC6" s="95"/>
    </row>
    <row r="7" spans="1:31" ht="9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31" ht="14.25" customHeight="1">
      <c r="A8" s="233" t="s">
        <v>19</v>
      </c>
      <c r="B8" s="234"/>
      <c r="C8" s="234"/>
      <c r="D8" s="239" t="s">
        <v>5</v>
      </c>
      <c r="E8" s="240"/>
      <c r="F8" s="240"/>
      <c r="G8" s="240"/>
      <c r="H8" s="240"/>
      <c r="I8" s="240"/>
      <c r="J8" s="240"/>
      <c r="K8" s="241"/>
      <c r="L8" s="10"/>
      <c r="M8" s="10"/>
      <c r="N8" s="10"/>
      <c r="O8" s="10"/>
      <c r="P8" s="10"/>
      <c r="Q8" s="237" t="s">
        <v>20</v>
      </c>
      <c r="R8" s="238"/>
      <c r="S8" s="238"/>
      <c r="T8" s="235"/>
      <c r="U8" s="235"/>
      <c r="V8" s="235"/>
      <c r="W8" s="235"/>
      <c r="X8" s="235"/>
      <c r="Y8" s="235"/>
      <c r="Z8" s="235"/>
      <c r="AA8" s="236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177" t="s">
        <v>52</v>
      </c>
      <c r="B10" s="178"/>
      <c r="C10" s="178"/>
      <c r="D10" s="179">
        <f>_xlfn.XLOOKUP(D8,Data!A2:A12,Data!B2:B12)+A20</f>
        <v>46263</v>
      </c>
      <c r="E10" s="179"/>
      <c r="F10" s="179"/>
      <c r="G10" s="180"/>
      <c r="H10" s="6"/>
      <c r="I10" s="6"/>
      <c r="J10" s="6"/>
      <c r="K10" s="6"/>
      <c r="L10" s="163" t="s">
        <v>53</v>
      </c>
      <c r="M10" s="164"/>
      <c r="N10" s="164"/>
      <c r="O10" s="165">
        <f>_xlfn.XLOOKUP(D8,Data!A2:A12,Data!B2:B12)+A20</f>
        <v>46263</v>
      </c>
      <c r="P10" s="165"/>
      <c r="Q10" s="165"/>
      <c r="R10" s="166"/>
      <c r="S10" s="8"/>
      <c r="T10" s="8"/>
      <c r="U10" s="8"/>
      <c r="V10" s="183"/>
      <c r="W10" s="183"/>
      <c r="X10" s="183"/>
      <c r="Y10" s="183"/>
      <c r="Z10" s="183"/>
      <c r="AA10" s="4"/>
    </row>
    <row r="11" spans="1:31" ht="14.2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95"/>
      <c r="AC11" s="95"/>
    </row>
    <row r="12" spans="1:31" ht="14.25" customHeight="1">
      <c r="A12" s="150" t="s">
        <v>93</v>
      </c>
      <c r="B12" s="150"/>
      <c r="C12" s="151"/>
      <c r="D12" s="121" t="s">
        <v>37</v>
      </c>
      <c r="E12" s="115"/>
      <c r="F12" s="115"/>
      <c r="G12" s="122"/>
      <c r="H12" s="115" t="s">
        <v>38</v>
      </c>
      <c r="I12" s="115"/>
      <c r="J12" s="115"/>
      <c r="K12" s="116"/>
      <c r="L12" s="27"/>
      <c r="M12" s="123" t="str">
        <f ca="1">IF(OR(D10&lt;(TODAY()+355),D10&gt;(TODAY()+375)),"ATTENTION ERREUR DDM","DDM SEMBLE OK")</f>
        <v>DDM SEMBLE OK</v>
      </c>
      <c r="N12" s="123"/>
      <c r="O12" s="123"/>
      <c r="P12" s="27"/>
      <c r="Q12" s="150" t="s">
        <v>93</v>
      </c>
      <c r="R12" s="150"/>
      <c r="S12" s="151"/>
      <c r="T12" s="121" t="s">
        <v>37</v>
      </c>
      <c r="U12" s="115"/>
      <c r="V12" s="115"/>
      <c r="W12" s="122"/>
      <c r="X12" s="115" t="s">
        <v>38</v>
      </c>
      <c r="Y12" s="115"/>
      <c r="Z12" s="115"/>
      <c r="AA12" s="116"/>
    </row>
    <row r="13" spans="1:31" ht="14.25" customHeight="1">
      <c r="A13" s="128"/>
      <c r="B13" s="129"/>
      <c r="C13" s="130"/>
      <c r="D13" s="121" t="s">
        <v>97</v>
      </c>
      <c r="E13" s="116"/>
      <c r="F13" s="121" t="s">
        <v>115</v>
      </c>
      <c r="G13" s="122"/>
      <c r="H13" s="115" t="s">
        <v>98</v>
      </c>
      <c r="I13" s="116"/>
      <c r="J13" s="121" t="s">
        <v>99</v>
      </c>
      <c r="K13" s="116"/>
      <c r="L13" s="27"/>
      <c r="M13" s="123"/>
      <c r="N13" s="123"/>
      <c r="O13" s="123"/>
      <c r="P13" s="27"/>
      <c r="Q13" s="128"/>
      <c r="R13" s="129"/>
      <c r="S13" s="130"/>
      <c r="T13" s="121" t="s">
        <v>97</v>
      </c>
      <c r="U13" s="116"/>
      <c r="V13" s="121" t="s">
        <v>115</v>
      </c>
      <c r="W13" s="122"/>
      <c r="X13" s="115" t="s">
        <v>98</v>
      </c>
      <c r="Y13" s="116"/>
      <c r="Z13" s="121" t="s">
        <v>99</v>
      </c>
      <c r="AA13" s="116"/>
    </row>
    <row r="14" spans="1:31" ht="14.25" customHeight="1">
      <c r="A14" s="131" t="s">
        <v>24</v>
      </c>
      <c r="B14" s="132"/>
      <c r="C14" s="133"/>
      <c r="D14" s="144">
        <f>D15*12</f>
        <v>5460</v>
      </c>
      <c r="E14" s="120"/>
      <c r="F14" s="119">
        <f>F15*12</f>
        <v>0</v>
      </c>
      <c r="G14" s="184"/>
      <c r="H14" s="119">
        <f>H15*6</f>
        <v>1932</v>
      </c>
      <c r="I14" s="120"/>
      <c r="J14" s="119">
        <f>J15*4</f>
        <v>2068</v>
      </c>
      <c r="K14" s="120"/>
      <c r="L14" s="27"/>
      <c r="M14" s="123"/>
      <c r="N14" s="123"/>
      <c r="O14" s="123"/>
      <c r="P14" s="27"/>
      <c r="Q14" s="245" t="s">
        <v>24</v>
      </c>
      <c r="R14" s="246"/>
      <c r="S14" s="247"/>
      <c r="T14" s="144">
        <f>T15*12</f>
        <v>0</v>
      </c>
      <c r="U14" s="120"/>
      <c r="V14" s="119">
        <f>V15*12</f>
        <v>0</v>
      </c>
      <c r="W14" s="184"/>
      <c r="X14" s="119">
        <f>X15*6</f>
        <v>0</v>
      </c>
      <c r="Y14" s="120"/>
      <c r="Z14" s="119">
        <f>Z15*4</f>
        <v>0</v>
      </c>
      <c r="AA14" s="120"/>
      <c r="AE14" s="82"/>
    </row>
    <row r="15" spans="1:31" ht="14.25" customHeight="1">
      <c r="A15" s="131" t="s">
        <v>26</v>
      </c>
      <c r="B15" s="132"/>
      <c r="C15" s="133"/>
      <c r="D15" s="124">
        <v>455</v>
      </c>
      <c r="E15" s="125"/>
      <c r="F15" s="124">
        <v>0</v>
      </c>
      <c r="G15" s="126"/>
      <c r="H15" s="127">
        <v>322</v>
      </c>
      <c r="I15" s="125"/>
      <c r="J15" s="124">
        <v>517</v>
      </c>
      <c r="K15" s="125"/>
      <c r="L15" s="27"/>
      <c r="M15" s="123"/>
      <c r="N15" s="123"/>
      <c r="O15" s="123"/>
      <c r="P15" s="27"/>
      <c r="Q15" s="131" t="s">
        <v>26</v>
      </c>
      <c r="R15" s="132"/>
      <c r="S15" s="133"/>
      <c r="T15" s="124">
        <v>0</v>
      </c>
      <c r="U15" s="125"/>
      <c r="V15" s="124">
        <v>0</v>
      </c>
      <c r="W15" s="126"/>
      <c r="X15" s="127">
        <v>0</v>
      </c>
      <c r="Y15" s="125"/>
      <c r="Z15" s="124">
        <v>0</v>
      </c>
      <c r="AA15" s="125"/>
    </row>
    <row r="16" spans="1:31" ht="14.25" customHeight="1">
      <c r="A16" s="131" t="s">
        <v>58</v>
      </c>
      <c r="B16" s="132"/>
      <c r="C16" s="133"/>
      <c r="D16" s="242">
        <f>(D14+F14)*0.33+(H14+J14)*0.75</f>
        <v>4801.8</v>
      </c>
      <c r="E16" s="243"/>
      <c r="F16" s="243"/>
      <c r="G16" s="243"/>
      <c r="H16" s="243"/>
      <c r="I16" s="243"/>
      <c r="J16" s="243"/>
      <c r="K16" s="244"/>
      <c r="L16" s="28"/>
      <c r="M16" s="123"/>
      <c r="N16" s="123"/>
      <c r="O16" s="123"/>
      <c r="P16" s="28"/>
      <c r="Q16" s="131" t="s">
        <v>58</v>
      </c>
      <c r="R16" s="132"/>
      <c r="S16" s="133"/>
      <c r="T16" s="242">
        <f>(T14+V14)*0.33+(X14+Z14)*0.75</f>
        <v>0</v>
      </c>
      <c r="U16" s="243"/>
      <c r="V16" s="243"/>
      <c r="W16" s="243"/>
      <c r="X16" s="243"/>
      <c r="Y16" s="243"/>
      <c r="Z16" s="243"/>
      <c r="AA16" s="244"/>
      <c r="AE16" s="82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30"/>
    </row>
    <row r="18" spans="1:31" ht="19">
      <c r="A18" s="187" t="s">
        <v>15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9"/>
    </row>
    <row r="19" spans="1:31" s="9" customFormat="1" ht="25" customHeight="1">
      <c r="A19" s="206" t="s">
        <v>28</v>
      </c>
      <c r="B19" s="207"/>
      <c r="C19" s="208"/>
      <c r="D19" s="248" t="s">
        <v>29</v>
      </c>
      <c r="E19" s="249"/>
      <c r="F19" s="250" t="s">
        <v>16</v>
      </c>
      <c r="G19" s="251"/>
      <c r="H19" s="251" t="s">
        <v>30</v>
      </c>
      <c r="I19" s="251"/>
      <c r="J19" s="254" t="s">
        <v>17</v>
      </c>
      <c r="K19" s="209"/>
      <c r="L19" s="186" t="s">
        <v>59</v>
      </c>
      <c r="M19" s="186"/>
      <c r="N19" s="181" t="s">
        <v>18</v>
      </c>
      <c r="O19" s="181"/>
      <c r="P19" s="181"/>
      <c r="Q19" s="181"/>
      <c r="R19" s="181"/>
      <c r="S19" s="181"/>
      <c r="T19" s="181"/>
      <c r="U19" s="181"/>
      <c r="V19" s="181"/>
      <c r="W19" s="185" t="s">
        <v>31</v>
      </c>
      <c r="X19" s="185"/>
      <c r="Y19" s="185" t="s">
        <v>32</v>
      </c>
      <c r="Z19" s="185"/>
      <c r="AA19" s="185"/>
      <c r="AD19" s="92"/>
    </row>
    <row r="20" spans="1:31" ht="20" customHeight="1">
      <c r="A20" s="167">
        <v>45898</v>
      </c>
      <c r="B20" s="168"/>
      <c r="C20" s="169"/>
      <c r="D20" s="209"/>
      <c r="E20" s="210"/>
      <c r="F20" s="182"/>
      <c r="G20" s="182"/>
      <c r="H20" s="182"/>
      <c r="I20" s="182"/>
      <c r="J20" s="175"/>
      <c r="K20" s="176"/>
      <c r="L20" s="172" t="s">
        <v>60</v>
      </c>
      <c r="M20" s="173"/>
      <c r="N20" s="174"/>
      <c r="O20" s="142"/>
      <c r="P20" s="142"/>
      <c r="Q20" s="142"/>
      <c r="R20" s="142"/>
      <c r="S20" s="142"/>
      <c r="T20" s="142"/>
      <c r="U20" s="142"/>
      <c r="V20" s="142"/>
      <c r="W20" s="143"/>
      <c r="X20" s="143"/>
      <c r="Y20" s="211" t="b">
        <v>0</v>
      </c>
      <c r="Z20" s="211"/>
      <c r="AA20" s="211"/>
    </row>
    <row r="21" spans="1:31" ht="20" customHeight="1">
      <c r="A21" s="170"/>
      <c r="B21" s="170"/>
      <c r="C21" s="171"/>
      <c r="D21" s="252"/>
      <c r="E21" s="253"/>
      <c r="F21" s="138"/>
      <c r="G21" s="138"/>
      <c r="H21" s="138"/>
      <c r="I21" s="138"/>
      <c r="J21" s="175"/>
      <c r="K21" s="176"/>
      <c r="L21" s="172" t="s">
        <v>60</v>
      </c>
      <c r="M21" s="173"/>
      <c r="N21" s="174"/>
      <c r="O21" s="142"/>
      <c r="P21" s="142"/>
      <c r="Q21" s="142"/>
      <c r="R21" s="142"/>
      <c r="S21" s="142"/>
      <c r="T21" s="142"/>
      <c r="U21" s="142"/>
      <c r="V21" s="142"/>
      <c r="W21" s="143"/>
      <c r="X21" s="143"/>
      <c r="Y21" s="211" t="b">
        <v>0</v>
      </c>
      <c r="Z21" s="211"/>
      <c r="AA21" s="211"/>
    </row>
    <row r="22" spans="1:31" ht="20" customHeight="1">
      <c r="A22" s="134"/>
      <c r="B22" s="134"/>
      <c r="C22" s="135"/>
      <c r="D22" s="255"/>
      <c r="E22" s="256"/>
      <c r="F22" s="138"/>
      <c r="G22" s="138"/>
      <c r="H22" s="138"/>
      <c r="I22" s="138"/>
      <c r="J22" s="175"/>
      <c r="K22" s="176"/>
      <c r="L22" s="172" t="s">
        <v>60</v>
      </c>
      <c r="M22" s="173"/>
      <c r="N22" s="174"/>
      <c r="O22" s="142"/>
      <c r="P22" s="142"/>
      <c r="Q22" s="142"/>
      <c r="R22" s="142"/>
      <c r="S22" s="142"/>
      <c r="T22" s="142"/>
      <c r="U22" s="142"/>
      <c r="V22" s="142"/>
      <c r="W22" s="143"/>
      <c r="X22" s="143"/>
      <c r="Y22" s="211" t="b">
        <v>0</v>
      </c>
      <c r="Z22" s="211"/>
      <c r="AA22" s="211"/>
      <c r="AE22" s="93"/>
    </row>
    <row r="23" spans="1:31" ht="20" customHeight="1">
      <c r="A23" s="134"/>
      <c r="B23" s="134"/>
      <c r="C23" s="135"/>
      <c r="D23" s="136"/>
      <c r="E23" s="137"/>
      <c r="F23" s="138"/>
      <c r="G23" s="138"/>
      <c r="H23" s="138"/>
      <c r="I23" s="138"/>
      <c r="J23" s="195"/>
      <c r="K23" s="196"/>
      <c r="L23" s="139" t="s">
        <v>60</v>
      </c>
      <c r="M23" s="140"/>
      <c r="N23" s="141"/>
      <c r="O23" s="142"/>
      <c r="P23" s="142"/>
      <c r="Q23" s="142"/>
      <c r="R23" s="142"/>
      <c r="S23" s="142"/>
      <c r="T23" s="142"/>
      <c r="U23" s="142"/>
      <c r="V23" s="142"/>
      <c r="W23" s="143"/>
      <c r="X23" s="143"/>
      <c r="Y23" s="211" t="b">
        <v>0</v>
      </c>
      <c r="Z23" s="211"/>
      <c r="AA23" s="211"/>
    </row>
    <row r="24" spans="1:31" ht="10" customHeight="1">
      <c r="A24" s="35"/>
      <c r="B24" s="35"/>
      <c r="C24" s="35"/>
      <c r="D24" s="36"/>
      <c r="E24" s="197"/>
      <c r="F24" s="197"/>
      <c r="G24" s="197"/>
      <c r="H24" s="197"/>
      <c r="I24" s="36"/>
      <c r="J24" s="39"/>
      <c r="K24" s="39"/>
      <c r="L24" s="39"/>
      <c r="M24" s="39"/>
      <c r="N24" s="40"/>
      <c r="O24" s="37"/>
      <c r="P24" s="37"/>
      <c r="Q24" s="37"/>
      <c r="R24" s="37"/>
      <c r="S24" s="37"/>
      <c r="T24" s="37"/>
      <c r="U24" s="37"/>
      <c r="V24" s="37"/>
      <c r="W24" s="35"/>
      <c r="X24" s="35"/>
      <c r="Y24" s="42"/>
      <c r="Z24" s="42"/>
      <c r="AA24" s="42"/>
    </row>
    <row r="25" spans="1:31" ht="14.25" customHeight="1">
      <c r="A25" s="38" t="s">
        <v>61</v>
      </c>
      <c r="B25" s="11"/>
      <c r="C25" s="11"/>
      <c r="D25" s="11"/>
      <c r="E25" s="3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4"/>
      <c r="W25" s="160"/>
      <c r="X25" s="160"/>
      <c r="Y25" s="160"/>
      <c r="Z25" s="160"/>
      <c r="AA25" s="4"/>
    </row>
    <row r="26" spans="1:31" ht="7" customHeight="1">
      <c r="A26" s="38"/>
      <c r="B26" s="11"/>
      <c r="C26" s="11"/>
      <c r="D26" s="11"/>
      <c r="E26" s="33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4"/>
      <c r="W26" s="4"/>
      <c r="X26" s="4"/>
      <c r="Y26" s="4"/>
      <c r="Z26" s="4"/>
      <c r="AA26" s="4"/>
    </row>
    <row r="27" spans="1:31" ht="15" customHeight="1">
      <c r="A27" s="18" t="s">
        <v>39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2"/>
      <c r="P27" s="12"/>
      <c r="Q27" s="12"/>
      <c r="R27" s="12"/>
      <c r="S27" s="12"/>
      <c r="T27" s="12"/>
      <c r="U27" s="4"/>
      <c r="V27" s="4"/>
      <c r="W27" s="4"/>
      <c r="X27" s="4"/>
      <c r="Y27" s="4"/>
      <c r="Z27" s="4"/>
      <c r="AA27" s="4"/>
    </row>
    <row r="28" spans="1:31" ht="15" customHeight="1">
      <c r="A28" s="34" t="s">
        <v>65</v>
      </c>
      <c r="B28" s="16"/>
      <c r="C28" s="16"/>
      <c r="D28" s="16"/>
      <c r="E28" s="1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34" t="s">
        <v>66</v>
      </c>
      <c r="T28" s="12"/>
      <c r="U28" s="13"/>
      <c r="V28" s="4"/>
      <c r="W28" s="4"/>
      <c r="X28" s="4"/>
      <c r="Y28" s="4"/>
      <c r="Z28" s="4"/>
      <c r="AA28" s="4"/>
    </row>
    <row r="29" spans="1:31" ht="15" customHeight="1">
      <c r="A29" s="279" t="s">
        <v>33</v>
      </c>
      <c r="B29" s="280"/>
      <c r="C29" s="280"/>
      <c r="D29" s="280"/>
      <c r="E29" s="280"/>
      <c r="F29" s="280"/>
      <c r="G29" s="190">
        <f>D16+400</f>
        <v>5201.8</v>
      </c>
      <c r="H29" s="19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45" t="s">
        <v>80</v>
      </c>
      <c r="T29" s="46"/>
      <c r="U29" s="46"/>
      <c r="V29" s="46"/>
      <c r="W29" s="46"/>
      <c r="X29" s="46"/>
      <c r="Y29" s="290">
        <f>IF(ISNUMBER( SEARCH("K.",$D$8)),Recette!D24,Recette!D15)</f>
        <v>171.65940000000001</v>
      </c>
      <c r="Z29" s="290"/>
      <c r="AA29" s="291"/>
    </row>
    <row r="30" spans="1:31" ht="15" customHeight="1">
      <c r="A30" s="200" t="s">
        <v>34</v>
      </c>
      <c r="B30" s="201"/>
      <c r="C30" s="201"/>
      <c r="D30" s="201"/>
      <c r="E30" s="201"/>
      <c r="F30" s="201"/>
      <c r="G30" s="286" t="s">
        <v>117</v>
      </c>
      <c r="H30" s="20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43" t="s">
        <v>121</v>
      </c>
      <c r="T30" s="44"/>
      <c r="U30" s="44"/>
      <c r="V30" s="44"/>
      <c r="W30" s="44"/>
      <c r="X30" s="44"/>
      <c r="Y30" s="292">
        <f>IF(ISNUMBER( SEARCH("K.",$D$8)),Recette!D25,Recette!D16)</f>
        <v>57.219799999999999</v>
      </c>
      <c r="Z30" s="292"/>
      <c r="AA30" s="293"/>
    </row>
    <row r="31" spans="1:31" ht="15" customHeight="1">
      <c r="A31" s="200" t="s">
        <v>54</v>
      </c>
      <c r="B31" s="201"/>
      <c r="C31" s="201"/>
      <c r="D31" s="201"/>
      <c r="E31" s="201"/>
      <c r="F31" s="201"/>
      <c r="G31" s="202" t="s">
        <v>55</v>
      </c>
      <c r="H31" s="203"/>
      <c r="I31" s="12"/>
      <c r="J31" s="12"/>
      <c r="K31" s="289" t="s">
        <v>118</v>
      </c>
      <c r="L31" s="289"/>
      <c r="M31" s="12"/>
      <c r="N31" s="12"/>
      <c r="P31" s="12"/>
      <c r="Q31" s="12"/>
      <c r="R31" s="12"/>
      <c r="S31" s="43" t="s">
        <v>81</v>
      </c>
      <c r="T31" s="44"/>
      <c r="U31" s="44"/>
      <c r="V31" s="44"/>
      <c r="W31" s="44"/>
      <c r="X31" s="44"/>
      <c r="Y31" s="292">
        <f>IF(ISNUMBER( SEARCH("K.",$D$8)),Recette!D26,Recette!D17)</f>
        <v>20.807200000000002</v>
      </c>
      <c r="Z31" s="292"/>
      <c r="AA31" s="293"/>
    </row>
    <row r="32" spans="1:31" ht="15" customHeight="1">
      <c r="A32" s="265" t="s">
        <v>56</v>
      </c>
      <c r="B32" s="266"/>
      <c r="C32" s="266"/>
      <c r="D32" s="266"/>
      <c r="E32" s="266"/>
      <c r="F32" s="266"/>
      <c r="G32" s="198" t="s">
        <v>101</v>
      </c>
      <c r="H32" s="19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43" t="s">
        <v>85</v>
      </c>
      <c r="T32" s="44"/>
      <c r="U32" s="44"/>
      <c r="V32" s="44"/>
      <c r="W32" s="44"/>
      <c r="X32" s="44"/>
      <c r="Y32" s="292">
        <f>IF(ISNUMBER( SEARCH("K.",$D$8)),Recette!D27,Recette!D18)</f>
        <v>31.210800000000003</v>
      </c>
      <c r="Z32" s="292"/>
      <c r="AA32" s="293"/>
      <c r="AC32" s="30"/>
    </row>
    <row r="33" spans="1:32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2"/>
      <c r="O33" s="12"/>
      <c r="P33" s="12"/>
      <c r="Q33" s="12"/>
      <c r="R33" s="12"/>
      <c r="S33" s="43"/>
      <c r="T33" s="44"/>
      <c r="U33" s="44"/>
      <c r="V33" s="44"/>
      <c r="W33" s="44"/>
      <c r="X33" s="44"/>
      <c r="Y33" s="292"/>
      <c r="Z33" s="292"/>
      <c r="AA33" s="293"/>
    </row>
    <row r="34" spans="1:32" ht="14.25" customHeight="1">
      <c r="A34" s="18" t="s">
        <v>40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7"/>
      <c r="O34" s="12"/>
      <c r="P34" s="12"/>
      <c r="Q34" s="12"/>
      <c r="R34" s="12"/>
      <c r="S34" s="57"/>
      <c r="T34" s="58"/>
      <c r="U34" s="58"/>
      <c r="V34" s="58"/>
      <c r="W34" s="58"/>
      <c r="X34" s="58"/>
      <c r="Y34" s="305"/>
      <c r="Z34" s="305"/>
      <c r="AA34" s="306"/>
    </row>
    <row r="35" spans="1:32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2"/>
      <c r="U35" s="13"/>
      <c r="V35" s="4"/>
      <c r="W35" s="4"/>
      <c r="X35" s="4"/>
      <c r="Y35" s="4"/>
      <c r="Z35" s="4"/>
      <c r="AA35" s="4"/>
      <c r="AE35" s="89"/>
    </row>
    <row r="36" spans="1:32" ht="14.25" customHeight="1">
      <c r="A36" s="279" t="s">
        <v>35</v>
      </c>
      <c r="B36" s="280"/>
      <c r="C36" s="280"/>
      <c r="D36" s="280"/>
      <c r="E36" s="280"/>
      <c r="F36" s="280"/>
      <c r="G36" s="280"/>
      <c r="H36" s="161">
        <f>IF(ISNUMBER( SEARCH("EP",D8)), 0, (G29-400)*60%)</f>
        <v>2881.08</v>
      </c>
      <c r="I36" s="162"/>
      <c r="J36" s="34"/>
      <c r="K36" s="34"/>
      <c r="L36" s="11"/>
      <c r="M36" s="11"/>
      <c r="N36" s="11"/>
      <c r="O36" s="11"/>
      <c r="P36" s="11"/>
      <c r="Q36" s="11"/>
      <c r="R36" s="4"/>
      <c r="S36" s="11"/>
      <c r="T36" s="11"/>
      <c r="U36" s="11"/>
      <c r="V36" s="4"/>
      <c r="W36" s="4"/>
      <c r="X36" s="4"/>
      <c r="Y36" s="4"/>
      <c r="Z36" s="4"/>
      <c r="AA36" s="4"/>
      <c r="AD36" s="84"/>
    </row>
    <row r="37" spans="1:32" ht="14.25" customHeight="1">
      <c r="A37" s="204" t="s">
        <v>119</v>
      </c>
      <c r="B37" s="205"/>
      <c r="C37" s="205"/>
      <c r="D37" s="205"/>
      <c r="E37" s="205"/>
      <c r="F37" s="205"/>
      <c r="G37" s="205"/>
      <c r="H37" s="161">
        <f>D50-(D43-D42)-H36</f>
        <v>2120.7200000000012</v>
      </c>
      <c r="I37" s="162"/>
      <c r="J37" s="34"/>
      <c r="K37" s="34"/>
      <c r="L37" s="11"/>
      <c r="M37" s="11"/>
      <c r="N37" s="11"/>
      <c r="O37" s="11"/>
      <c r="P37" s="11"/>
      <c r="Q37" s="11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4"/>
      <c r="T38" s="4"/>
      <c r="U38" s="4"/>
      <c r="V38" s="4"/>
      <c r="W38" s="4"/>
      <c r="X38" s="4"/>
      <c r="Y38" s="4"/>
      <c r="Z38" s="4"/>
      <c r="AA38" s="4"/>
      <c r="AB38" s="30"/>
      <c r="AC38" s="30"/>
    </row>
    <row r="39" spans="1:32" ht="14.25" customHeight="1">
      <c r="A39" s="22" t="s">
        <v>41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4"/>
      <c r="W39" s="4"/>
      <c r="X39" s="4"/>
      <c r="Y39" s="4"/>
      <c r="Z39" s="4"/>
      <c r="AA39" s="4"/>
      <c r="AB39" s="30"/>
      <c r="AC39" s="83"/>
    </row>
    <row r="40" spans="1:32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1"/>
      <c r="N40" s="11"/>
      <c r="O40" s="11"/>
      <c r="P40" s="11"/>
      <c r="Q40" s="11"/>
      <c r="R40" s="11"/>
      <c r="S40" s="11"/>
      <c r="T40" s="11"/>
      <c r="U40" s="11"/>
      <c r="V40" s="4"/>
      <c r="W40" s="4"/>
      <c r="X40" s="4"/>
      <c r="Y40" s="4"/>
      <c r="Z40" s="4"/>
      <c r="AA40" s="4"/>
      <c r="AC40" s="82"/>
      <c r="AD40" s="86"/>
      <c r="AE40" s="82"/>
    </row>
    <row r="41" spans="1:32" ht="14.25" customHeight="1">
      <c r="A41" s="281" t="str">
        <f>A8</f>
        <v>Produit 1 :</v>
      </c>
      <c r="B41" s="282"/>
      <c r="C41" s="282"/>
      <c r="D41" s="283" t="str">
        <f>D8</f>
        <v>K. Mangue - Passion</v>
      </c>
      <c r="E41" s="283"/>
      <c r="F41" s="283"/>
      <c r="G41" s="283"/>
      <c r="H41" s="283"/>
      <c r="I41" s="284"/>
      <c r="J41" s="59"/>
      <c r="K41" s="59"/>
      <c r="L41" s="12"/>
      <c r="M41" s="11"/>
      <c r="N41" s="11"/>
      <c r="O41" s="12"/>
      <c r="P41" s="12"/>
      <c r="Q41" s="11"/>
      <c r="R41" s="11"/>
      <c r="S41" s="287" t="str">
        <f>Q8</f>
        <v>Produit 2 :</v>
      </c>
      <c r="T41" s="288"/>
      <c r="U41" s="288"/>
      <c r="V41" s="152">
        <f>T8</f>
        <v>0</v>
      </c>
      <c r="W41" s="152"/>
      <c r="X41" s="152"/>
      <c r="Y41" s="152"/>
      <c r="Z41" s="152"/>
      <c r="AA41" s="153"/>
      <c r="AE41" s="91"/>
    </row>
    <row r="42" spans="1:32" ht="14.25" customHeight="1">
      <c r="A42" s="155" t="s">
        <v>21</v>
      </c>
      <c r="B42" s="156"/>
      <c r="C42" s="156"/>
      <c r="D42" s="118">
        <f>IF(H36=0,0,(((D16))*60%))</f>
        <v>2881.08</v>
      </c>
      <c r="E42" s="118"/>
      <c r="F42" s="118"/>
      <c r="G42" s="118"/>
      <c r="H42" s="118"/>
      <c r="I42" s="159"/>
      <c r="J42" s="31"/>
      <c r="K42" s="31"/>
      <c r="L42" s="12"/>
      <c r="M42" s="11"/>
      <c r="N42" s="11"/>
      <c r="O42" s="11"/>
      <c r="P42" s="11"/>
      <c r="Q42" s="11"/>
      <c r="R42" s="11"/>
      <c r="S42" s="155" t="s">
        <v>21</v>
      </c>
      <c r="T42" s="156"/>
      <c r="U42" s="156"/>
      <c r="V42" s="118">
        <v>0</v>
      </c>
      <c r="W42" s="118"/>
      <c r="X42" s="118"/>
      <c r="Y42" s="118"/>
      <c r="Z42" s="118"/>
      <c r="AA42" s="159"/>
      <c r="AB42" s="30"/>
      <c r="AC42" s="87"/>
      <c r="AD42" s="87"/>
      <c r="AE42" s="30"/>
    </row>
    <row r="43" spans="1:32" ht="14.25" customHeight="1">
      <c r="A43" s="155" t="s">
        <v>94</v>
      </c>
      <c r="B43" s="156"/>
      <c r="C43" s="156"/>
      <c r="D43" s="118">
        <f>(D16+400)*_xlfn.XLOOKUP(D8,Data!D:D,Data!E:E)+D42</f>
        <v>3057.9411999999998</v>
      </c>
      <c r="E43" s="118"/>
      <c r="F43" s="118"/>
      <c r="G43" s="118"/>
      <c r="H43" s="118"/>
      <c r="I43" s="159"/>
      <c r="J43" s="31"/>
      <c r="K43" s="31"/>
      <c r="L43" s="12"/>
      <c r="M43" s="11"/>
      <c r="N43" s="11"/>
      <c r="O43" s="11"/>
      <c r="P43" s="11"/>
      <c r="Q43" s="11"/>
      <c r="R43" s="11"/>
      <c r="S43" s="155" t="s">
        <v>94</v>
      </c>
      <c r="T43" s="156"/>
      <c r="U43" s="156"/>
      <c r="V43" s="118">
        <v>0</v>
      </c>
      <c r="W43" s="118"/>
      <c r="X43" s="118"/>
      <c r="Y43" s="118"/>
      <c r="Z43" s="118"/>
      <c r="AA43" s="159"/>
      <c r="AB43" s="30"/>
      <c r="AC43" s="87"/>
      <c r="AD43" s="88"/>
      <c r="AE43" s="30"/>
    </row>
    <row r="44" spans="1:32" ht="14.25" customHeight="1">
      <c r="A44" s="265" t="s">
        <v>22</v>
      </c>
      <c r="B44" s="266"/>
      <c r="C44" s="266"/>
      <c r="D44" s="193">
        <f>'CUVE 1 et 2 Mesure'!G6</f>
        <v>157.39705999999998</v>
      </c>
      <c r="E44" s="193"/>
      <c r="F44" s="193"/>
      <c r="G44" s="193"/>
      <c r="H44" s="193"/>
      <c r="I44" s="194"/>
      <c r="J44" s="32"/>
      <c r="K44" s="32"/>
      <c r="L44" s="12"/>
      <c r="M44" s="11"/>
      <c r="N44" s="11"/>
      <c r="O44" s="11"/>
      <c r="P44" s="11"/>
      <c r="Q44" s="11"/>
      <c r="R44" s="11"/>
      <c r="S44" s="157" t="s">
        <v>22</v>
      </c>
      <c r="T44" s="158"/>
      <c r="U44" s="158"/>
      <c r="V44" s="193" t="e">
        <f>'CUVE 1 et 2 Mesure'!J6</f>
        <v>#DIV/0!</v>
      </c>
      <c r="W44" s="193"/>
      <c r="X44" s="193"/>
      <c r="Y44" s="193"/>
      <c r="Z44" s="193"/>
      <c r="AA44" s="194"/>
      <c r="AB44" s="30"/>
      <c r="AC44" s="30"/>
      <c r="AD44" s="85"/>
      <c r="AF44" s="30"/>
    </row>
    <row r="45" spans="1:32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1"/>
      <c r="N45" s="11"/>
      <c r="O45" s="15"/>
      <c r="P45" s="15"/>
      <c r="Q45" s="11"/>
      <c r="R45" s="11"/>
      <c r="S45" s="11"/>
      <c r="T45" s="8"/>
      <c r="U45" s="12"/>
      <c r="V45" s="4"/>
      <c r="W45" s="4"/>
      <c r="X45" s="4"/>
      <c r="Y45" s="4"/>
      <c r="Z45" s="4"/>
      <c r="AA45" s="4"/>
      <c r="AB45" s="30"/>
    </row>
    <row r="46" spans="1:32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  <c r="N46" s="11"/>
      <c r="O46" s="11"/>
      <c r="P46" s="11"/>
      <c r="Q46" s="11"/>
      <c r="R46" s="11"/>
      <c r="S46" s="11"/>
      <c r="T46" s="11"/>
      <c r="U46" s="12"/>
      <c r="V46" s="4"/>
      <c r="W46" s="4"/>
      <c r="X46" s="4"/>
      <c r="Y46" s="4"/>
      <c r="Z46" s="4"/>
      <c r="AA46" s="4"/>
      <c r="AC46" s="30"/>
      <c r="AD46" s="89"/>
    </row>
    <row r="47" spans="1:32" ht="14.25" customHeight="1">
      <c r="A47" s="18" t="s">
        <v>42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3"/>
      <c r="O47" s="13"/>
      <c r="P47" s="13"/>
      <c r="Q47" s="11"/>
      <c r="R47" s="11"/>
      <c r="S47" s="11"/>
      <c r="T47" s="15"/>
      <c r="U47" s="13"/>
      <c r="V47" s="4"/>
      <c r="W47" s="4"/>
      <c r="X47" s="4"/>
      <c r="Y47" s="4"/>
      <c r="Z47" s="4"/>
      <c r="AA47" s="4"/>
      <c r="AD47" s="30"/>
    </row>
    <row r="48" spans="1:32" ht="14.25" customHeight="1">
      <c r="A48" s="285"/>
      <c r="B48" s="285"/>
      <c r="C48" s="12"/>
      <c r="D48" s="12"/>
      <c r="E48" s="12"/>
      <c r="F48" s="285"/>
      <c r="G48" s="285"/>
      <c r="H48" s="12"/>
      <c r="I48" s="12"/>
      <c r="J48" s="12"/>
      <c r="K48" s="12"/>
      <c r="L48" s="12"/>
      <c r="M48" s="14"/>
      <c r="N48" s="14"/>
      <c r="O48" s="14"/>
      <c r="P48" s="14"/>
      <c r="Q48" s="12"/>
      <c r="R48" s="12"/>
      <c r="S48" s="12"/>
      <c r="T48" s="12"/>
      <c r="U48" s="14"/>
      <c r="V48" s="4"/>
      <c r="W48" s="4"/>
      <c r="X48" s="4"/>
      <c r="Y48" s="154"/>
      <c r="Z48" s="154"/>
      <c r="AA48" s="4"/>
    </row>
    <row r="49" spans="1:32" ht="14.25" customHeight="1">
      <c r="A49" s="281" t="str">
        <f>A41</f>
        <v>Produit 1 :</v>
      </c>
      <c r="B49" s="282"/>
      <c r="C49" s="282"/>
      <c r="D49" s="283" t="str">
        <f>D41</f>
        <v>K. Mangue - Passion</v>
      </c>
      <c r="E49" s="283"/>
      <c r="F49" s="283"/>
      <c r="G49" s="283"/>
      <c r="H49" s="283"/>
      <c r="I49" s="284"/>
      <c r="J49" s="59"/>
      <c r="K49" s="59"/>
      <c r="L49" s="11"/>
      <c r="M49" s="11"/>
      <c r="N49" s="11"/>
      <c r="O49" s="11"/>
      <c r="P49" s="11"/>
      <c r="Q49" s="11"/>
      <c r="R49" s="11"/>
      <c r="S49" s="287" t="str">
        <f>S41</f>
        <v>Produit 2 :</v>
      </c>
      <c r="T49" s="288"/>
      <c r="U49" s="288"/>
      <c r="V49" s="152">
        <f>V41</f>
        <v>0</v>
      </c>
      <c r="W49" s="152"/>
      <c r="X49" s="152"/>
      <c r="Y49" s="152"/>
      <c r="Z49" s="152"/>
      <c r="AA49" s="153"/>
      <c r="AC49" s="85"/>
    </row>
    <row r="50" spans="1:32" ht="14.25" customHeight="1">
      <c r="A50" s="155" t="s">
        <v>36</v>
      </c>
      <c r="B50" s="156"/>
      <c r="C50" s="156"/>
      <c r="D50" s="118">
        <f>G29-200+(D43-D42)</f>
        <v>5178.6612000000005</v>
      </c>
      <c r="E50" s="118"/>
      <c r="F50" s="118"/>
      <c r="G50" s="118"/>
      <c r="H50" s="118"/>
      <c r="I50" s="159"/>
      <c r="J50" s="117"/>
      <c r="K50" s="118"/>
      <c r="L50" s="11"/>
      <c r="M50" s="294"/>
      <c r="N50" s="294"/>
      <c r="O50" s="294"/>
      <c r="P50" s="294"/>
      <c r="Q50" s="11"/>
      <c r="R50" s="11"/>
      <c r="S50" s="155" t="s">
        <v>36</v>
      </c>
      <c r="T50" s="156"/>
      <c r="U50" s="156"/>
      <c r="V50" s="118">
        <v>0</v>
      </c>
      <c r="W50" s="118"/>
      <c r="X50" s="118"/>
      <c r="Y50" s="118"/>
      <c r="Z50" s="118"/>
      <c r="AA50" s="159"/>
      <c r="AC50" s="83"/>
      <c r="AD50" s="83"/>
      <c r="AE50" s="30"/>
      <c r="AF50" s="30"/>
    </row>
    <row r="51" spans="1:32" ht="14.25" customHeight="1">
      <c r="A51" s="265" t="s">
        <v>22</v>
      </c>
      <c r="B51" s="266"/>
      <c r="C51" s="266"/>
      <c r="D51" s="193">
        <f>'CUVE 1 et 2 Mesure'!G14</f>
        <v>267.61297800000006</v>
      </c>
      <c r="E51" s="193"/>
      <c r="F51" s="193"/>
      <c r="G51" s="193"/>
      <c r="H51" s="193"/>
      <c r="I51" s="194"/>
      <c r="J51" s="32"/>
      <c r="K51" s="32"/>
      <c r="L51" s="11"/>
      <c r="M51" s="11"/>
      <c r="N51" s="11"/>
      <c r="O51" s="11"/>
      <c r="P51" s="11"/>
      <c r="Q51" s="11"/>
      <c r="R51" s="11"/>
      <c r="S51" s="157" t="s">
        <v>22</v>
      </c>
      <c r="T51" s="158"/>
      <c r="U51" s="158"/>
      <c r="V51" s="193" t="e">
        <f>'CUVE 1 et 2 Mesure'!J14</f>
        <v>#DIV/0!</v>
      </c>
      <c r="W51" s="193"/>
      <c r="X51" s="193"/>
      <c r="Y51" s="193"/>
      <c r="Z51" s="193"/>
      <c r="AA51" s="194"/>
      <c r="AC51" s="30"/>
      <c r="AD51" s="30"/>
    </row>
    <row r="52" spans="1:3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4"/>
      <c r="W52" s="4"/>
      <c r="X52" s="4"/>
      <c r="Y52" s="4"/>
      <c r="Z52" s="4"/>
      <c r="AA52" s="4"/>
      <c r="AD52" s="30"/>
    </row>
    <row r="53" spans="1:32" ht="14.25" customHeight="1">
      <c r="A53" s="24" t="s">
        <v>49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4"/>
      <c r="W53" s="4"/>
      <c r="X53" s="4"/>
      <c r="Y53" s="4"/>
      <c r="Z53" s="4"/>
      <c r="AA53" s="4"/>
      <c r="AC53" s="90"/>
    </row>
    <row r="54" spans="1:32" ht="14.25" customHeight="1">
      <c r="A54" s="2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4"/>
      <c r="W54" s="4"/>
      <c r="X54" s="4"/>
      <c r="Y54" s="4"/>
      <c r="Z54" s="4"/>
      <c r="AA54" s="4"/>
      <c r="AC54" s="90"/>
    </row>
    <row r="55" spans="1:32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297" t="s">
        <v>45</v>
      </c>
      <c r="P55" s="297"/>
      <c r="Q55" s="297"/>
      <c r="R55" s="297"/>
      <c r="S55" s="297"/>
      <c r="T55" s="297"/>
      <c r="U55" s="297"/>
      <c r="V55" s="297"/>
      <c r="W55" s="192">
        <f>A20</f>
        <v>45898</v>
      </c>
      <c r="X55" s="192"/>
      <c r="Y55" s="192"/>
      <c r="Z55" s="192"/>
      <c r="AA55" s="192"/>
    </row>
    <row r="56" spans="1:32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4"/>
      <c r="W56" s="4"/>
      <c r="X56" s="4"/>
      <c r="Y56" s="4"/>
      <c r="Z56" s="4"/>
      <c r="AA56" s="4"/>
    </row>
    <row r="57" spans="1:32" ht="19">
      <c r="A57" s="298" t="s">
        <v>47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  <c r="L57" s="299"/>
      <c r="M57" s="299"/>
      <c r="N57" s="299"/>
      <c r="O57" s="299"/>
      <c r="P57" s="299"/>
      <c r="Q57" s="299"/>
      <c r="R57" s="299"/>
      <c r="S57" s="299"/>
      <c r="T57" s="299"/>
      <c r="U57" s="299"/>
      <c r="V57" s="299"/>
      <c r="W57" s="299"/>
      <c r="X57" s="299"/>
      <c r="Y57" s="299"/>
      <c r="Z57" s="299"/>
      <c r="AA57" s="300"/>
    </row>
    <row r="58" spans="1:32" ht="10" customHeight="1">
      <c r="A58" s="25"/>
      <c r="B58" s="25"/>
      <c r="C58" s="25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3"/>
      <c r="O58" s="23"/>
      <c r="P58" s="23"/>
      <c r="Q58" s="25"/>
      <c r="R58" s="25"/>
      <c r="S58" s="25"/>
      <c r="T58" s="26"/>
      <c r="U58" s="26"/>
      <c r="V58" s="26"/>
      <c r="W58" s="26"/>
      <c r="X58" s="26"/>
      <c r="Y58" s="26"/>
      <c r="Z58" s="26"/>
      <c r="AA58" s="26"/>
    </row>
    <row r="59" spans="1:32" ht="18" customHeight="1">
      <c r="A59" s="29" t="s">
        <v>51</v>
      </c>
      <c r="B59" s="25"/>
      <c r="C59" s="25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3"/>
      <c r="O59" s="23"/>
      <c r="P59" s="23"/>
      <c r="Q59" s="25"/>
      <c r="R59" s="25"/>
      <c r="S59" s="25"/>
      <c r="T59" s="26"/>
      <c r="U59" s="26"/>
      <c r="V59" s="26"/>
      <c r="W59" s="26"/>
      <c r="X59" s="26"/>
      <c r="Y59" s="26"/>
      <c r="Z59" s="26"/>
      <c r="AA59" s="26"/>
    </row>
    <row r="60" spans="1:32" ht="18" customHeight="1">
      <c r="A60" s="301" t="s">
        <v>19</v>
      </c>
      <c r="B60" s="302"/>
      <c r="C60" s="302"/>
      <c r="D60" s="239" t="str">
        <f>D8</f>
        <v>K. Mangue - Passion</v>
      </c>
      <c r="E60" s="240"/>
      <c r="F60" s="240"/>
      <c r="G60" s="240"/>
      <c r="H60" s="240"/>
      <c r="I60" s="240"/>
      <c r="J60" s="240"/>
      <c r="K60" s="241"/>
      <c r="L60" s="10"/>
      <c r="M60" s="10"/>
      <c r="N60" s="10"/>
      <c r="O60" s="10"/>
      <c r="P60" s="10"/>
      <c r="Q60" s="303" t="s">
        <v>20</v>
      </c>
      <c r="R60" s="304"/>
      <c r="S60" s="304"/>
      <c r="T60" s="235">
        <f>T8</f>
        <v>0</v>
      </c>
      <c r="U60" s="235"/>
      <c r="V60" s="235"/>
      <c r="W60" s="235"/>
      <c r="X60" s="235"/>
      <c r="Y60" s="235"/>
      <c r="Z60" s="235"/>
      <c r="AA60" s="236"/>
    </row>
    <row r="61" spans="1:32" ht="7" customHeight="1">
      <c r="A61" s="29"/>
      <c r="B61" s="25"/>
      <c r="C61" s="25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3"/>
      <c r="O61" s="23"/>
      <c r="P61" s="23"/>
      <c r="Q61" s="25"/>
      <c r="R61" s="25"/>
      <c r="S61" s="25"/>
      <c r="T61" s="26"/>
      <c r="U61" s="26"/>
      <c r="V61" s="26"/>
      <c r="W61" s="26"/>
      <c r="X61" s="26"/>
      <c r="Y61" s="26"/>
      <c r="Z61" s="26"/>
      <c r="AA61" s="26"/>
    </row>
    <row r="62" spans="1:32" ht="18" customHeight="1">
      <c r="A62" s="150" t="s">
        <v>93</v>
      </c>
      <c r="B62" s="150"/>
      <c r="C62" s="151"/>
      <c r="D62" s="121" t="s">
        <v>37</v>
      </c>
      <c r="E62" s="115"/>
      <c r="F62" s="115"/>
      <c r="G62" s="122"/>
      <c r="H62" s="115" t="s">
        <v>38</v>
      </c>
      <c r="I62" s="115"/>
      <c r="J62" s="115"/>
      <c r="K62" s="116"/>
      <c r="L62" s="27"/>
      <c r="M62" s="27"/>
      <c r="N62" s="27"/>
      <c r="O62" s="27"/>
      <c r="P62" s="27"/>
      <c r="Q62" s="150" t="s">
        <v>93</v>
      </c>
      <c r="R62" s="150"/>
      <c r="S62" s="151"/>
      <c r="T62" s="121" t="s">
        <v>37</v>
      </c>
      <c r="U62" s="115"/>
      <c r="V62" s="115"/>
      <c r="W62" s="122"/>
      <c r="X62" s="115" t="s">
        <v>38</v>
      </c>
      <c r="Y62" s="115"/>
      <c r="Z62" s="115"/>
      <c r="AA62" s="116"/>
      <c r="AD62" s="30"/>
    </row>
    <row r="63" spans="1:32" ht="18" customHeight="1">
      <c r="A63" s="128"/>
      <c r="B63" s="129"/>
      <c r="C63" s="130"/>
      <c r="D63" s="121" t="s">
        <v>97</v>
      </c>
      <c r="E63" s="116"/>
      <c r="F63" s="121" t="str">
        <f>F13</f>
        <v>NIKO</v>
      </c>
      <c r="G63" s="122"/>
      <c r="H63" s="115" t="s">
        <v>98</v>
      </c>
      <c r="I63" s="116"/>
      <c r="J63" s="121" t="s">
        <v>99</v>
      </c>
      <c r="K63" s="116"/>
      <c r="L63" s="27"/>
      <c r="M63" s="27"/>
      <c r="N63" s="27"/>
      <c r="O63" s="27"/>
      <c r="P63" s="27"/>
      <c r="Q63" s="128"/>
      <c r="R63" s="129"/>
      <c r="S63" s="130"/>
      <c r="T63" s="121" t="s">
        <v>97</v>
      </c>
      <c r="U63" s="116"/>
      <c r="V63" s="121" t="str">
        <f>V13</f>
        <v>NIKO</v>
      </c>
      <c r="W63" s="122"/>
      <c r="X63" s="115" t="s">
        <v>98</v>
      </c>
      <c r="Y63" s="116"/>
      <c r="Z63" s="121" t="s">
        <v>99</v>
      </c>
      <c r="AA63" s="116"/>
    </row>
    <row r="64" spans="1:32" ht="18" customHeight="1">
      <c r="A64" s="131" t="s">
        <v>24</v>
      </c>
      <c r="B64" s="132"/>
      <c r="C64" s="133"/>
      <c r="D64" s="273">
        <f>ROUNDDOWN(((D14*0.33/$D$16)*($D$50-200-$D$16)/0.33)+D14,0)</f>
        <v>5661</v>
      </c>
      <c r="E64" s="274"/>
      <c r="F64" s="121">
        <f t="shared" ref="F64" si="0">ROUNDDOWN(((F14*0.33/$D$16)*($D$50-200-$D$16)/0.33)+F14,0)</f>
        <v>0</v>
      </c>
      <c r="G64" s="122"/>
      <c r="H64" s="278">
        <f>ROUNDDOWN(((H14*0.75/$D$16)*($D$50-200-$D$16)/0.75)+H14,0)</f>
        <v>2003</v>
      </c>
      <c r="I64" s="116"/>
      <c r="J64" s="121">
        <f>ROUNDDOWN(((J14*0.75/$D$16)*($D$50-200-$D$16)/0.75)+J14,0)</f>
        <v>2144</v>
      </c>
      <c r="K64" s="116"/>
      <c r="L64" s="28"/>
      <c r="M64" s="28"/>
      <c r="N64" s="28"/>
      <c r="O64" s="28"/>
      <c r="P64" s="28"/>
      <c r="Q64" s="131" t="s">
        <v>24</v>
      </c>
      <c r="R64" s="132"/>
      <c r="S64" s="133"/>
      <c r="T64" s="273" t="e">
        <f>ROUNDDOWN(((T14*0.33/$T$16)*($V$50-200-$T$16)/0.33)+T14,0)</f>
        <v>#DIV/0!</v>
      </c>
      <c r="U64" s="274"/>
      <c r="V64" s="121" t="e">
        <f t="shared" ref="V64" si="1">ROUNDDOWN(((V14*0.33/$T$16)*($V$50-200-$T$16)/0.33)+V14,0)</f>
        <v>#DIV/0!</v>
      </c>
      <c r="W64" s="122"/>
      <c r="X64" s="278" t="e">
        <f>ROUNDDOWN(((X14*0.75/$T$16)*($V$50-200-$T$16)/0.75)+X14,0)</f>
        <v>#DIV/0!</v>
      </c>
      <c r="Y64" s="116"/>
      <c r="Z64" s="121" t="e">
        <f>ROUNDDOWN(((Z14*0.75/$T$16)*($V$50-200-$T$16)/0.75)+Z14,0)</f>
        <v>#DIV/0!</v>
      </c>
      <c r="AA64" s="116"/>
      <c r="AD64" s="86"/>
    </row>
    <row r="65" spans="1:30" ht="18" customHeight="1">
      <c r="A65" s="131" t="s">
        <v>26</v>
      </c>
      <c r="B65" s="132"/>
      <c r="C65" s="133"/>
      <c r="D65" s="121">
        <f>ROUNDDOWN(D64/12,0)</f>
        <v>471</v>
      </c>
      <c r="E65" s="116"/>
      <c r="F65" s="121">
        <f t="shared" ref="F65" si="2">ROUNDDOWN(F64/12,0)</f>
        <v>0</v>
      </c>
      <c r="G65" s="122"/>
      <c r="H65" s="278">
        <f>ROUNDDOWN(H64/6,0)</f>
        <v>333</v>
      </c>
      <c r="I65" s="116"/>
      <c r="J65" s="121">
        <f>ROUNDDOWN(J64/4,0)</f>
        <v>536</v>
      </c>
      <c r="K65" s="116"/>
      <c r="L65" s="27"/>
      <c r="M65" s="27"/>
      <c r="N65" s="27"/>
      <c r="O65" s="27"/>
      <c r="P65" s="27"/>
      <c r="Q65" s="131" t="s">
        <v>26</v>
      </c>
      <c r="R65" s="132"/>
      <c r="S65" s="133"/>
      <c r="T65" s="121" t="e">
        <f>ROUNDDOWN(T64/12,0)</f>
        <v>#DIV/0!</v>
      </c>
      <c r="U65" s="116"/>
      <c r="V65" s="121" t="e">
        <f t="shared" ref="V65" si="3">ROUNDDOWN(V64/12,0)</f>
        <v>#DIV/0!</v>
      </c>
      <c r="W65" s="122"/>
      <c r="X65" s="278" t="e">
        <f>ROUNDDOWN(X64/6,0)</f>
        <v>#DIV/0!</v>
      </c>
      <c r="Y65" s="116"/>
      <c r="Z65" s="121" t="e">
        <f>ROUNDDOWN(Z64/4,0)</f>
        <v>#DIV/0!</v>
      </c>
      <c r="AA65" s="116"/>
      <c r="AD65" s="86"/>
    </row>
    <row r="66" spans="1:30" ht="15" customHeight="1">
      <c r="A66" s="96"/>
      <c r="B66" s="96"/>
      <c r="C66" s="96"/>
      <c r="D66" s="97"/>
      <c r="E66" s="97"/>
      <c r="F66" s="97"/>
      <c r="G66" s="96"/>
      <c r="H66" s="96"/>
      <c r="I66" s="96"/>
      <c r="J66" s="96"/>
      <c r="K66" s="96"/>
      <c r="L66" s="96"/>
      <c r="M66" s="96"/>
      <c r="N66" s="96"/>
      <c r="O66" s="98"/>
      <c r="P66" s="98"/>
      <c r="Q66" s="99"/>
      <c r="R66" s="99"/>
      <c r="S66" s="99"/>
      <c r="T66" s="96"/>
      <c r="U66" s="96"/>
      <c r="V66" s="96"/>
      <c r="W66" s="96"/>
      <c r="X66" s="96"/>
      <c r="Y66" s="96"/>
      <c r="Z66" s="96"/>
      <c r="AA66" s="96"/>
    </row>
    <row r="67" spans="1:30" ht="19">
      <c r="A67" s="298" t="s">
        <v>48</v>
      </c>
      <c r="B67" s="299"/>
      <c r="C67" s="299"/>
      <c r="D67" s="299"/>
      <c r="E67" s="299"/>
      <c r="F67" s="299"/>
      <c r="G67" s="299"/>
      <c r="H67" s="299"/>
      <c r="I67" s="299"/>
      <c r="J67" s="299"/>
      <c r="K67" s="299"/>
      <c r="L67" s="299"/>
      <c r="M67" s="299"/>
      <c r="N67" s="299"/>
      <c r="O67" s="299"/>
      <c r="P67" s="299"/>
      <c r="Q67" s="299"/>
      <c r="R67" s="299"/>
      <c r="S67" s="299"/>
      <c r="T67" s="299"/>
      <c r="U67" s="299"/>
      <c r="V67" s="299"/>
      <c r="W67" s="299"/>
      <c r="X67" s="299"/>
      <c r="Y67" s="299"/>
      <c r="Z67" s="299"/>
      <c r="AA67" s="300"/>
    </row>
    <row r="68" spans="1:30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0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30" ht="14.25" customHeight="1">
      <c r="A70" s="267" t="str">
        <f>A8</f>
        <v>Produit 1 :</v>
      </c>
      <c r="B70" s="268"/>
      <c r="C70" s="268"/>
      <c r="D70" s="275" t="str">
        <f>D8</f>
        <v>K. Mangue - Passion</v>
      </c>
      <c r="E70" s="275"/>
      <c r="F70" s="275"/>
      <c r="G70" s="275"/>
      <c r="H70" s="275"/>
      <c r="I70" s="275"/>
      <c r="J70" s="275"/>
      <c r="K70" s="276"/>
      <c r="L70" s="7"/>
      <c r="M70" s="7"/>
      <c r="N70" s="7"/>
      <c r="O70" s="7"/>
      <c r="P70" s="7"/>
      <c r="Q70" s="295" t="str">
        <f>Q8</f>
        <v>Produit 2 :</v>
      </c>
      <c r="R70" s="296"/>
      <c r="S70" s="296"/>
      <c r="T70" s="324">
        <f>T8</f>
        <v>0</v>
      </c>
      <c r="U70" s="324"/>
      <c r="V70" s="324"/>
      <c r="W70" s="324"/>
      <c r="X70" s="324"/>
      <c r="Y70" s="324"/>
      <c r="Z70" s="324"/>
      <c r="AA70" s="325"/>
    </row>
    <row r="71" spans="1:30" ht="14.2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7"/>
      <c r="M71" s="7"/>
      <c r="N71" s="7"/>
      <c r="O71" s="7"/>
      <c r="P71" s="7"/>
      <c r="Q71" s="7"/>
      <c r="R71" s="7"/>
      <c r="S71" s="7"/>
      <c r="T71" s="7"/>
      <c r="U71" s="7"/>
      <c r="V71" s="4"/>
      <c r="W71" s="4"/>
      <c r="X71" s="4"/>
      <c r="Y71" s="4"/>
      <c r="Z71" s="4"/>
      <c r="AA71" s="4"/>
    </row>
    <row r="72" spans="1:30" ht="16" customHeight="1">
      <c r="A72" s="20"/>
      <c r="B72" s="20"/>
      <c r="C72" s="20"/>
      <c r="D72" s="270" t="s">
        <v>37</v>
      </c>
      <c r="E72" s="271"/>
      <c r="F72" s="271"/>
      <c r="G72" s="272"/>
      <c r="H72" s="271" t="s">
        <v>38</v>
      </c>
      <c r="I72" s="271"/>
      <c r="J72" s="271"/>
      <c r="K72" s="314"/>
      <c r="L72" s="7"/>
      <c r="M72" s="7"/>
      <c r="N72" s="7"/>
      <c r="O72" s="7"/>
      <c r="P72" s="7"/>
      <c r="Q72" s="110"/>
      <c r="R72" s="110"/>
      <c r="S72" s="110"/>
      <c r="T72" s="270" t="s">
        <v>37</v>
      </c>
      <c r="U72" s="271"/>
      <c r="V72" s="271"/>
      <c r="W72" s="272"/>
      <c r="X72" s="271" t="s">
        <v>38</v>
      </c>
      <c r="Y72" s="271"/>
      <c r="Z72" s="271"/>
      <c r="AA72" s="314"/>
    </row>
    <row r="73" spans="1:30" ht="16" customHeight="1">
      <c r="A73" s="128"/>
      <c r="B73" s="129"/>
      <c r="C73" s="130"/>
      <c r="D73" s="121" t="s">
        <v>97</v>
      </c>
      <c r="E73" s="116"/>
      <c r="F73" s="121" t="str">
        <f>F63</f>
        <v>NIKO</v>
      </c>
      <c r="G73" s="122"/>
      <c r="H73" s="115" t="s">
        <v>98</v>
      </c>
      <c r="I73" s="116"/>
      <c r="J73" s="121" t="s">
        <v>99</v>
      </c>
      <c r="K73" s="116"/>
      <c r="L73" s="27"/>
      <c r="M73" s="27"/>
      <c r="N73" s="27"/>
      <c r="O73" s="27"/>
      <c r="P73" s="27"/>
      <c r="Q73" s="128"/>
      <c r="R73" s="129"/>
      <c r="S73" s="130"/>
      <c r="T73" s="121" t="s">
        <v>97</v>
      </c>
      <c r="U73" s="116"/>
      <c r="V73" s="121" t="str">
        <f>V63</f>
        <v>NIKO</v>
      </c>
      <c r="W73" s="122"/>
      <c r="X73" s="115" t="s">
        <v>98</v>
      </c>
      <c r="Y73" s="116"/>
      <c r="Z73" s="121" t="s">
        <v>99</v>
      </c>
      <c r="AA73" s="116"/>
    </row>
    <row r="74" spans="1:30" ht="23" customHeight="1">
      <c r="A74" s="113" t="s">
        <v>26</v>
      </c>
      <c r="B74" s="114"/>
      <c r="C74" s="269"/>
      <c r="D74" s="315" t="s">
        <v>43</v>
      </c>
      <c r="E74" s="277"/>
      <c r="F74" s="315" t="s">
        <v>43</v>
      </c>
      <c r="G74" s="316"/>
      <c r="H74" s="277" t="s">
        <v>43</v>
      </c>
      <c r="I74" s="277"/>
      <c r="J74" s="315" t="s">
        <v>43</v>
      </c>
      <c r="K74" s="317"/>
      <c r="L74" s="7"/>
      <c r="M74" s="7"/>
      <c r="N74" s="7"/>
      <c r="O74" s="7"/>
      <c r="P74" s="7"/>
      <c r="Q74" s="103" t="s">
        <v>26</v>
      </c>
      <c r="R74" s="104"/>
      <c r="S74" s="105"/>
      <c r="T74" s="315" t="s">
        <v>43</v>
      </c>
      <c r="U74" s="277"/>
      <c r="V74" s="315" t="s">
        <v>43</v>
      </c>
      <c r="W74" s="316"/>
      <c r="X74" s="277" t="s">
        <v>43</v>
      </c>
      <c r="Y74" s="277"/>
      <c r="Z74" s="315" t="s">
        <v>43</v>
      </c>
      <c r="AA74" s="317"/>
    </row>
    <row r="75" spans="1:30" ht="23" customHeight="1">
      <c r="A75" s="262" t="s">
        <v>50</v>
      </c>
      <c r="B75" s="263"/>
      <c r="C75" s="264"/>
      <c r="D75" s="315" t="s">
        <v>43</v>
      </c>
      <c r="E75" s="277"/>
      <c r="F75" s="315" t="s">
        <v>43</v>
      </c>
      <c r="G75" s="316"/>
      <c r="H75" s="277" t="s">
        <v>43</v>
      </c>
      <c r="I75" s="277"/>
      <c r="J75" s="309" t="s">
        <v>43</v>
      </c>
      <c r="K75" s="310"/>
      <c r="L75" s="7"/>
      <c r="M75" s="7"/>
      <c r="N75" s="7"/>
      <c r="O75" s="7"/>
      <c r="P75" s="7"/>
      <c r="Q75" s="106" t="s">
        <v>50</v>
      </c>
      <c r="R75" s="107"/>
      <c r="S75" s="108"/>
      <c r="T75" s="315" t="s">
        <v>43</v>
      </c>
      <c r="U75" s="277"/>
      <c r="V75" s="315" t="s">
        <v>43</v>
      </c>
      <c r="W75" s="316"/>
      <c r="X75" s="277" t="s">
        <v>43</v>
      </c>
      <c r="Y75" s="277"/>
      <c r="Z75" s="309" t="s">
        <v>43</v>
      </c>
      <c r="AA75" s="310"/>
    </row>
    <row r="76" spans="1:30" ht="23" customHeight="1">
      <c r="A76" s="257" t="s">
        <v>44</v>
      </c>
      <c r="B76" s="258"/>
      <c r="C76" s="258"/>
      <c r="D76" s="259">
        <f>D10</f>
        <v>46263</v>
      </c>
      <c r="E76" s="260"/>
      <c r="F76" s="260"/>
      <c r="G76" s="261"/>
      <c r="H76" s="319">
        <f>D76</f>
        <v>46263</v>
      </c>
      <c r="I76" s="319"/>
      <c r="J76" s="319"/>
      <c r="K76" s="320"/>
      <c r="L76" s="4"/>
      <c r="M76" s="4"/>
      <c r="N76" s="4"/>
      <c r="O76" s="4"/>
      <c r="P76" s="4"/>
      <c r="Q76" s="101" t="s">
        <v>44</v>
      </c>
      <c r="R76" s="102"/>
      <c r="S76" s="102"/>
      <c r="T76" s="259">
        <f>D10</f>
        <v>46263</v>
      </c>
      <c r="U76" s="260"/>
      <c r="V76" s="260"/>
      <c r="W76" s="261"/>
      <c r="X76" s="307">
        <f>D10</f>
        <v>46263</v>
      </c>
      <c r="Y76" s="307"/>
      <c r="Z76" s="307"/>
      <c r="AA76" s="308"/>
    </row>
    <row r="77" spans="1:30" ht="23" customHeight="1">
      <c r="A77" s="109" t="s">
        <v>96</v>
      </c>
      <c r="B77" s="109"/>
      <c r="C77" s="109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"/>
      <c r="O77" s="4"/>
      <c r="P77" s="4"/>
      <c r="Q77" s="100" t="s">
        <v>96</v>
      </c>
      <c r="R77" s="100"/>
      <c r="S77" s="100"/>
      <c r="T77" s="47"/>
      <c r="U77" s="47"/>
      <c r="V77" s="47"/>
      <c r="W77" s="47"/>
      <c r="X77" s="47"/>
      <c r="Y77" s="47"/>
      <c r="Z77" s="47"/>
      <c r="AA77" s="47"/>
    </row>
    <row r="78" spans="1:30" ht="23" customHeight="1">
      <c r="A78" s="145" t="s">
        <v>95</v>
      </c>
      <c r="B78" s="145"/>
      <c r="C78" s="145"/>
      <c r="D78" s="313" t="s">
        <v>64</v>
      </c>
      <c r="E78" s="312"/>
      <c r="F78" s="313" t="s">
        <v>64</v>
      </c>
      <c r="G78" s="318"/>
      <c r="H78" s="311" t="s">
        <v>64</v>
      </c>
      <c r="I78" s="312"/>
      <c r="J78" s="313" t="s">
        <v>64</v>
      </c>
      <c r="K78" s="312"/>
      <c r="L78" s="94"/>
      <c r="M78" s="94"/>
      <c r="N78" s="7"/>
      <c r="O78" s="7"/>
      <c r="P78" s="7"/>
      <c r="Q78" s="146" t="s">
        <v>95</v>
      </c>
      <c r="R78" s="146"/>
      <c r="S78" s="146"/>
      <c r="T78" s="313" t="s">
        <v>64</v>
      </c>
      <c r="U78" s="312"/>
      <c r="V78" s="313" t="s">
        <v>64</v>
      </c>
      <c r="W78" s="318"/>
      <c r="X78" s="311" t="s">
        <v>64</v>
      </c>
      <c r="Y78" s="312"/>
      <c r="Z78" s="313" t="s">
        <v>64</v>
      </c>
      <c r="AA78" s="312"/>
    </row>
    <row r="79" spans="1:30" ht="23" customHeight="1">
      <c r="A79" s="145" t="s">
        <v>62</v>
      </c>
      <c r="B79" s="145"/>
      <c r="C79" s="145"/>
      <c r="D79" s="313" t="s">
        <v>64</v>
      </c>
      <c r="E79" s="312"/>
      <c r="F79" s="313" t="s">
        <v>64</v>
      </c>
      <c r="G79" s="318"/>
      <c r="H79" s="311" t="s">
        <v>64</v>
      </c>
      <c r="I79" s="312"/>
      <c r="J79" s="313" t="s">
        <v>64</v>
      </c>
      <c r="K79" s="312"/>
      <c r="L79" s="94"/>
      <c r="M79" s="94"/>
      <c r="N79" s="7"/>
      <c r="O79" s="7"/>
      <c r="P79" s="7"/>
      <c r="Q79" s="147" t="s">
        <v>62</v>
      </c>
      <c r="R79" s="148"/>
      <c r="S79" s="149"/>
      <c r="T79" s="313" t="s">
        <v>64</v>
      </c>
      <c r="U79" s="312"/>
      <c r="V79" s="313" t="s">
        <v>64</v>
      </c>
      <c r="W79" s="318"/>
      <c r="X79" s="311" t="s">
        <v>64</v>
      </c>
      <c r="Y79" s="312"/>
      <c r="Z79" s="313" t="s">
        <v>64</v>
      </c>
      <c r="AA79" s="312"/>
    </row>
    <row r="80" spans="1:30" ht="23" customHeight="1">
      <c r="A80" s="113" t="s">
        <v>63</v>
      </c>
      <c r="B80" s="114"/>
      <c r="C80" s="114"/>
      <c r="D80" s="313" t="s">
        <v>64</v>
      </c>
      <c r="E80" s="312"/>
      <c r="F80" s="313" t="s">
        <v>64</v>
      </c>
      <c r="G80" s="318"/>
      <c r="H80" s="311" t="s">
        <v>64</v>
      </c>
      <c r="I80" s="312"/>
      <c r="J80" s="313" t="s">
        <v>64</v>
      </c>
      <c r="K80" s="312"/>
      <c r="L80" s="94"/>
      <c r="M80" s="94"/>
      <c r="N80" s="7"/>
      <c r="O80" s="7"/>
      <c r="P80" s="7"/>
      <c r="Q80" s="321" t="s">
        <v>63</v>
      </c>
      <c r="R80" s="322"/>
      <c r="S80" s="323"/>
      <c r="T80" s="313" t="s">
        <v>64</v>
      </c>
      <c r="U80" s="312"/>
      <c r="V80" s="313" t="s">
        <v>64</v>
      </c>
      <c r="W80" s="318"/>
      <c r="X80" s="311" t="s">
        <v>64</v>
      </c>
      <c r="Y80" s="312"/>
      <c r="Z80" s="313" t="s">
        <v>64</v>
      </c>
      <c r="AA80" s="312"/>
    </row>
    <row r="81" spans="1:27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25" customHeight="1">
      <c r="A83" s="48" t="s">
        <v>25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50"/>
    </row>
    <row r="84" spans="1:27" ht="14.25" customHeight="1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3"/>
    </row>
    <row r="85" spans="1:27" ht="14.25" customHeight="1">
      <c r="A85" s="51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3"/>
    </row>
    <row r="86" spans="1:27" ht="14.25" customHeight="1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3"/>
    </row>
    <row r="87" spans="1:27" ht="14.25" customHeight="1">
      <c r="A87" s="51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3"/>
    </row>
    <row r="88" spans="1:27" ht="14.25" customHeight="1">
      <c r="A88" s="54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6"/>
    </row>
    <row r="89" spans="1:27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25" customHeight="1">
      <c r="A90" s="48" t="s">
        <v>27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50"/>
    </row>
    <row r="91" spans="1:27" ht="14.25" customHeight="1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3"/>
    </row>
    <row r="92" spans="1:27" ht="14.25" customHeight="1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3"/>
    </row>
    <row r="93" spans="1:27" ht="48" customHeight="1">
      <c r="A93" s="54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6"/>
    </row>
    <row r="94" spans="1:27" ht="14.25" customHeight="1"/>
    <row r="95" spans="1:27" ht="14.25" customHeight="1"/>
    <row r="96" spans="1:27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271">
    <mergeCell ref="Q80:S80"/>
    <mergeCell ref="T64:U64"/>
    <mergeCell ref="V64:W64"/>
    <mergeCell ref="X64:Y64"/>
    <mergeCell ref="Z64:AA64"/>
    <mergeCell ref="X72:AA72"/>
    <mergeCell ref="T70:AA70"/>
    <mergeCell ref="D80:E80"/>
    <mergeCell ref="F80:G80"/>
    <mergeCell ref="H80:I80"/>
    <mergeCell ref="J80:K80"/>
    <mergeCell ref="T78:U78"/>
    <mergeCell ref="V78:W78"/>
    <mergeCell ref="X78:Y78"/>
    <mergeCell ref="Z78:AA78"/>
    <mergeCell ref="T79:U79"/>
    <mergeCell ref="V79:W79"/>
    <mergeCell ref="X79:Y79"/>
    <mergeCell ref="Z79:AA79"/>
    <mergeCell ref="T80:U80"/>
    <mergeCell ref="V80:W80"/>
    <mergeCell ref="X80:Y80"/>
    <mergeCell ref="Z80:AA80"/>
    <mergeCell ref="D78:E78"/>
    <mergeCell ref="F78:G78"/>
    <mergeCell ref="T76:W76"/>
    <mergeCell ref="H76:K76"/>
    <mergeCell ref="D79:E79"/>
    <mergeCell ref="F79:G79"/>
    <mergeCell ref="H79:I79"/>
    <mergeCell ref="J79:K79"/>
    <mergeCell ref="T75:U75"/>
    <mergeCell ref="V75:W75"/>
    <mergeCell ref="J75:K75"/>
    <mergeCell ref="X75:Y75"/>
    <mergeCell ref="X76:AA76"/>
    <mergeCell ref="Z75:AA75"/>
    <mergeCell ref="H78:I78"/>
    <mergeCell ref="J78:K78"/>
    <mergeCell ref="A67:AA67"/>
    <mergeCell ref="H72:K72"/>
    <mergeCell ref="V65:W65"/>
    <mergeCell ref="X65:Y65"/>
    <mergeCell ref="D74:E74"/>
    <mergeCell ref="F74:G74"/>
    <mergeCell ref="H74:I74"/>
    <mergeCell ref="J74:K74"/>
    <mergeCell ref="D75:E75"/>
    <mergeCell ref="F75:G75"/>
    <mergeCell ref="Q73:S73"/>
    <mergeCell ref="T73:U73"/>
    <mergeCell ref="V73:W73"/>
    <mergeCell ref="V74:W74"/>
    <mergeCell ref="X74:Y74"/>
    <mergeCell ref="Z74:AA74"/>
    <mergeCell ref="T74:U74"/>
    <mergeCell ref="T65:U65"/>
    <mergeCell ref="Z65:AA65"/>
    <mergeCell ref="X73:Y73"/>
    <mergeCell ref="T72:W72"/>
    <mergeCell ref="Q70:S70"/>
    <mergeCell ref="Z73:AA73"/>
    <mergeCell ref="Y23:AA23"/>
    <mergeCell ref="T63:U63"/>
    <mergeCell ref="O55:V55"/>
    <mergeCell ref="A57:AA57"/>
    <mergeCell ref="X63:Y63"/>
    <mergeCell ref="Z63:AA63"/>
    <mergeCell ref="X62:AA62"/>
    <mergeCell ref="A60:C60"/>
    <mergeCell ref="D60:K60"/>
    <mergeCell ref="Q60:S60"/>
    <mergeCell ref="T60:AA60"/>
    <mergeCell ref="A50:C50"/>
    <mergeCell ref="A48:B48"/>
    <mergeCell ref="V44:AA44"/>
    <mergeCell ref="S50:U50"/>
    <mergeCell ref="S51:U51"/>
    <mergeCell ref="V50:AA50"/>
    <mergeCell ref="A49:C49"/>
    <mergeCell ref="Y34:AA34"/>
    <mergeCell ref="D41:I41"/>
    <mergeCell ref="Y29:AA29"/>
    <mergeCell ref="Y30:AA30"/>
    <mergeCell ref="Y31:AA31"/>
    <mergeCell ref="Y32:AA32"/>
    <mergeCell ref="Y33:AA33"/>
    <mergeCell ref="D43:I43"/>
    <mergeCell ref="D44:I44"/>
    <mergeCell ref="H62:K62"/>
    <mergeCell ref="S49:U49"/>
    <mergeCell ref="M50:P50"/>
    <mergeCell ref="D51:I51"/>
    <mergeCell ref="Q65:S65"/>
    <mergeCell ref="A29:F29"/>
    <mergeCell ref="A43:C43"/>
    <mergeCell ref="A41:C41"/>
    <mergeCell ref="H64:I64"/>
    <mergeCell ref="J64:K64"/>
    <mergeCell ref="D49:I49"/>
    <mergeCell ref="F48:G48"/>
    <mergeCell ref="G30:H30"/>
    <mergeCell ref="H36:I36"/>
    <mergeCell ref="A30:F30"/>
    <mergeCell ref="A36:G36"/>
    <mergeCell ref="D42:I42"/>
    <mergeCell ref="D50:I50"/>
    <mergeCell ref="Q62:S62"/>
    <mergeCell ref="F63:G63"/>
    <mergeCell ref="H63:I63"/>
    <mergeCell ref="A42:C42"/>
    <mergeCell ref="A44:C44"/>
    <mergeCell ref="S41:U41"/>
    <mergeCell ref="K31:L31"/>
    <mergeCell ref="A32:F32"/>
    <mergeCell ref="D73:E73"/>
    <mergeCell ref="F73:G73"/>
    <mergeCell ref="H73:I73"/>
    <mergeCell ref="J73:K73"/>
    <mergeCell ref="H75:I75"/>
    <mergeCell ref="D65:E65"/>
    <mergeCell ref="F65:G65"/>
    <mergeCell ref="H65:I65"/>
    <mergeCell ref="J65:K65"/>
    <mergeCell ref="D21:E21"/>
    <mergeCell ref="F21:G21"/>
    <mergeCell ref="W21:X21"/>
    <mergeCell ref="J19:K19"/>
    <mergeCell ref="D22:E22"/>
    <mergeCell ref="F22:G22"/>
    <mergeCell ref="H22:I22"/>
    <mergeCell ref="Q64:S64"/>
    <mergeCell ref="A76:C76"/>
    <mergeCell ref="D76:G76"/>
    <mergeCell ref="A75:C75"/>
    <mergeCell ref="A51:C51"/>
    <mergeCell ref="A70:C70"/>
    <mergeCell ref="A65:C65"/>
    <mergeCell ref="A63:C63"/>
    <mergeCell ref="A62:C62"/>
    <mergeCell ref="D62:G62"/>
    <mergeCell ref="A74:C74"/>
    <mergeCell ref="D72:G72"/>
    <mergeCell ref="A64:C64"/>
    <mergeCell ref="D64:E64"/>
    <mergeCell ref="F64:G64"/>
    <mergeCell ref="D70:K70"/>
    <mergeCell ref="A73:C73"/>
    <mergeCell ref="W1:AA1"/>
    <mergeCell ref="W2:AA2"/>
    <mergeCell ref="W3:AA3"/>
    <mergeCell ref="W4:AA4"/>
    <mergeCell ref="A1:V4"/>
    <mergeCell ref="A6:AA6"/>
    <mergeCell ref="A8:C8"/>
    <mergeCell ref="T8:AA8"/>
    <mergeCell ref="Q8:S8"/>
    <mergeCell ref="D8:K8"/>
    <mergeCell ref="D63:E63"/>
    <mergeCell ref="W19:X19"/>
    <mergeCell ref="J63:K63"/>
    <mergeCell ref="Q63:S63"/>
    <mergeCell ref="G29:H29"/>
    <mergeCell ref="V41:AA41"/>
    <mergeCell ref="W55:AA55"/>
    <mergeCell ref="V51:AA51"/>
    <mergeCell ref="V63:W63"/>
    <mergeCell ref="W23:X23"/>
    <mergeCell ref="J23:K23"/>
    <mergeCell ref="E24:H24"/>
    <mergeCell ref="G32:H32"/>
    <mergeCell ref="A31:F31"/>
    <mergeCell ref="G31:H31"/>
    <mergeCell ref="A37:G37"/>
    <mergeCell ref="L20:M20"/>
    <mergeCell ref="A19:C19"/>
    <mergeCell ref="D20:E20"/>
    <mergeCell ref="F20:G20"/>
    <mergeCell ref="Y20:AA20"/>
    <mergeCell ref="Y21:AA21"/>
    <mergeCell ref="Y22:AA22"/>
    <mergeCell ref="W22:X22"/>
    <mergeCell ref="F14:G14"/>
    <mergeCell ref="H14:I14"/>
    <mergeCell ref="J14:K14"/>
    <mergeCell ref="V14:W14"/>
    <mergeCell ref="X14:Y14"/>
    <mergeCell ref="F15:G15"/>
    <mergeCell ref="H15:I15"/>
    <mergeCell ref="Y19:AA19"/>
    <mergeCell ref="L19:M19"/>
    <mergeCell ref="A18:AA18"/>
    <mergeCell ref="D16:K16"/>
    <mergeCell ref="Q16:S16"/>
    <mergeCell ref="T16:AA16"/>
    <mergeCell ref="Q14:S14"/>
    <mergeCell ref="D19:E19"/>
    <mergeCell ref="F19:G19"/>
    <mergeCell ref="H19:I19"/>
    <mergeCell ref="L10:N10"/>
    <mergeCell ref="O10:R10"/>
    <mergeCell ref="A16:C16"/>
    <mergeCell ref="A20:C20"/>
    <mergeCell ref="A21:C21"/>
    <mergeCell ref="A22:C22"/>
    <mergeCell ref="H21:I21"/>
    <mergeCell ref="L21:M21"/>
    <mergeCell ref="J15:K15"/>
    <mergeCell ref="D14:E14"/>
    <mergeCell ref="N22:V22"/>
    <mergeCell ref="J22:K22"/>
    <mergeCell ref="A13:C13"/>
    <mergeCell ref="A15:C15"/>
    <mergeCell ref="L22:M22"/>
    <mergeCell ref="A10:C10"/>
    <mergeCell ref="D10:G10"/>
    <mergeCell ref="J20:K20"/>
    <mergeCell ref="J21:K21"/>
    <mergeCell ref="N19:V19"/>
    <mergeCell ref="N20:V20"/>
    <mergeCell ref="N21:V21"/>
    <mergeCell ref="H20:I20"/>
    <mergeCell ref="V10:Z10"/>
    <mergeCell ref="A79:C79"/>
    <mergeCell ref="Q78:S78"/>
    <mergeCell ref="Q79:S79"/>
    <mergeCell ref="T62:W62"/>
    <mergeCell ref="H12:K12"/>
    <mergeCell ref="Q12:S12"/>
    <mergeCell ref="A12:C12"/>
    <mergeCell ref="D12:G12"/>
    <mergeCell ref="T12:W12"/>
    <mergeCell ref="V49:AA49"/>
    <mergeCell ref="Y48:Z48"/>
    <mergeCell ref="S42:U42"/>
    <mergeCell ref="S43:U43"/>
    <mergeCell ref="S44:U44"/>
    <mergeCell ref="V42:AA42"/>
    <mergeCell ref="V43:AA43"/>
    <mergeCell ref="W25:Z25"/>
    <mergeCell ref="A78:C78"/>
    <mergeCell ref="T13:U13"/>
    <mergeCell ref="V13:W13"/>
    <mergeCell ref="X13:Y13"/>
    <mergeCell ref="Z13:AA13"/>
    <mergeCell ref="H37:I37"/>
    <mergeCell ref="A14:C14"/>
    <mergeCell ref="A80:C80"/>
    <mergeCell ref="X12:AA12"/>
    <mergeCell ref="J50:K50"/>
    <mergeCell ref="Z14:AA14"/>
    <mergeCell ref="D13:E13"/>
    <mergeCell ref="F13:G13"/>
    <mergeCell ref="H13:I13"/>
    <mergeCell ref="M12:O16"/>
    <mergeCell ref="T15:U15"/>
    <mergeCell ref="V15:W15"/>
    <mergeCell ref="X15:Y15"/>
    <mergeCell ref="Z15:AA15"/>
    <mergeCell ref="Q13:S13"/>
    <mergeCell ref="Q15:S15"/>
    <mergeCell ref="D15:E15"/>
    <mergeCell ref="A23:C23"/>
    <mergeCell ref="D23:E23"/>
    <mergeCell ref="F23:G23"/>
    <mergeCell ref="H23:I23"/>
    <mergeCell ref="L23:M23"/>
    <mergeCell ref="N23:V23"/>
    <mergeCell ref="W20:X20"/>
    <mergeCell ref="T14:U14"/>
    <mergeCell ref="J13:K13"/>
  </mergeCells>
  <phoneticPr fontId="15" type="noConversion"/>
  <conditionalFormatting sqref="M12:O16">
    <cfRule type="containsText" dxfId="1" priority="1" operator="containsText" text="Attention">
      <formula>NOT(ISERROR(SEARCH("Attention",M12)))</formula>
    </cfRule>
    <cfRule type="containsText" dxfId="0" priority="2" stopIfTrue="1" operator="containsText" text="SEMBLE">
      <formula>NOT(ISERROR(SEARCH("SEMBLE",M12)))</formula>
    </cfRule>
  </conditionalFormatting>
  <dataValidations count="1">
    <dataValidation type="list" allowBlank="1" showInputMessage="1" showErrorMessage="1" sqref="K31:L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D8 D60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T8 T60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86D6-D333-E544-B30A-DDFC7B781E95}">
  <dimension ref="A1:J41"/>
  <sheetViews>
    <sheetView topLeftCell="A5" workbookViewId="0">
      <selection activeCell="G2" sqref="G2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111" t="s">
        <v>102</v>
      </c>
      <c r="B1" s="111" t="s">
        <v>103</v>
      </c>
      <c r="C1" s="111" t="s">
        <v>104</v>
      </c>
      <c r="D1" s="111" t="s">
        <v>105</v>
      </c>
      <c r="F1" s="111" t="s">
        <v>111</v>
      </c>
      <c r="G1" s="111">
        <f>'Fiche de production 7000 L'!D43</f>
        <v>3057.9411999999998</v>
      </c>
      <c r="I1" s="111" t="s">
        <v>113</v>
      </c>
      <c r="J1" s="111">
        <f>'Fiche de production 7000 L'!V43</f>
        <v>0</v>
      </c>
    </row>
    <row r="2" spans="1:10">
      <c r="A2" s="82">
        <v>0</v>
      </c>
      <c r="B2" s="112">
        <v>0</v>
      </c>
      <c r="C2">
        <v>0</v>
      </c>
      <c r="F2" t="s">
        <v>106</v>
      </c>
      <c r="G2" s="82" cm="1">
        <f t="array" ref="G2">MAX(IF(A:A&lt;=G1,A:A))</f>
        <v>3000</v>
      </c>
      <c r="I2" t="s">
        <v>106</v>
      </c>
      <c r="J2" s="82" cm="1">
        <f t="array" ref="J2">MAX(IF(A:A&lt;=J1,A:A))</f>
        <v>0</v>
      </c>
    </row>
    <row r="3" spans="1:10">
      <c r="A3" s="82">
        <v>100</v>
      </c>
      <c r="B3" s="112">
        <v>6.5</v>
      </c>
      <c r="C3">
        <f>A3-A2</f>
        <v>100</v>
      </c>
      <c r="D3">
        <f>B3-B2</f>
        <v>6.5</v>
      </c>
      <c r="F3" t="s">
        <v>107</v>
      </c>
      <c r="G3" s="82" cm="1">
        <f t="array" ref="G3">MIN(IF(A:A&gt;=G1,A:A))</f>
        <v>3250</v>
      </c>
      <c r="I3" t="s">
        <v>107</v>
      </c>
      <c r="J3" s="82" cm="1">
        <f t="array" ref="J3">MIN(IF(A:A&gt;=J1,A:A))</f>
        <v>0</v>
      </c>
    </row>
    <row r="4" spans="1:10">
      <c r="A4" s="82">
        <v>150</v>
      </c>
      <c r="B4" s="112">
        <v>10</v>
      </c>
      <c r="C4">
        <f t="shared" ref="C4:D29" si="0">A4-A3</f>
        <v>50</v>
      </c>
      <c r="D4">
        <f t="shared" si="0"/>
        <v>3.5</v>
      </c>
      <c r="F4" t="s">
        <v>108</v>
      </c>
      <c r="G4" s="82">
        <f>_xlfn.XLOOKUP(G2,A:A,B:B)</f>
        <v>154.5</v>
      </c>
      <c r="I4" t="s">
        <v>108</v>
      </c>
      <c r="J4" s="82">
        <f>_xlfn.XLOOKUP(J2,A:A,B:B)</f>
        <v>0</v>
      </c>
    </row>
    <row r="5" spans="1:10">
      <c r="A5" s="82">
        <v>200</v>
      </c>
      <c r="B5" s="112">
        <v>13.3</v>
      </c>
      <c r="C5">
        <f t="shared" si="0"/>
        <v>50</v>
      </c>
      <c r="D5">
        <f t="shared" si="0"/>
        <v>3.3000000000000007</v>
      </c>
      <c r="F5" t="s">
        <v>109</v>
      </c>
      <c r="G5" s="82">
        <f>_xlfn.XLOOKUP(G3,A:A,B:B)</f>
        <v>167</v>
      </c>
      <c r="I5" t="s">
        <v>109</v>
      </c>
      <c r="J5" s="82">
        <f>_xlfn.XLOOKUP(J3,A:A,B:B)</f>
        <v>0</v>
      </c>
    </row>
    <row r="6" spans="1:10">
      <c r="A6" s="82">
        <v>250</v>
      </c>
      <c r="B6" s="112">
        <v>16.2</v>
      </c>
      <c r="C6">
        <f t="shared" si="0"/>
        <v>50</v>
      </c>
      <c r="D6">
        <f t="shared" si="0"/>
        <v>2.8999999999999986</v>
      </c>
      <c r="F6" s="111" t="s">
        <v>110</v>
      </c>
      <c r="G6">
        <f>G4+(G1-G2)*(G5-G4)/(G3-G2)</f>
        <v>157.39705999999998</v>
      </c>
      <c r="I6" s="111" t="s">
        <v>110</v>
      </c>
      <c r="J6" t="e">
        <f>J4+(J1-J2)*(J5-J4)/(J3-J2)</f>
        <v>#DIV/0!</v>
      </c>
    </row>
    <row r="7" spans="1:10">
      <c r="A7" s="82">
        <v>300.5</v>
      </c>
      <c r="B7" s="112">
        <v>19</v>
      </c>
      <c r="C7">
        <v>50</v>
      </c>
      <c r="D7">
        <f t="shared" si="0"/>
        <v>2.8000000000000007</v>
      </c>
    </row>
    <row r="8" spans="1:10">
      <c r="A8" s="82">
        <v>350.5</v>
      </c>
      <c r="B8" s="112">
        <v>21.7</v>
      </c>
      <c r="C8">
        <f t="shared" si="0"/>
        <v>50</v>
      </c>
      <c r="D8">
        <f t="shared" si="0"/>
        <v>2.6999999999999993</v>
      </c>
    </row>
    <row r="9" spans="1:10">
      <c r="A9" s="82">
        <v>400.5</v>
      </c>
      <c r="B9" s="112">
        <v>24.3</v>
      </c>
      <c r="C9">
        <f t="shared" si="0"/>
        <v>50</v>
      </c>
      <c r="D9">
        <f t="shared" si="0"/>
        <v>2.6000000000000014</v>
      </c>
      <c r="F9" s="111" t="s">
        <v>112</v>
      </c>
      <c r="G9" s="111">
        <f>'Fiche de production 7000 L'!D50</f>
        <v>5178.6612000000005</v>
      </c>
      <c r="I9" s="111" t="s">
        <v>114</v>
      </c>
      <c r="J9" s="111">
        <f>'Fiche de production 7000 L'!V50</f>
        <v>0</v>
      </c>
    </row>
    <row r="10" spans="1:10">
      <c r="A10" s="82">
        <v>451.5</v>
      </c>
      <c r="B10" s="112">
        <v>26.9</v>
      </c>
      <c r="C10">
        <f t="shared" si="0"/>
        <v>51</v>
      </c>
      <c r="D10">
        <f t="shared" si="0"/>
        <v>2.5999999999999979</v>
      </c>
      <c r="F10" t="s">
        <v>106</v>
      </c>
      <c r="G10" s="82" cm="1">
        <f t="array" ref="G10">MAX(IF(A:A&lt;=G9,A:A))</f>
        <v>5100</v>
      </c>
      <c r="I10" t="s">
        <v>106</v>
      </c>
      <c r="J10" s="82" cm="1">
        <f t="array" ref="J10">MAX(IF(A:A&lt;=J9,A:A))</f>
        <v>0</v>
      </c>
    </row>
    <row r="11" spans="1:10">
      <c r="A11" s="82">
        <v>501.5</v>
      </c>
      <c r="B11" s="112">
        <v>29.4</v>
      </c>
      <c r="C11">
        <f t="shared" si="0"/>
        <v>50</v>
      </c>
      <c r="D11">
        <f t="shared" si="0"/>
        <v>2.5</v>
      </c>
      <c r="F11" t="s">
        <v>107</v>
      </c>
      <c r="G11" s="82" cm="1">
        <f t="array" ref="G11">MIN(IF(A:A&gt;=G9,A:A))</f>
        <v>5200</v>
      </c>
      <c r="I11" t="s">
        <v>107</v>
      </c>
      <c r="J11" s="82" cm="1">
        <f t="array" ref="J11">MIN(IF(A:A&gt;=J9,A:A))</f>
        <v>0</v>
      </c>
    </row>
    <row r="12" spans="1:10">
      <c r="A12" s="82">
        <v>551.5</v>
      </c>
      <c r="B12" s="112">
        <v>32</v>
      </c>
      <c r="C12">
        <f t="shared" si="0"/>
        <v>50</v>
      </c>
      <c r="D12">
        <f t="shared" si="0"/>
        <v>2.6000000000000014</v>
      </c>
      <c r="F12" t="s">
        <v>108</v>
      </c>
      <c r="G12" s="82">
        <f>_xlfn.XLOOKUP(G10,A:A,B:B)</f>
        <v>262.5</v>
      </c>
      <c r="I12" t="s">
        <v>108</v>
      </c>
      <c r="J12" s="82">
        <f>_xlfn.XLOOKUP(J10,A:A,B:B)</f>
        <v>0</v>
      </c>
    </row>
    <row r="13" spans="1:10">
      <c r="A13" s="82">
        <v>600</v>
      </c>
      <c r="B13" s="112">
        <v>34.5</v>
      </c>
      <c r="C13">
        <f t="shared" si="0"/>
        <v>48.5</v>
      </c>
      <c r="D13">
        <f t="shared" si="0"/>
        <v>2.5</v>
      </c>
      <c r="F13" t="s">
        <v>109</v>
      </c>
      <c r="G13" s="82">
        <f>_xlfn.XLOOKUP(G11,A:A,B:B)</f>
        <v>269</v>
      </c>
      <c r="I13" t="s">
        <v>109</v>
      </c>
      <c r="J13" s="82">
        <f>_xlfn.XLOOKUP(J11,A:A,B:B)</f>
        <v>0</v>
      </c>
    </row>
    <row r="14" spans="1:10">
      <c r="A14" s="82">
        <v>750</v>
      </c>
      <c r="B14" s="112">
        <f>B13+D14</f>
        <v>42</v>
      </c>
      <c r="C14">
        <f t="shared" si="0"/>
        <v>150</v>
      </c>
      <c r="D14">
        <v>7.5</v>
      </c>
      <c r="F14" s="111" t="s">
        <v>110</v>
      </c>
      <c r="G14">
        <f>G12+(G9-G10)*(G13-G12)/(G11-G10)</f>
        <v>267.61297800000006</v>
      </c>
      <c r="I14" s="111" t="s">
        <v>110</v>
      </c>
      <c r="J14" t="e">
        <f>J12+(J9-J10)*(J13-J12)/(J11-J10)</f>
        <v>#DIV/0!</v>
      </c>
    </row>
    <row r="15" spans="1:10">
      <c r="A15" s="82">
        <v>1000</v>
      </c>
      <c r="B15" s="112">
        <f>B14+D15</f>
        <v>54.5</v>
      </c>
      <c r="C15">
        <f t="shared" si="0"/>
        <v>250</v>
      </c>
      <c r="D15">
        <v>12.5</v>
      </c>
    </row>
    <row r="16" spans="1:10">
      <c r="A16" s="82">
        <v>1250</v>
      </c>
      <c r="B16" s="112">
        <f>B15+50/4</f>
        <v>67</v>
      </c>
      <c r="C16">
        <f t="shared" si="0"/>
        <v>250</v>
      </c>
      <c r="D16" s="112">
        <f>B16-B15</f>
        <v>12.5</v>
      </c>
    </row>
    <row r="17" spans="1:4">
      <c r="A17" s="82">
        <v>1500</v>
      </c>
      <c r="B17" s="112">
        <f t="shared" ref="B17:B29" si="1">B16+50/4</f>
        <v>79.5</v>
      </c>
      <c r="C17">
        <f t="shared" si="0"/>
        <v>250</v>
      </c>
      <c r="D17" s="112">
        <f t="shared" si="0"/>
        <v>12.5</v>
      </c>
    </row>
    <row r="18" spans="1:4">
      <c r="A18" s="82">
        <v>1750</v>
      </c>
      <c r="B18" s="112">
        <f t="shared" si="1"/>
        <v>92</v>
      </c>
      <c r="C18">
        <f t="shared" si="0"/>
        <v>250</v>
      </c>
      <c r="D18" s="112">
        <f t="shared" si="0"/>
        <v>12.5</v>
      </c>
    </row>
    <row r="19" spans="1:4">
      <c r="A19" s="82">
        <v>2000</v>
      </c>
      <c r="B19" s="112">
        <f t="shared" si="1"/>
        <v>104.5</v>
      </c>
      <c r="C19">
        <f t="shared" si="0"/>
        <v>250</v>
      </c>
      <c r="D19" s="112">
        <f t="shared" si="0"/>
        <v>12.5</v>
      </c>
    </row>
    <row r="20" spans="1:4">
      <c r="A20" s="82">
        <v>2250</v>
      </c>
      <c r="B20" s="112">
        <f t="shared" si="1"/>
        <v>117</v>
      </c>
      <c r="C20">
        <f t="shared" si="0"/>
        <v>250</v>
      </c>
      <c r="D20" s="112">
        <f t="shared" si="0"/>
        <v>12.5</v>
      </c>
    </row>
    <row r="21" spans="1:4">
      <c r="A21" s="82">
        <v>2500</v>
      </c>
      <c r="B21" s="112">
        <f t="shared" si="1"/>
        <v>129.5</v>
      </c>
      <c r="C21">
        <f t="shared" si="0"/>
        <v>250</v>
      </c>
      <c r="D21" s="112">
        <f t="shared" si="0"/>
        <v>12.5</v>
      </c>
    </row>
    <row r="22" spans="1:4">
      <c r="A22" s="82">
        <v>2750</v>
      </c>
      <c r="B22" s="112">
        <f t="shared" si="1"/>
        <v>142</v>
      </c>
      <c r="C22">
        <f t="shared" si="0"/>
        <v>250</v>
      </c>
      <c r="D22" s="112">
        <f t="shared" si="0"/>
        <v>12.5</v>
      </c>
    </row>
    <row r="23" spans="1:4">
      <c r="A23" s="82">
        <v>3000</v>
      </c>
      <c r="B23" s="112">
        <f t="shared" si="1"/>
        <v>154.5</v>
      </c>
      <c r="C23">
        <f t="shared" si="0"/>
        <v>250</v>
      </c>
      <c r="D23" s="112">
        <f t="shared" si="0"/>
        <v>12.5</v>
      </c>
    </row>
    <row r="24" spans="1:4">
      <c r="A24" s="82">
        <v>3250</v>
      </c>
      <c r="B24" s="112">
        <f t="shared" si="1"/>
        <v>167</v>
      </c>
      <c r="C24">
        <f t="shared" si="0"/>
        <v>250</v>
      </c>
      <c r="D24" s="112">
        <f t="shared" si="0"/>
        <v>12.5</v>
      </c>
    </row>
    <row r="25" spans="1:4">
      <c r="A25" s="82">
        <v>3500</v>
      </c>
      <c r="B25" s="112">
        <f t="shared" si="1"/>
        <v>179.5</v>
      </c>
      <c r="C25">
        <f t="shared" si="0"/>
        <v>250</v>
      </c>
      <c r="D25" s="112">
        <f t="shared" si="0"/>
        <v>12.5</v>
      </c>
    </row>
    <row r="26" spans="1:4">
      <c r="A26" s="82">
        <v>3750</v>
      </c>
      <c r="B26" s="112">
        <f t="shared" si="1"/>
        <v>192</v>
      </c>
      <c r="C26">
        <f t="shared" si="0"/>
        <v>250</v>
      </c>
      <c r="D26" s="112">
        <f t="shared" si="0"/>
        <v>12.5</v>
      </c>
    </row>
    <row r="27" spans="1:4">
      <c r="A27" s="82">
        <v>4000</v>
      </c>
      <c r="B27" s="112">
        <f t="shared" si="1"/>
        <v>204.5</v>
      </c>
      <c r="C27">
        <f t="shared" si="0"/>
        <v>250</v>
      </c>
      <c r="D27" s="112">
        <f>B27-B26</f>
        <v>12.5</v>
      </c>
    </row>
    <row r="28" spans="1:4">
      <c r="A28" s="82">
        <v>4250</v>
      </c>
      <c r="B28" s="112">
        <f t="shared" si="1"/>
        <v>217</v>
      </c>
      <c r="C28">
        <f t="shared" si="0"/>
        <v>250</v>
      </c>
      <c r="D28" s="112">
        <f t="shared" si="0"/>
        <v>12.5</v>
      </c>
    </row>
    <row r="29" spans="1:4">
      <c r="A29" s="82">
        <v>4500</v>
      </c>
      <c r="B29" s="112">
        <f t="shared" si="1"/>
        <v>229.5</v>
      </c>
      <c r="C29">
        <f t="shared" si="0"/>
        <v>250</v>
      </c>
      <c r="D29" s="112">
        <f t="shared" si="0"/>
        <v>12.5</v>
      </c>
    </row>
    <row r="30" spans="1:4">
      <c r="A30" s="82">
        <v>4600</v>
      </c>
      <c r="B30" s="112">
        <f>D30+B29</f>
        <v>234.5</v>
      </c>
      <c r="C30">
        <v>100</v>
      </c>
      <c r="D30">
        <f>100*12.5/250</f>
        <v>5</v>
      </c>
    </row>
    <row r="31" spans="1:4">
      <c r="A31" s="82">
        <v>4650</v>
      </c>
      <c r="B31" s="112">
        <f>B30+D31</f>
        <v>237</v>
      </c>
      <c r="C31">
        <f>C13</f>
        <v>48.5</v>
      </c>
      <c r="D31">
        <f>D13</f>
        <v>2.5</v>
      </c>
    </row>
    <row r="32" spans="1:4">
      <c r="A32" s="82">
        <v>4700</v>
      </c>
      <c r="B32" s="112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82">
        <v>4750</v>
      </c>
      <c r="B33" s="112">
        <f t="shared" si="2"/>
        <v>242.1</v>
      </c>
      <c r="C33">
        <f>C11</f>
        <v>50</v>
      </c>
      <c r="D33">
        <f>D11</f>
        <v>2.5</v>
      </c>
    </row>
    <row r="34" spans="1:4">
      <c r="A34" s="82">
        <v>4799.5</v>
      </c>
      <c r="B34" s="112">
        <f t="shared" si="2"/>
        <v>244.7</v>
      </c>
      <c r="C34">
        <f>C10</f>
        <v>51</v>
      </c>
      <c r="D34">
        <f>D10</f>
        <v>2.5999999999999979</v>
      </c>
    </row>
    <row r="35" spans="1:4">
      <c r="A35" s="82">
        <v>4849.5</v>
      </c>
      <c r="B35" s="112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82">
        <v>4899.5</v>
      </c>
      <c r="B36" s="112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82">
        <v>4950</v>
      </c>
      <c r="B37" s="112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82">
        <v>5000</v>
      </c>
      <c r="B38" s="112">
        <f t="shared" si="2"/>
        <v>255.7</v>
      </c>
      <c r="C38">
        <f>C6</f>
        <v>50</v>
      </c>
      <c r="D38">
        <f>D6</f>
        <v>2.8999999999999986</v>
      </c>
    </row>
    <row r="39" spans="1:4">
      <c r="A39" s="82">
        <v>5050</v>
      </c>
      <c r="B39" s="112">
        <f t="shared" si="2"/>
        <v>259</v>
      </c>
      <c r="C39">
        <f>C5</f>
        <v>50</v>
      </c>
      <c r="D39">
        <f>D5</f>
        <v>3.3000000000000007</v>
      </c>
    </row>
    <row r="40" spans="1:4">
      <c r="A40" s="82">
        <v>5100</v>
      </c>
      <c r="B40" s="112">
        <f t="shared" si="2"/>
        <v>262.5</v>
      </c>
      <c r="C40">
        <f>C4</f>
        <v>50</v>
      </c>
      <c r="D40">
        <f>D4</f>
        <v>3.5</v>
      </c>
    </row>
    <row r="41" spans="1:4">
      <c r="A41" s="82">
        <v>5200</v>
      </c>
      <c r="B41" s="112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791E-C49E-B04A-9CE6-A0EECD21E65B}">
  <dimension ref="A1:F149"/>
  <sheetViews>
    <sheetView workbookViewId="0">
      <selection activeCell="E6" sqref="E6"/>
    </sheetView>
  </sheetViews>
  <sheetFormatPr baseColWidth="10" defaultRowHeight="15"/>
  <sheetData>
    <row r="1" spans="1:6">
      <c r="A1" s="111" t="s">
        <v>23</v>
      </c>
      <c r="B1" s="111" t="s">
        <v>86</v>
      </c>
      <c r="D1" s="111" t="s">
        <v>111</v>
      </c>
      <c r="E1" s="111" cm="1">
        <f t="array" ref="E1:F1">'Fiche de production 7000 L'!G29:H29</f>
        <v>5201.8</v>
      </c>
      <c r="F1">
        <v>0</v>
      </c>
    </row>
    <row r="2" spans="1:6">
      <c r="A2">
        <v>50</v>
      </c>
      <c r="B2" s="82">
        <v>3.3</v>
      </c>
      <c r="D2" t="s">
        <v>106</v>
      </c>
      <c r="E2" s="82" cm="1">
        <f t="array" ref="E2">MAX(IF(A:A&lt;=E1,A:A))</f>
        <v>5200</v>
      </c>
    </row>
    <row r="3" spans="1:6">
      <c r="A3">
        <v>100</v>
      </c>
      <c r="B3" s="82">
        <v>7.5</v>
      </c>
      <c r="D3" t="s">
        <v>107</v>
      </c>
      <c r="E3" s="82" cm="1">
        <f t="array" ref="E3">MIN(IF(A:A&gt;=E1,A:A))</f>
        <v>5250</v>
      </c>
    </row>
    <row r="4" spans="1:6">
      <c r="A4">
        <v>150</v>
      </c>
      <c r="B4" s="82">
        <v>10.8</v>
      </c>
      <c r="D4" t="s">
        <v>108</v>
      </c>
      <c r="E4" s="82">
        <f>_xlfn.XLOOKUP(E2,A:A,B:B)</f>
        <v>182.21131245700008</v>
      </c>
    </row>
    <row r="5" spans="1:6">
      <c r="A5">
        <v>200</v>
      </c>
      <c r="B5" s="82">
        <v>13.6</v>
      </c>
      <c r="D5" t="s">
        <v>109</v>
      </c>
      <c r="E5" s="82">
        <f>_xlfn.XLOOKUP(E3,A:A,B:B)</f>
        <v>183.88552619103712</v>
      </c>
    </row>
    <row r="6" spans="1:6">
      <c r="A6">
        <v>250</v>
      </c>
      <c r="B6" s="82">
        <v>16</v>
      </c>
      <c r="D6" s="111" t="s">
        <v>110</v>
      </c>
      <c r="E6">
        <f>E4+(E1-E2)*(E5-E4)/(E3-E2)</f>
        <v>182.27158415142543</v>
      </c>
    </row>
    <row r="7" spans="1:6">
      <c r="A7">
        <v>300</v>
      </c>
      <c r="B7" s="82">
        <v>18.2</v>
      </c>
    </row>
    <row r="8" spans="1:6">
      <c r="A8">
        <v>350</v>
      </c>
      <c r="B8" s="82">
        <v>20.399999999999999</v>
      </c>
    </row>
    <row r="9" spans="1:6">
      <c r="A9">
        <v>400</v>
      </c>
      <c r="B9" s="82">
        <v>22.4</v>
      </c>
    </row>
    <row r="10" spans="1:6">
      <c r="A10" s="82">
        <v>428.57142857142861</v>
      </c>
      <c r="B10" s="82">
        <v>24</v>
      </c>
    </row>
    <row r="11" spans="1:6">
      <c r="A11">
        <v>450</v>
      </c>
      <c r="B11" s="82">
        <v>24.3</v>
      </c>
    </row>
    <row r="12" spans="1:6">
      <c r="A12">
        <v>500</v>
      </c>
      <c r="B12" s="82">
        <v>26</v>
      </c>
    </row>
    <row r="13" spans="1:6">
      <c r="A13">
        <v>550</v>
      </c>
      <c r="B13" s="82">
        <v>27.5</v>
      </c>
    </row>
    <row r="14" spans="1:6">
      <c r="A14">
        <v>600</v>
      </c>
      <c r="B14" s="82">
        <v>29.2</v>
      </c>
    </row>
    <row r="15" spans="1:6">
      <c r="A15">
        <v>650</v>
      </c>
      <c r="B15" s="82">
        <v>30.9</v>
      </c>
    </row>
    <row r="16" spans="1:6">
      <c r="A16">
        <v>700</v>
      </c>
      <c r="B16" s="82">
        <v>32.700000000000003</v>
      </c>
    </row>
    <row r="17" spans="1:2">
      <c r="A17">
        <v>750</v>
      </c>
      <c r="B17" s="82">
        <v>34.5</v>
      </c>
    </row>
    <row r="18" spans="1:2">
      <c r="A18">
        <v>800</v>
      </c>
      <c r="B18" s="82">
        <v>36</v>
      </c>
    </row>
    <row r="19" spans="1:2">
      <c r="A19">
        <v>850</v>
      </c>
      <c r="B19" s="82">
        <v>37.6</v>
      </c>
    </row>
    <row r="20" spans="1:2">
      <c r="A20">
        <v>900</v>
      </c>
      <c r="B20" s="82">
        <v>39.299999999999997</v>
      </c>
    </row>
    <row r="21" spans="1:2">
      <c r="A21">
        <v>950</v>
      </c>
      <c r="B21" s="82">
        <v>41</v>
      </c>
    </row>
    <row r="22" spans="1:2">
      <c r="A22">
        <v>1000</v>
      </c>
      <c r="B22" s="82">
        <v>42.5</v>
      </c>
    </row>
    <row r="23" spans="1:2">
      <c r="A23">
        <v>1050</v>
      </c>
      <c r="B23" s="82">
        <v>43.8</v>
      </c>
    </row>
    <row r="24" spans="1:2">
      <c r="A24">
        <v>1100</v>
      </c>
      <c r="B24" s="82">
        <v>45</v>
      </c>
    </row>
    <row r="25" spans="1:2">
      <c r="A25">
        <v>1150</v>
      </c>
      <c r="B25" s="82">
        <v>46.6</v>
      </c>
    </row>
    <row r="26" spans="1:2">
      <c r="A26">
        <v>1200</v>
      </c>
      <c r="B26" s="82">
        <v>48.274213734037033</v>
      </c>
    </row>
    <row r="27" spans="1:2">
      <c r="A27">
        <v>1250</v>
      </c>
      <c r="B27" s="82">
        <v>49.948427468074065</v>
      </c>
    </row>
    <row r="28" spans="1:2">
      <c r="A28">
        <v>1300</v>
      </c>
      <c r="B28" s="82">
        <v>51.622641202111097</v>
      </c>
    </row>
    <row r="29" spans="1:2">
      <c r="A29">
        <v>1350</v>
      </c>
      <c r="B29" s="82">
        <v>53.296854936148129</v>
      </c>
    </row>
    <row r="30" spans="1:2">
      <c r="A30">
        <v>1400</v>
      </c>
      <c r="B30" s="82">
        <v>54.971068670185161</v>
      </c>
    </row>
    <row r="31" spans="1:2">
      <c r="A31">
        <v>1450</v>
      </c>
      <c r="B31" s="82">
        <v>56.645282404222193</v>
      </c>
    </row>
    <row r="32" spans="1:2">
      <c r="A32">
        <v>1500</v>
      </c>
      <c r="B32" s="82">
        <v>58.319496138259225</v>
      </c>
    </row>
    <row r="33" spans="1:2">
      <c r="A33">
        <v>1550</v>
      </c>
      <c r="B33" s="82">
        <v>59.993709872296257</v>
      </c>
    </row>
    <row r="34" spans="1:2">
      <c r="A34">
        <v>1600</v>
      </c>
      <c r="B34" s="82">
        <v>61.667923606333289</v>
      </c>
    </row>
    <row r="35" spans="1:2">
      <c r="A35">
        <v>1650</v>
      </c>
      <c r="B35" s="82">
        <v>63.342137340370321</v>
      </c>
    </row>
    <row r="36" spans="1:2">
      <c r="A36">
        <v>1700</v>
      </c>
      <c r="B36" s="82">
        <v>65.016351074407353</v>
      </c>
    </row>
    <row r="37" spans="1:2">
      <c r="A37">
        <v>1750</v>
      </c>
      <c r="B37" s="82">
        <v>66.690564808444378</v>
      </c>
    </row>
    <row r="38" spans="1:2">
      <c r="A38">
        <v>1800</v>
      </c>
      <c r="B38" s="82">
        <v>68.364778542481417</v>
      </c>
    </row>
    <row r="39" spans="1:2">
      <c r="A39">
        <v>1850</v>
      </c>
      <c r="B39" s="82">
        <v>70.038992276518456</v>
      </c>
    </row>
    <row r="40" spans="1:2">
      <c r="A40">
        <v>1900</v>
      </c>
      <c r="B40" s="82">
        <v>71.713206010555496</v>
      </c>
    </row>
    <row r="41" spans="1:2">
      <c r="A41">
        <v>1950</v>
      </c>
      <c r="B41" s="82">
        <v>73.387419744592535</v>
      </c>
    </row>
    <row r="42" spans="1:2">
      <c r="A42">
        <v>2000</v>
      </c>
      <c r="B42" s="82">
        <v>75.061633478629574</v>
      </c>
    </row>
    <row r="43" spans="1:2">
      <c r="A43">
        <v>2050</v>
      </c>
      <c r="B43" s="82">
        <v>76.735847212666613</v>
      </c>
    </row>
    <row r="44" spans="1:2">
      <c r="A44">
        <v>2100</v>
      </c>
      <c r="B44" s="82">
        <v>78.410060946703652</v>
      </c>
    </row>
    <row r="45" spans="1:2">
      <c r="A45">
        <v>2150</v>
      </c>
      <c r="B45" s="82">
        <v>80.084274680740691</v>
      </c>
    </row>
    <row r="46" spans="1:2">
      <c r="A46">
        <v>2200</v>
      </c>
      <c r="B46" s="82">
        <v>81.75848841477773</v>
      </c>
    </row>
    <row r="47" spans="1:2">
      <c r="A47">
        <v>2250</v>
      </c>
      <c r="B47" s="82">
        <v>83.432702148814769</v>
      </c>
    </row>
    <row r="48" spans="1:2">
      <c r="A48">
        <v>2300</v>
      </c>
      <c r="B48" s="82">
        <v>85.106915882851808</v>
      </c>
    </row>
    <row r="49" spans="1:2">
      <c r="A49">
        <v>2350</v>
      </c>
      <c r="B49" s="82">
        <v>86.781129616888848</v>
      </c>
    </row>
    <row r="50" spans="1:2">
      <c r="A50">
        <v>2400</v>
      </c>
      <c r="B50" s="82">
        <v>88.455343350925887</v>
      </c>
    </row>
    <row r="51" spans="1:2">
      <c r="A51">
        <v>2450</v>
      </c>
      <c r="B51" s="82">
        <v>90.129557084962926</v>
      </c>
    </row>
    <row r="52" spans="1:2">
      <c r="A52">
        <v>2500</v>
      </c>
      <c r="B52" s="82">
        <v>91.803770818999965</v>
      </c>
    </row>
    <row r="53" spans="1:2">
      <c r="A53">
        <v>2550</v>
      </c>
      <c r="B53" s="82">
        <v>93.477984553037004</v>
      </c>
    </row>
    <row r="54" spans="1:2">
      <c r="A54">
        <v>2600</v>
      </c>
      <c r="B54" s="82">
        <v>95.152198287074043</v>
      </c>
    </row>
    <row r="55" spans="1:2">
      <c r="A55">
        <v>2650</v>
      </c>
      <c r="B55" s="82">
        <v>96.826412021111082</v>
      </c>
    </row>
    <row r="56" spans="1:2">
      <c r="A56">
        <v>2700</v>
      </c>
      <c r="B56" s="82">
        <v>98.500625755148121</v>
      </c>
    </row>
    <row r="57" spans="1:2">
      <c r="A57">
        <v>2750</v>
      </c>
      <c r="B57" s="82">
        <v>100.17483948918516</v>
      </c>
    </row>
    <row r="58" spans="1:2">
      <c r="A58">
        <v>2800</v>
      </c>
      <c r="B58" s="82">
        <v>101.8490532232222</v>
      </c>
    </row>
    <row r="59" spans="1:2">
      <c r="A59">
        <v>2850</v>
      </c>
      <c r="B59" s="82">
        <v>103.52326695725924</v>
      </c>
    </row>
    <row r="60" spans="1:2">
      <c r="A60">
        <v>2900</v>
      </c>
      <c r="B60" s="82">
        <v>105.19748069129628</v>
      </c>
    </row>
    <row r="61" spans="1:2">
      <c r="A61">
        <v>2950</v>
      </c>
      <c r="B61" s="82">
        <v>106.87169442533332</v>
      </c>
    </row>
    <row r="62" spans="1:2">
      <c r="A62">
        <v>3000</v>
      </c>
      <c r="B62" s="82">
        <v>108.54590815937036</v>
      </c>
    </row>
    <row r="63" spans="1:2">
      <c r="A63">
        <v>3050</v>
      </c>
      <c r="B63" s="82">
        <v>110.22012189340739</v>
      </c>
    </row>
    <row r="64" spans="1:2">
      <c r="A64">
        <v>3100</v>
      </c>
      <c r="B64" s="82">
        <v>111.89433562744443</v>
      </c>
    </row>
    <row r="65" spans="1:2">
      <c r="A65">
        <v>3150</v>
      </c>
      <c r="B65" s="82">
        <v>113.56854936148147</v>
      </c>
    </row>
    <row r="66" spans="1:2">
      <c r="A66">
        <v>3200</v>
      </c>
      <c r="B66" s="82">
        <v>115.24276309551851</v>
      </c>
    </row>
    <row r="67" spans="1:2">
      <c r="A67">
        <v>3250</v>
      </c>
      <c r="B67" s="82">
        <v>116.91697682955555</v>
      </c>
    </row>
    <row r="68" spans="1:2">
      <c r="A68">
        <v>3300</v>
      </c>
      <c r="B68" s="82">
        <v>118.59119056359259</v>
      </c>
    </row>
    <row r="69" spans="1:2">
      <c r="A69">
        <v>3350</v>
      </c>
      <c r="B69" s="82">
        <v>120.26540429762963</v>
      </c>
    </row>
    <row r="70" spans="1:2">
      <c r="A70">
        <v>3400</v>
      </c>
      <c r="B70" s="82">
        <v>121.93961803166667</v>
      </c>
    </row>
    <row r="71" spans="1:2">
      <c r="A71">
        <v>3450</v>
      </c>
      <c r="B71" s="82">
        <v>123.61383176570371</v>
      </c>
    </row>
    <row r="72" spans="1:2">
      <c r="A72">
        <v>3500</v>
      </c>
      <c r="B72" s="82">
        <v>125.28804549974075</v>
      </c>
    </row>
    <row r="73" spans="1:2">
      <c r="A73">
        <v>3550</v>
      </c>
      <c r="B73" s="82">
        <v>126.96225923377779</v>
      </c>
    </row>
    <row r="74" spans="1:2">
      <c r="A74">
        <v>3600</v>
      </c>
      <c r="B74" s="82">
        <v>128.63647296781483</v>
      </c>
    </row>
    <row r="75" spans="1:2">
      <c r="A75">
        <v>3650</v>
      </c>
      <c r="B75" s="82">
        <v>130.31068670185186</v>
      </c>
    </row>
    <row r="76" spans="1:2">
      <c r="A76">
        <v>3700</v>
      </c>
      <c r="B76" s="82">
        <v>131.9849004358889</v>
      </c>
    </row>
    <row r="77" spans="1:2">
      <c r="A77">
        <v>3750</v>
      </c>
      <c r="B77" s="82">
        <v>133.65911416992594</v>
      </c>
    </row>
    <row r="78" spans="1:2">
      <c r="A78">
        <v>3800</v>
      </c>
      <c r="B78" s="82">
        <v>135.33332790396298</v>
      </c>
    </row>
    <row r="79" spans="1:2">
      <c r="A79">
        <v>3850</v>
      </c>
      <c r="B79" s="82">
        <v>137.00754163800002</v>
      </c>
    </row>
    <row r="80" spans="1:2">
      <c r="A80">
        <v>3900</v>
      </c>
      <c r="B80" s="82">
        <v>138.68175537203706</v>
      </c>
    </row>
    <row r="81" spans="1:2">
      <c r="A81">
        <v>3950</v>
      </c>
      <c r="B81" s="82">
        <v>140.3559691060741</v>
      </c>
    </row>
    <row r="82" spans="1:2">
      <c r="A82">
        <v>4000</v>
      </c>
      <c r="B82" s="82">
        <v>142.03018284011114</v>
      </c>
    </row>
    <row r="83" spans="1:2">
      <c r="A83">
        <v>4050</v>
      </c>
      <c r="B83" s="82">
        <v>143.70439657414818</v>
      </c>
    </row>
    <row r="84" spans="1:2">
      <c r="A84">
        <v>4100</v>
      </c>
      <c r="B84" s="82">
        <v>145.37861030818522</v>
      </c>
    </row>
    <row r="85" spans="1:2">
      <c r="A85">
        <v>4150</v>
      </c>
      <c r="B85" s="82">
        <v>147.05282404222226</v>
      </c>
    </row>
    <row r="86" spans="1:2">
      <c r="A86">
        <v>4200</v>
      </c>
      <c r="B86" s="82">
        <v>148.72703777625929</v>
      </c>
    </row>
    <row r="87" spans="1:2">
      <c r="A87">
        <v>4250</v>
      </c>
      <c r="B87" s="82">
        <v>150.40125151029633</v>
      </c>
    </row>
    <row r="88" spans="1:2">
      <c r="A88">
        <v>4300</v>
      </c>
      <c r="B88" s="82">
        <v>152.07546524433337</v>
      </c>
    </row>
    <row r="89" spans="1:2">
      <c r="A89">
        <v>4350</v>
      </c>
      <c r="B89" s="82">
        <v>153.74967897837041</v>
      </c>
    </row>
    <row r="90" spans="1:2">
      <c r="A90">
        <v>4400</v>
      </c>
      <c r="B90" s="82">
        <v>155.42389271240745</v>
      </c>
    </row>
    <row r="91" spans="1:2">
      <c r="A91">
        <v>4450</v>
      </c>
      <c r="B91" s="82">
        <v>157.09810644644449</v>
      </c>
    </row>
    <row r="92" spans="1:2">
      <c r="A92">
        <v>4500</v>
      </c>
      <c r="B92" s="82">
        <v>158.77232018048153</v>
      </c>
    </row>
    <row r="93" spans="1:2">
      <c r="A93">
        <v>4550</v>
      </c>
      <c r="B93" s="82">
        <v>160.44653391451857</v>
      </c>
    </row>
    <row r="94" spans="1:2">
      <c r="A94">
        <v>4600</v>
      </c>
      <c r="B94" s="82">
        <v>162.12074764855561</v>
      </c>
    </row>
    <row r="95" spans="1:2">
      <c r="A95">
        <v>4650</v>
      </c>
      <c r="B95" s="82">
        <v>163.79496138259265</v>
      </c>
    </row>
    <row r="96" spans="1:2">
      <c r="A96">
        <v>4700</v>
      </c>
      <c r="B96" s="82">
        <v>165.46917511662969</v>
      </c>
    </row>
    <row r="97" spans="1:2">
      <c r="A97">
        <v>4750</v>
      </c>
      <c r="B97" s="82">
        <v>167.14338885066672</v>
      </c>
    </row>
    <row r="98" spans="1:2">
      <c r="A98">
        <v>4800</v>
      </c>
      <c r="B98" s="82">
        <v>168.81760258470376</v>
      </c>
    </row>
    <row r="99" spans="1:2">
      <c r="A99">
        <v>4850</v>
      </c>
      <c r="B99" s="82">
        <v>170.4918163187408</v>
      </c>
    </row>
    <row r="100" spans="1:2">
      <c r="A100">
        <v>4900</v>
      </c>
      <c r="B100" s="82">
        <v>172.16603005277784</v>
      </c>
    </row>
    <row r="101" spans="1:2">
      <c r="A101">
        <v>4950</v>
      </c>
      <c r="B101" s="82">
        <v>173.84024378681488</v>
      </c>
    </row>
    <row r="102" spans="1:2">
      <c r="A102">
        <v>5000</v>
      </c>
      <c r="B102" s="82">
        <v>175.51445752085192</v>
      </c>
    </row>
    <row r="103" spans="1:2">
      <c r="A103">
        <v>5050</v>
      </c>
      <c r="B103" s="82">
        <v>177.18867125488896</v>
      </c>
    </row>
    <row r="104" spans="1:2">
      <c r="A104">
        <v>5100</v>
      </c>
      <c r="B104" s="82">
        <v>178.862884988926</v>
      </c>
    </row>
    <row r="105" spans="1:2">
      <c r="A105">
        <v>5150</v>
      </c>
      <c r="B105" s="82">
        <v>180.53709872296304</v>
      </c>
    </row>
    <row r="106" spans="1:2">
      <c r="A106">
        <v>5200</v>
      </c>
      <c r="B106" s="82">
        <v>182.21131245700008</v>
      </c>
    </row>
    <row r="107" spans="1:2">
      <c r="A107">
        <v>5250</v>
      </c>
      <c r="B107" s="82">
        <v>183.88552619103712</v>
      </c>
    </row>
    <row r="108" spans="1:2">
      <c r="A108">
        <v>5300</v>
      </c>
      <c r="B108" s="82">
        <v>185.55973992507415</v>
      </c>
    </row>
    <row r="109" spans="1:2">
      <c r="A109">
        <v>5350</v>
      </c>
      <c r="B109" s="82">
        <v>187.23395365911119</v>
      </c>
    </row>
    <row r="110" spans="1:2">
      <c r="A110">
        <v>5400</v>
      </c>
      <c r="B110" s="82">
        <v>188.90816739314823</v>
      </c>
    </row>
    <row r="111" spans="1:2">
      <c r="A111">
        <v>5450</v>
      </c>
      <c r="B111" s="82">
        <v>190.58238112718527</v>
      </c>
    </row>
    <row r="112" spans="1:2">
      <c r="A112">
        <v>5500</v>
      </c>
      <c r="B112" s="82">
        <v>192.25659486122231</v>
      </c>
    </row>
    <row r="113" spans="1:2">
      <c r="A113">
        <v>5550</v>
      </c>
      <c r="B113" s="82">
        <v>193.93080859525935</v>
      </c>
    </row>
    <row r="114" spans="1:2">
      <c r="A114">
        <v>5600</v>
      </c>
      <c r="B114" s="82">
        <v>195.60502232929639</v>
      </c>
    </row>
    <row r="115" spans="1:2">
      <c r="A115">
        <v>5650</v>
      </c>
      <c r="B115" s="82">
        <v>197.27923606333343</v>
      </c>
    </row>
    <row r="116" spans="1:2">
      <c r="A116">
        <v>5700</v>
      </c>
      <c r="B116" s="82">
        <v>198.95344979737047</v>
      </c>
    </row>
    <row r="117" spans="1:2">
      <c r="A117">
        <v>5750</v>
      </c>
      <c r="B117" s="82">
        <v>200.62766353140751</v>
      </c>
    </row>
    <row r="118" spans="1:2">
      <c r="A118">
        <v>5800</v>
      </c>
      <c r="B118" s="82">
        <v>202.30187726544455</v>
      </c>
    </row>
    <row r="119" spans="1:2">
      <c r="A119">
        <v>5850</v>
      </c>
      <c r="B119" s="82">
        <v>203.97609099948158</v>
      </c>
    </row>
    <row r="120" spans="1:2">
      <c r="A120">
        <v>5900</v>
      </c>
      <c r="B120" s="82">
        <v>205.65030473351862</v>
      </c>
    </row>
    <row r="121" spans="1:2">
      <c r="A121">
        <v>5950</v>
      </c>
      <c r="B121" s="82">
        <v>207.32451846755566</v>
      </c>
    </row>
    <row r="122" spans="1:2">
      <c r="A122">
        <v>6000</v>
      </c>
      <c r="B122" s="82">
        <v>208.9987322015927</v>
      </c>
    </row>
    <row r="123" spans="1:2">
      <c r="A123">
        <v>6050</v>
      </c>
      <c r="B123" s="82">
        <v>210.67294593562974</v>
      </c>
    </row>
    <row r="124" spans="1:2">
      <c r="A124">
        <v>6100</v>
      </c>
      <c r="B124" s="82">
        <v>212.34715966966678</v>
      </c>
    </row>
    <row r="125" spans="1:2">
      <c r="A125">
        <v>6150</v>
      </c>
      <c r="B125" s="82">
        <v>214.02137340370382</v>
      </c>
    </row>
    <row r="126" spans="1:2">
      <c r="A126">
        <v>6200</v>
      </c>
      <c r="B126" s="82">
        <v>215.69558713774086</v>
      </c>
    </row>
    <row r="127" spans="1:2">
      <c r="A127">
        <v>6250</v>
      </c>
      <c r="B127" s="82">
        <v>217.3698008717779</v>
      </c>
    </row>
    <row r="128" spans="1:2">
      <c r="A128">
        <v>6300</v>
      </c>
      <c r="B128" s="82">
        <v>219.04401460581494</v>
      </c>
    </row>
    <row r="129" spans="1:2">
      <c r="A129">
        <v>6350</v>
      </c>
      <c r="B129" s="82">
        <v>220.71822833985198</v>
      </c>
    </row>
    <row r="130" spans="1:2">
      <c r="A130">
        <v>6400</v>
      </c>
      <c r="B130" s="82">
        <v>222.39244207388901</v>
      </c>
    </row>
    <row r="131" spans="1:2">
      <c r="A131">
        <v>6450</v>
      </c>
      <c r="B131" s="82">
        <v>224.06665580792605</v>
      </c>
    </row>
    <row r="132" spans="1:2">
      <c r="A132">
        <v>6500</v>
      </c>
      <c r="B132" s="82">
        <v>225.74086954196309</v>
      </c>
    </row>
    <row r="133" spans="1:2">
      <c r="A133">
        <v>6550</v>
      </c>
      <c r="B133" s="82">
        <v>227.41508327600013</v>
      </c>
    </row>
    <row r="134" spans="1:2">
      <c r="A134" s="82">
        <v>6566.8467477486947</v>
      </c>
      <c r="B134" s="82">
        <v>228</v>
      </c>
    </row>
    <row r="135" spans="1:2">
      <c r="A135">
        <v>6600</v>
      </c>
      <c r="B135" s="82">
        <v>229.08929701003717</v>
      </c>
    </row>
    <row r="136" spans="1:2">
      <c r="A136">
        <v>6650</v>
      </c>
      <c r="B136" s="82">
        <v>230.76351074407421</v>
      </c>
    </row>
    <row r="137" spans="1:2">
      <c r="A137">
        <v>6700</v>
      </c>
      <c r="B137" s="82">
        <v>232.43772447811125</v>
      </c>
    </row>
    <row r="138" spans="1:2">
      <c r="A138">
        <v>6750</v>
      </c>
      <c r="B138" s="82">
        <v>234.11193821214829</v>
      </c>
    </row>
    <row r="139" spans="1:2">
      <c r="A139">
        <v>6800</v>
      </c>
      <c r="B139" s="82">
        <v>235.78615194618533</v>
      </c>
    </row>
    <row r="140" spans="1:2">
      <c r="A140">
        <v>6850</v>
      </c>
      <c r="B140" s="82">
        <v>237.46036568022237</v>
      </c>
    </row>
    <row r="141" spans="1:2">
      <c r="A141">
        <v>6900</v>
      </c>
      <c r="B141" s="82">
        <v>239.13457941425941</v>
      </c>
    </row>
    <row r="142" spans="1:2">
      <c r="A142">
        <v>6950</v>
      </c>
      <c r="B142" s="82">
        <v>240.80879314829644</v>
      </c>
    </row>
    <row r="143" spans="1:2">
      <c r="A143">
        <v>7000</v>
      </c>
      <c r="B143" s="82">
        <v>242.48300688233348</v>
      </c>
    </row>
    <row r="144" spans="1:2">
      <c r="A144">
        <v>7050</v>
      </c>
      <c r="B144" s="82">
        <v>244.15722061637052</v>
      </c>
    </row>
    <row r="145" spans="1:2">
      <c r="A145">
        <v>7100</v>
      </c>
      <c r="B145" s="82">
        <v>245.83143435040756</v>
      </c>
    </row>
    <row r="146" spans="1:2">
      <c r="A146">
        <v>7150</v>
      </c>
      <c r="B146" s="82">
        <v>247.5056480844446</v>
      </c>
    </row>
    <row r="147" spans="1:2">
      <c r="A147">
        <v>7200</v>
      </c>
      <c r="B147" s="82">
        <v>249.17986181848164</v>
      </c>
    </row>
    <row r="148" spans="1:2">
      <c r="A148">
        <v>7250</v>
      </c>
      <c r="B148" s="82">
        <v>250.85407555251868</v>
      </c>
    </row>
    <row r="149" spans="1:2">
      <c r="B149" s="8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26" sqref="C26"/>
    </sheetView>
  </sheetViews>
  <sheetFormatPr baseColWidth="10" defaultColWidth="11.5" defaultRowHeight="15"/>
  <cols>
    <col min="1" max="1" width="11.5" style="60"/>
    <col min="2" max="3" width="14.83203125" style="60" bestFit="1" customWidth="1"/>
    <col min="4" max="4" width="11.5" style="60"/>
    <col min="5" max="5" width="18.1640625" style="60" customWidth="1"/>
    <col min="6" max="6" width="11.5" style="60"/>
    <col min="7" max="7" width="14.83203125" style="60" bestFit="1" customWidth="1"/>
    <col min="8" max="16384" width="11.5" style="60"/>
  </cols>
  <sheetData>
    <row r="2" spans="2:9" ht="16" thickBot="1">
      <c r="B2" s="81" t="s">
        <v>83</v>
      </c>
    </row>
    <row r="3" spans="2:9">
      <c r="B3" s="72">
        <f>'Fiche de production 7000 L'!G29</f>
        <v>5201.8</v>
      </c>
      <c r="C3" s="71" t="s">
        <v>67</v>
      </c>
      <c r="D3" s="71" t="s">
        <v>68</v>
      </c>
      <c r="E3" s="80" t="s">
        <v>69</v>
      </c>
      <c r="F3" s="79" t="s">
        <v>58</v>
      </c>
      <c r="G3" s="60" t="s">
        <v>70</v>
      </c>
      <c r="H3" s="60" t="s">
        <v>84</v>
      </c>
      <c r="I3" s="60" t="s">
        <v>71</v>
      </c>
    </row>
    <row r="4" spans="2:9">
      <c r="B4" s="69" t="s">
        <v>72</v>
      </c>
      <c r="C4" s="60">
        <f>'[1]Fiche de production 7000 L'!Y23</f>
        <v>243.88</v>
      </c>
      <c r="D4" s="60">
        <f>C4</f>
        <v>243.88</v>
      </c>
      <c r="E4" s="78">
        <v>0.8</v>
      </c>
      <c r="F4" s="77">
        <f>C4*E4</f>
        <v>195.10400000000001</v>
      </c>
      <c r="G4" s="60">
        <f>IF(ISNUMBER( SEARCH("K.",'Fiche de production 7000 L'!D8)), 4, 1.4)</f>
        <v>4</v>
      </c>
      <c r="H4" s="60">
        <f>G4*10*B3/1000</f>
        <v>208.072</v>
      </c>
      <c r="I4" s="61">
        <f>H4/F9*100</f>
        <v>25.487306691165212</v>
      </c>
    </row>
    <row r="5" spans="2:9">
      <c r="B5" s="69" t="s">
        <v>73</v>
      </c>
      <c r="C5" s="61">
        <f>'[1]Fiche de production 7000 L'!Y24</f>
        <v>111.5</v>
      </c>
      <c r="D5" s="61">
        <f>C5*0.56</f>
        <v>62.440000000000005</v>
      </c>
      <c r="E5" s="78">
        <v>0.75</v>
      </c>
      <c r="F5" s="77">
        <f>C5*E5</f>
        <v>83.625</v>
      </c>
    </row>
    <row r="6" spans="2:9">
      <c r="B6" s="69" t="s">
        <v>74</v>
      </c>
      <c r="C6" s="60">
        <f>'[1]Fiche de production 7000 L'!Y25</f>
        <v>27.87</v>
      </c>
      <c r="D6" s="64">
        <f>C6*60/1000</f>
        <v>1.6722000000000001</v>
      </c>
      <c r="E6" s="78">
        <v>1</v>
      </c>
      <c r="F6" s="77">
        <f>C6*E6</f>
        <v>27.87</v>
      </c>
      <c r="H6" s="60" t="s">
        <v>75</v>
      </c>
      <c r="I6" s="61">
        <f>D7-H4</f>
        <v>98.24799999999999</v>
      </c>
    </row>
    <row r="7" spans="2:9" ht="16" thickBot="1">
      <c r="B7" s="67" t="s">
        <v>76</v>
      </c>
      <c r="C7" s="76">
        <f>SUM(C4, C5)</f>
        <v>355.38</v>
      </c>
      <c r="D7" s="76">
        <f>SUM(D4, D5)</f>
        <v>306.32</v>
      </c>
      <c r="E7" s="75"/>
      <c r="F7" s="74">
        <f>SUM(F4:F6)</f>
        <v>306.59900000000005</v>
      </c>
      <c r="H7" s="60" t="s">
        <v>77</v>
      </c>
      <c r="I7" s="73">
        <f>I6/D7</f>
        <v>0.32073648472185945</v>
      </c>
    </row>
    <row r="8" spans="2:9">
      <c r="E8" s="60" t="s">
        <v>78</v>
      </c>
      <c r="F8" s="62">
        <f>900-F7</f>
        <v>593.40099999999995</v>
      </c>
    </row>
    <row r="9" spans="2:9">
      <c r="E9" s="60" t="s">
        <v>79</v>
      </c>
      <c r="F9" s="62">
        <f>F8+F6+F4</f>
        <v>816.375</v>
      </c>
    </row>
    <row r="10" spans="2:9">
      <c r="E10" s="60" t="s">
        <v>82</v>
      </c>
      <c r="F10" s="62">
        <f>F8+F5+F6</f>
        <v>704.89599999999996</v>
      </c>
    </row>
    <row r="13" spans="2:9" ht="16" thickBot="1">
      <c r="B13" s="60" t="s">
        <v>90</v>
      </c>
    </row>
    <row r="14" spans="2:9">
      <c r="B14" s="72">
        <f>'Fiche de production 7000 L'!G29</f>
        <v>5201.8</v>
      </c>
      <c r="C14" s="71" t="s">
        <v>88</v>
      </c>
      <c r="D14" s="70" t="s">
        <v>67</v>
      </c>
      <c r="F14" s="62"/>
      <c r="I14" s="61"/>
    </row>
    <row r="15" spans="2:9">
      <c r="B15" s="69" t="s">
        <v>72</v>
      </c>
      <c r="C15" s="60">
        <v>1.0999999999999999E-2</v>
      </c>
      <c r="D15" s="68">
        <f>C15*$B$14</f>
        <v>57.219799999999999</v>
      </c>
      <c r="F15" s="62"/>
    </row>
    <row r="16" spans="2:9">
      <c r="B16" s="69" t="s">
        <v>73</v>
      </c>
      <c r="C16" s="60">
        <v>8.0000000000000002E-3</v>
      </c>
      <c r="D16" s="68">
        <f>C16*$B$14</f>
        <v>41.614400000000003</v>
      </c>
      <c r="F16" s="62"/>
      <c r="I16" s="61"/>
    </row>
    <row r="17" spans="2:9">
      <c r="B17" s="69" t="s">
        <v>74</v>
      </c>
      <c r="C17" s="60">
        <v>4.0000000000000001E-3</v>
      </c>
      <c r="D17" s="68">
        <f>C17*$B$14</f>
        <v>20.807200000000002</v>
      </c>
      <c r="F17" s="62"/>
      <c r="I17" s="63"/>
    </row>
    <row r="18" spans="2:9" ht="16" thickBot="1">
      <c r="B18" s="67" t="s">
        <v>87</v>
      </c>
      <c r="C18" s="66">
        <v>8.0000000000000002E-3</v>
      </c>
      <c r="D18" s="65">
        <f>C18*$B$14</f>
        <v>41.614400000000003</v>
      </c>
      <c r="F18" s="62"/>
    </row>
    <row r="19" spans="2:9">
      <c r="F19" s="62"/>
    </row>
    <row r="22" spans="2:9" ht="16" thickBot="1">
      <c r="B22" s="60" t="s">
        <v>89</v>
      </c>
    </row>
    <row r="23" spans="2:9">
      <c r="B23" s="72">
        <f>'Fiche de production 7000 L'!G29</f>
        <v>5201.8</v>
      </c>
      <c r="C23" s="71" t="s">
        <v>88</v>
      </c>
      <c r="D23" s="70" t="s">
        <v>67</v>
      </c>
    </row>
    <row r="24" spans="2:9">
      <c r="B24" s="69" t="s">
        <v>72</v>
      </c>
      <c r="C24" s="60">
        <v>3.3000000000000002E-2</v>
      </c>
      <c r="D24" s="68">
        <f>C24*$B$14</f>
        <v>171.65940000000001</v>
      </c>
    </row>
    <row r="25" spans="2:9">
      <c r="B25" s="69" t="s">
        <v>120</v>
      </c>
      <c r="C25" s="60">
        <v>1.0999999999999999E-2</v>
      </c>
      <c r="D25" s="68">
        <f>C25*$B$14</f>
        <v>57.219799999999999</v>
      </c>
    </row>
    <row r="26" spans="2:9">
      <c r="B26" s="69" t="s">
        <v>74</v>
      </c>
      <c r="C26" s="60">
        <v>4.0000000000000001E-3</v>
      </c>
      <c r="D26" s="68">
        <f>C26*$B$14</f>
        <v>20.807200000000002</v>
      </c>
    </row>
    <row r="27" spans="2:9" ht="16" thickBot="1">
      <c r="B27" s="67" t="s">
        <v>87</v>
      </c>
      <c r="C27" s="66">
        <v>6.0000000000000001E-3</v>
      </c>
      <c r="D27" s="65">
        <f>C27*$B$14</f>
        <v>31.210800000000003</v>
      </c>
    </row>
    <row r="28" spans="2:9">
      <c r="F28" s="62"/>
      <c r="I28" s="61"/>
    </row>
    <row r="29" spans="2:9">
      <c r="C29" s="61"/>
      <c r="D29" s="61"/>
      <c r="F29" s="62"/>
    </row>
    <row r="30" spans="2:9">
      <c r="D30" s="64"/>
      <c r="F30" s="62"/>
      <c r="I30" s="61"/>
    </row>
    <row r="31" spans="2:9">
      <c r="C31" s="61"/>
      <c r="D31" s="61"/>
      <c r="F31" s="62"/>
      <c r="I31" s="63"/>
    </row>
    <row r="32" spans="2:9">
      <c r="F32" s="62"/>
    </row>
    <row r="33" spans="3:9">
      <c r="F33" s="62"/>
    </row>
    <row r="37" spans="3:9">
      <c r="F37" s="62"/>
      <c r="I37" s="62"/>
    </row>
    <row r="38" spans="3:9">
      <c r="C38" s="61"/>
      <c r="D38" s="61"/>
      <c r="F38" s="62"/>
    </row>
    <row r="39" spans="3:9">
      <c r="D39" s="64"/>
      <c r="F39" s="62"/>
      <c r="I39" s="61"/>
    </row>
    <row r="40" spans="3:9">
      <c r="C40" s="61"/>
      <c r="D40" s="61"/>
      <c r="F40" s="62"/>
      <c r="I40" s="63"/>
    </row>
    <row r="41" spans="3:9">
      <c r="F41" s="62"/>
    </row>
    <row r="42" spans="3:9">
      <c r="F42" s="62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Fiche de production 7000 L</vt:lpstr>
      <vt:lpstr>CUVE 1 et 2 Mesure</vt:lpstr>
      <vt:lpstr>CUVE 3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2025-07-31T17:01:21Z</cp:lastPrinted>
  <dcterms:created xsi:type="dcterms:W3CDTF">2024-06-10T12:51:21Z</dcterms:created>
  <dcterms:modified xsi:type="dcterms:W3CDTF">2025-09-05T07:22:49Z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