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loe/Desktop/Stage BT4/Fiches prod./"/>
    </mc:Choice>
  </mc:AlternateContent>
  <xr:revisionPtr revIDLastSave="0" documentId="13_ncr:1_{D5ED5D83-617B-F04A-9FC8-0BD38D95DF3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Fiche de production 7000 L" sheetId="2" r:id="rId2"/>
    <sheet name="CUVE 3 mesure" sheetId="9" r:id="rId3"/>
    <sheet name="Recette" sheetId="7" r:id="rId4"/>
  </sheets>
  <externalReferences>
    <externalReference r:id="rId5"/>
  </externalReferences>
  <calcPr calcId="191029" iterate="1" iterateDelta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o8ek4Am3sUr2XRPd6GrgifRd1CbtSkCeA7ViODFHOE="/>
    </ext>
  </extLst>
</workbook>
</file>

<file path=xl/calcChain.xml><?xml version="1.0" encoding="utf-8"?>
<calcChain xmlns="http://schemas.openxmlformats.org/spreadsheetml/2006/main">
  <c r="G36" i="2" l="1"/>
  <c r="H70" i="2"/>
  <c r="M73" i="2"/>
  <c r="D43" i="2"/>
  <c r="A43" i="2"/>
  <c r="S14" i="2" l="1"/>
  <c r="Q14" i="2"/>
  <c r="O14" i="2"/>
  <c r="M14" i="2"/>
  <c r="K14" i="2"/>
  <c r="K60" i="2"/>
  <c r="K70" i="2" s="1"/>
  <c r="K16" i="2" l="1"/>
  <c r="H44" i="2" l="1"/>
  <c r="H45" i="2" s="1"/>
  <c r="H50" i="2" s="1"/>
  <c r="E1" i="9"/>
  <c r="E2" i="9" s="1" a="1"/>
  <c r="E2" i="9" s="1"/>
  <c r="E4" i="9" s="1"/>
  <c r="E8" i="9" l="1"/>
  <c r="O64" i="2"/>
  <c r="O65" i="2" s="1"/>
  <c r="Q64" i="2"/>
  <c r="Q65" i="2" s="1"/>
  <c r="S64" i="2"/>
  <c r="S65" i="2" s="1"/>
  <c r="K64" i="2"/>
  <c r="K65" i="2" s="1"/>
  <c r="M64" i="2"/>
  <c r="M65" i="2" s="1"/>
  <c r="E9" i="9" a="1"/>
  <c r="E9" i="9" s="1"/>
  <c r="E11" i="9" s="1"/>
  <c r="E10" i="9" a="1"/>
  <c r="E10" i="9" s="1"/>
  <c r="E12" i="9" s="1"/>
  <c r="E3" i="9" a="1"/>
  <c r="E3" i="9" s="1"/>
  <c r="E5" i="9" s="1"/>
  <c r="G4" i="7"/>
  <c r="B23" i="7"/>
  <c r="B14" i="7"/>
  <c r="D15" i="7" s="1"/>
  <c r="B3" i="7"/>
  <c r="C4" i="7"/>
  <c r="D4" i="7" s="1"/>
  <c r="C5" i="7"/>
  <c r="D5" i="7" s="1"/>
  <c r="C6" i="7"/>
  <c r="D6" i="7" s="1"/>
  <c r="E13" i="9" l="1"/>
  <c r="H51" i="2" s="1"/>
  <c r="E6" i="9"/>
  <c r="H46" i="2" s="1"/>
  <c r="F6" i="7"/>
  <c r="F4" i="7"/>
  <c r="C7" i="7"/>
  <c r="D18" i="7"/>
  <c r="D26" i="7"/>
  <c r="D24" i="7"/>
  <c r="D25" i="7"/>
  <c r="D17" i="7"/>
  <c r="D16" i="7"/>
  <c r="D27" i="7"/>
  <c r="H4" i="7"/>
  <c r="D7" i="7"/>
  <c r="F5" i="7"/>
  <c r="F7" i="7" s="1"/>
  <c r="F8" i="7" s="1"/>
  <c r="X10" i="2"/>
  <c r="G32" i="2" l="1"/>
  <c r="G30" i="2"/>
  <c r="G31" i="2"/>
  <c r="G29" i="2"/>
  <c r="I6" i="7"/>
  <c r="I7" i="7" s="1"/>
  <c r="F9" i="7"/>
  <c r="I4" i="7" s="1"/>
  <c r="G34" i="2" s="1"/>
  <c r="F10" i="7"/>
  <c r="G33" i="2" s="1"/>
  <c r="D10" i="2" l="1"/>
  <c r="E5" i="1"/>
  <c r="W55" i="2"/>
  <c r="D49" i="2"/>
  <c r="A49" i="2"/>
  <c r="A12" i="2" l="1"/>
  <c r="K76" i="2"/>
  <c r="O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<sst xmlns="http://schemas.openxmlformats.org/spreadsheetml/2006/main" count="184" uniqueCount="110">
  <si>
    <t>Produit 1</t>
  </si>
  <si>
    <t>K. Original</t>
  </si>
  <si>
    <t>K. Menthe - Citron Vert</t>
  </si>
  <si>
    <t>K. Gingembre</t>
  </si>
  <si>
    <t>K. Pamplemousse</t>
  </si>
  <si>
    <t>K. Mangue - Passion</t>
  </si>
  <si>
    <t>EP. Menthe Poivrée</t>
  </si>
  <si>
    <t>EP. Mélisse</t>
  </si>
  <si>
    <t>EP. Anis étoilée</t>
  </si>
  <si>
    <t>IG. Pêche</t>
  </si>
  <si>
    <t xml:space="preserve">Autre : </t>
  </si>
  <si>
    <t>pour 1L</t>
  </si>
  <si>
    <t>Code : PROD_EN_002</t>
  </si>
  <si>
    <t>Création : 20/07/2021</t>
  </si>
  <si>
    <t>Fermentation</t>
  </si>
  <si>
    <t>Brix</t>
  </si>
  <si>
    <t>°C</t>
  </si>
  <si>
    <t>Observation</t>
  </si>
  <si>
    <t>Volume filtré :</t>
  </si>
  <si>
    <t>Hauteur :</t>
  </si>
  <si>
    <t>Bouteilles</t>
  </si>
  <si>
    <t>Remarques</t>
  </si>
  <si>
    <t>Cartons</t>
  </si>
  <si>
    <t>Incidents</t>
  </si>
  <si>
    <t>Date</t>
  </si>
  <si>
    <t>Heure</t>
  </si>
  <si>
    <t>PH</t>
  </si>
  <si>
    <t>Matricule</t>
  </si>
  <si>
    <t>Fin de la fermentation</t>
  </si>
  <si>
    <t>Volume de remplissage :</t>
  </si>
  <si>
    <t>Niveau de liquide :</t>
  </si>
  <si>
    <t>Volume total :</t>
  </si>
  <si>
    <t>33 CL</t>
  </si>
  <si>
    <t>75 CL</t>
  </si>
  <si>
    <t>Phase 1 : Fermentation</t>
  </si>
  <si>
    <t>Phase 2 : Filtration</t>
  </si>
  <si>
    <t>Phase 3 : Remplissage</t>
  </si>
  <si>
    <t>................................</t>
  </si>
  <si>
    <t>DDM</t>
  </si>
  <si>
    <t>Date de la production :</t>
  </si>
  <si>
    <t>Ajouts de Jus / L</t>
  </si>
  <si>
    <t>Prévisions de conditionnement</t>
  </si>
  <si>
    <t>Conditionnement réel</t>
  </si>
  <si>
    <t>IMPORTANT : la hauteur totale prend en compte l'ajout des jus de l'aromatisation</t>
  </si>
  <si>
    <t>Palettes</t>
  </si>
  <si>
    <t>Données à prendre en compte pour la production</t>
  </si>
  <si>
    <t>DDM :</t>
  </si>
  <si>
    <t>LOT :</t>
  </si>
  <si>
    <t>Pression sur le bulleur :</t>
  </si>
  <si>
    <t>3 bars</t>
  </si>
  <si>
    <t>Température de cuve :</t>
  </si>
  <si>
    <t>Volume total cuve</t>
  </si>
  <si>
    <t>Volume (L)</t>
  </si>
  <si>
    <t>Goût</t>
  </si>
  <si>
    <t>OK/NOK</t>
  </si>
  <si>
    <t>Ecommerce</t>
  </si>
  <si>
    <t>Tracabilité</t>
  </si>
  <si>
    <t>…............................</t>
  </si>
  <si>
    <t>qtt net (kg)</t>
  </si>
  <si>
    <t>qtt sucre (kg)</t>
  </si>
  <si>
    <t>masse volumique (kg/L)</t>
  </si>
  <si>
    <t>Brix attendu</t>
  </si>
  <si>
    <t>Brix cible 900L</t>
  </si>
  <si>
    <t>sucre blanc</t>
  </si>
  <si>
    <t>figues</t>
  </si>
  <si>
    <t>jus citron</t>
  </si>
  <si>
    <t>perte de sucre (kg)</t>
  </si>
  <si>
    <t>total</t>
  </si>
  <si>
    <t>perte de sucre (%)</t>
  </si>
  <si>
    <t>eau</t>
  </si>
  <si>
    <t>liquide dilué</t>
  </si>
  <si>
    <t>Sucre (kg)</t>
  </si>
  <si>
    <t>Figues (kg)</t>
  </si>
  <si>
    <t>Jus de Citron (kg)</t>
  </si>
  <si>
    <t>eau + figues + jus</t>
  </si>
  <si>
    <t xml:space="preserve">Brix cible </t>
  </si>
  <si>
    <t xml:space="preserve">RECETTE </t>
  </si>
  <si>
    <t>sucre  (kg)</t>
  </si>
  <si>
    <t>Volume avant sucre</t>
  </si>
  <si>
    <t xml:space="preserve">Grains </t>
  </si>
  <si>
    <t>grain</t>
  </si>
  <si>
    <t>Facteur 1L</t>
  </si>
  <si>
    <t xml:space="preserve">Recette Kefir </t>
  </si>
  <si>
    <t xml:space="preserve">Recette Eau </t>
  </si>
  <si>
    <t>Quantité</t>
  </si>
  <si>
    <t>Volume final :</t>
  </si>
  <si>
    <t>Antoine</t>
  </si>
  <si>
    <t>Répartition en carton :</t>
  </si>
  <si>
    <t>Fiche de production Cuve de 7000 L</t>
  </si>
  <si>
    <t>France</t>
  </si>
  <si>
    <t>X6</t>
  </si>
  <si>
    <t>X4</t>
  </si>
  <si>
    <t>EP. Zest d'agrumes</t>
  </si>
  <si>
    <t>24°C</t>
  </si>
  <si>
    <t>Limite Basse</t>
  </si>
  <si>
    <t>Limite Haute</t>
  </si>
  <si>
    <t>Hauteur limite Basse</t>
  </si>
  <si>
    <t>Hauteur limite Haute</t>
  </si>
  <si>
    <t>HAUTEUR CIBLE</t>
  </si>
  <si>
    <t>Valeur recherchée Produit 1 Post Filtration</t>
  </si>
  <si>
    <t>Valeur recherchée Produit 1 Cuve pleine</t>
  </si>
  <si>
    <t>NIKO</t>
  </si>
  <si>
    <t>Produit préparé</t>
  </si>
  <si>
    <t>Version : 07</t>
  </si>
  <si>
    <t>Mis à jour : 14/10/2025</t>
  </si>
  <si>
    <t>Produit  :</t>
  </si>
  <si>
    <t xml:space="preserve">NIKO
X6 (saft) </t>
  </si>
  <si>
    <t>Hauteur (cm)</t>
  </si>
  <si>
    <r>
      <rPr>
        <b/>
        <sz val="11"/>
        <color rgb="FFFF0000"/>
        <rFont val="Times New Roman"/>
        <family val="1"/>
      </rPr>
      <t>Résultat :</t>
    </r>
    <r>
      <rPr>
        <sz val="11"/>
        <color rgb="FFFF0000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         Conforme :                        </t>
    </r>
  </si>
  <si>
    <t>Non conforme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</si>
</sst>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&quot; L&quot;"/>
    <numFmt numFmtId="165" formatCode="#,##0&quot; cm&quot;"/>
    <numFmt numFmtId="166" formatCode="[$-40C]d\-mmm\-yy;@"/>
    <numFmt numFmtId="167" formatCode="ddmmyy"/>
    <numFmt numFmtId="168" formatCode="0.0"/>
    <numFmt numFmtId="169" formatCode="0.000%"/>
    <numFmt numFmtId="170" formatCode="0.0000%"/>
    <numFmt numFmtId="171" formatCode="#,##0.00&quot; L&quot;"/>
    <numFmt numFmtId="172" formatCode="#,##0.000&quot; L&quot;"/>
    <numFmt numFmtId="173" formatCode="#,##0.00000&quot; L&quot;"/>
    <numFmt numFmtId="174" formatCode="0.000000"/>
  </numFmts>
  <fonts count="4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8"/>
      <color theme="1"/>
      <name val="Aptos Narrow"/>
      <family val="2"/>
    </font>
    <font>
      <b/>
      <sz val="14"/>
      <color theme="1"/>
      <name val="Aptos Narrow"/>
      <family val="2"/>
    </font>
    <font>
      <b/>
      <sz val="11"/>
      <color theme="1"/>
      <name val="Arial"/>
      <family val="2"/>
    </font>
    <font>
      <b/>
      <sz val="11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rial"/>
      <family val="2"/>
    </font>
    <font>
      <u/>
      <sz val="11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0"/>
      <color theme="1"/>
      <name val="Aptos Narrow"/>
      <family val="2"/>
    </font>
    <font>
      <b/>
      <sz val="8"/>
      <color theme="1"/>
      <name val="Aptos Narrow"/>
      <family val="2"/>
    </font>
    <font>
      <sz val="12"/>
      <color theme="1"/>
      <name val="Aptos Narrow"/>
      <family val="2"/>
    </font>
    <font>
      <sz val="10"/>
      <color rgb="FFFF0000"/>
      <name val="Aptos Narrow"/>
      <family val="2"/>
      <scheme val="minor"/>
    </font>
    <font>
      <i/>
      <sz val="9"/>
      <color theme="1"/>
      <name val="Aptos Narrow"/>
      <family val="2"/>
    </font>
    <font>
      <sz val="9"/>
      <name val="Aptos Narrow"/>
      <family val="2"/>
    </font>
    <font>
      <b/>
      <u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rgb="FFFF0000"/>
      <name val="Aptos Narrow (Corps)"/>
    </font>
    <font>
      <sz val="11"/>
      <color theme="1"/>
      <name val="Times New Roman"/>
      <family val="1"/>
    </font>
    <font>
      <b/>
      <sz val="9"/>
      <color rgb="FFFF0000"/>
      <name val="Aptos Narrow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FF0000"/>
      <name val="Aptos Narrow"/>
      <family val="2"/>
    </font>
    <font>
      <sz val="16"/>
      <color rgb="FF414856"/>
      <name val="Marianne_light"/>
    </font>
    <font>
      <sz val="11"/>
      <color theme="1"/>
      <name val="Aptos Narrow"/>
    </font>
    <font>
      <sz val="11"/>
      <name val="Aptos Narrow"/>
    </font>
    <font>
      <sz val="8"/>
      <color theme="1"/>
      <name val="Aptos Narrow"/>
    </font>
    <font>
      <b/>
      <sz val="11"/>
      <color theme="1"/>
      <name val="Aptos Narrow"/>
      <scheme val="minor"/>
    </font>
    <font>
      <b/>
      <sz val="9"/>
      <name val="Aptos Narrow"/>
    </font>
    <font>
      <sz val="12"/>
      <color theme="1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CAEB"/>
      </patternFill>
    </fill>
    <fill>
      <patternFill patternType="solid">
        <fgColor theme="0"/>
        <bgColor rgb="FFC1E4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D0D0D0"/>
      </patternFill>
    </fill>
    <fill>
      <patternFill patternType="solid">
        <fgColor rgb="FFFFFDE8"/>
        <bgColor rgb="FFD0D0D0"/>
      </patternFill>
    </fill>
    <fill>
      <patternFill patternType="solid">
        <fgColor rgb="FFFFFDE8"/>
        <bgColor indexed="64"/>
      </patternFill>
    </fill>
    <fill>
      <patternFill patternType="solid">
        <fgColor rgb="FFFFFDE8"/>
        <bgColor rgb="FF83CAEB"/>
      </patternFill>
    </fill>
    <fill>
      <patternFill patternType="solid">
        <fgColor theme="5" tint="0.79998168889431442"/>
        <bgColor rgb="FF83CAEB"/>
      </patternFill>
    </fill>
  </fills>
  <borders count="56">
    <border>
      <left/>
      <right/>
      <top/>
      <bottom/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2"/>
    <xf numFmtId="9" fontId="1" fillId="0" borderId="2" applyFont="0" applyFill="0" applyBorder="0" applyAlignment="0" applyProtection="0"/>
    <xf numFmtId="9" fontId="34" fillId="0" borderId="0" applyFont="0" applyFill="0" applyBorder="0" applyAlignment="0" applyProtection="0"/>
  </cellStyleXfs>
  <cellXfs count="29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4" borderId="0" xfId="0" applyFill="1"/>
    <xf numFmtId="0" fontId="3" fillId="5" borderId="2" xfId="0" applyFont="1" applyFill="1" applyBorder="1"/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vertical="center" wrapText="1"/>
    </xf>
    <xf numFmtId="0" fontId="0" fillId="4" borderId="2" xfId="0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165" fontId="3" fillId="4" borderId="2" xfId="0" applyNumberFormat="1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7" fillId="9" borderId="2" xfId="0" applyFont="1" applyFill="1" applyBorder="1" applyAlignment="1">
      <alignment horizontal="center"/>
    </xf>
    <xf numFmtId="0" fontId="0" fillId="4" borderId="9" xfId="0" applyFill="1" applyBorder="1"/>
    <xf numFmtId="0" fontId="5" fillId="4" borderId="2" xfId="0" applyFont="1" applyFill="1" applyBorder="1" applyAlignment="1">
      <alignment vertical="center"/>
    </xf>
    <xf numFmtId="0" fontId="22" fillId="4" borderId="2" xfId="0" applyFont="1" applyFill="1" applyBorder="1"/>
    <xf numFmtId="0" fontId="4" fillId="9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25" fillId="9" borderId="2" xfId="0" applyFont="1" applyFill="1" applyBorder="1" applyAlignment="1">
      <alignment horizontal="left" vertical="center"/>
    </xf>
    <xf numFmtId="164" fontId="0" fillId="0" borderId="0" xfId="0" applyNumberFormat="1"/>
    <xf numFmtId="164" fontId="18" fillId="4" borderId="2" xfId="0" applyNumberFormat="1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27" fillId="4" borderId="2" xfId="0" applyFont="1" applyFill="1" applyBorder="1"/>
    <xf numFmtId="0" fontId="19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166" fontId="21" fillId="9" borderId="2" xfId="0" applyNumberFormat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left" vertical="top"/>
    </xf>
    <xf numFmtId="0" fontId="4" fillId="9" borderId="9" xfId="0" applyFont="1" applyFill="1" applyBorder="1" applyAlignment="1">
      <alignment horizontal="left" vertical="top"/>
    </xf>
    <xf numFmtId="0" fontId="4" fillId="9" borderId="12" xfId="0" applyFont="1" applyFill="1" applyBorder="1" applyAlignment="1">
      <alignment horizontal="left" vertical="top"/>
    </xf>
    <xf numFmtId="0" fontId="4" fillId="9" borderId="13" xfId="0" applyFont="1" applyFill="1" applyBorder="1" applyAlignment="1">
      <alignment horizontal="left" vertical="top"/>
    </xf>
    <xf numFmtId="0" fontId="4" fillId="9" borderId="2" xfId="0" applyFont="1" applyFill="1" applyBorder="1" applyAlignment="1">
      <alignment horizontal="left" vertical="top"/>
    </xf>
    <xf numFmtId="0" fontId="4" fillId="9" borderId="14" xfId="0" applyFont="1" applyFill="1" applyBorder="1" applyAlignment="1">
      <alignment horizontal="left" vertical="top"/>
    </xf>
    <xf numFmtId="0" fontId="4" fillId="9" borderId="6" xfId="0" applyFont="1" applyFill="1" applyBorder="1" applyAlignment="1">
      <alignment horizontal="left" vertical="top"/>
    </xf>
    <xf numFmtId="0" fontId="4" fillId="9" borderId="7" xfId="0" applyFont="1" applyFill="1" applyBorder="1" applyAlignment="1">
      <alignment horizontal="left" vertical="top"/>
    </xf>
    <xf numFmtId="0" fontId="4" fillId="9" borderId="8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" fillId="0" borderId="2" xfId="1"/>
    <xf numFmtId="168" fontId="1" fillId="0" borderId="2" xfId="1" applyNumberFormat="1"/>
    <xf numFmtId="1" fontId="1" fillId="0" borderId="2" xfId="1" applyNumberFormat="1"/>
    <xf numFmtId="9" fontId="0" fillId="0" borderId="2" xfId="2" applyFont="1" applyBorder="1"/>
    <xf numFmtId="2" fontId="1" fillId="0" borderId="2" xfId="1" applyNumberFormat="1"/>
    <xf numFmtId="0" fontId="1" fillId="0" borderId="49" xfId="1" applyBorder="1"/>
    <xf numFmtId="0" fontId="1" fillId="0" borderId="48" xfId="1" applyBorder="1"/>
    <xf numFmtId="0" fontId="1" fillId="0" borderId="47" xfId="1" applyBorder="1"/>
    <xf numFmtId="0" fontId="1" fillId="0" borderId="50" xfId="1" applyBorder="1"/>
    <xf numFmtId="0" fontId="1" fillId="0" borderId="46" xfId="1" applyBorder="1"/>
    <xf numFmtId="0" fontId="1" fillId="0" borderId="51" xfId="1" applyBorder="1"/>
    <xf numFmtId="0" fontId="1" fillId="0" borderId="45" xfId="1" applyBorder="1"/>
    <xf numFmtId="0" fontId="1" fillId="0" borderId="44" xfId="1" applyBorder="1"/>
    <xf numFmtId="9" fontId="0" fillId="0" borderId="2" xfId="2" applyFont="1"/>
    <xf numFmtId="1" fontId="1" fillId="0" borderId="8" xfId="1" applyNumberFormat="1" applyBorder="1"/>
    <xf numFmtId="0" fontId="1" fillId="0" borderId="6" xfId="1" applyBorder="1"/>
    <xf numFmtId="168" fontId="1" fillId="0" borderId="48" xfId="1" applyNumberFormat="1" applyBorder="1"/>
    <xf numFmtId="1" fontId="1" fillId="0" borderId="14" xfId="1" applyNumberFormat="1" applyBorder="1"/>
    <xf numFmtId="0" fontId="1" fillId="0" borderId="13" xfId="1" applyBorder="1"/>
    <xf numFmtId="0" fontId="1" fillId="0" borderId="12" xfId="1" applyBorder="1"/>
    <xf numFmtId="0" fontId="1" fillId="0" borderId="11" xfId="1" applyBorder="1"/>
    <xf numFmtId="0" fontId="17" fillId="0" borderId="2" xfId="1" applyFont="1"/>
    <xf numFmtId="1" fontId="0" fillId="0" borderId="0" xfId="0" applyNumberFormat="1"/>
    <xf numFmtId="9" fontId="0" fillId="0" borderId="0" xfId="3" applyFont="1"/>
    <xf numFmtId="169" fontId="0" fillId="0" borderId="0" xfId="3" applyNumberFormat="1" applyFont="1"/>
    <xf numFmtId="170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64" fontId="0" fillId="0" borderId="0" xfId="0" applyNumberFormat="1" applyAlignment="1">
      <alignment vertical="center" wrapText="1"/>
    </xf>
    <xf numFmtId="0" fontId="36" fillId="0" borderId="0" xfId="0" applyFont="1"/>
    <xf numFmtId="0" fontId="1" fillId="0" borderId="0" xfId="0" applyFont="1"/>
    <xf numFmtId="0" fontId="37" fillId="9" borderId="2" xfId="0" applyFont="1" applyFill="1" applyBorder="1" applyAlignment="1">
      <alignment vertical="center"/>
    </xf>
    <xf numFmtId="0" fontId="38" fillId="4" borderId="2" xfId="0" applyFont="1" applyFill="1" applyBorder="1" applyAlignment="1">
      <alignment vertical="center"/>
    </xf>
    <xf numFmtId="0" fontId="37" fillId="9" borderId="2" xfId="0" applyFont="1" applyFill="1" applyBorder="1" applyAlignment="1">
      <alignment horizontal="left" vertical="center"/>
    </xf>
    <xf numFmtId="0" fontId="10" fillId="9" borderId="2" xfId="0" applyFont="1" applyFill="1" applyBorder="1" applyAlignment="1">
      <alignment vertical="center"/>
    </xf>
    <xf numFmtId="0" fontId="40" fillId="0" borderId="0" xfId="0" applyFont="1"/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23" fillId="9" borderId="2" xfId="0" applyFont="1" applyFill="1" applyBorder="1"/>
    <xf numFmtId="0" fontId="3" fillId="4" borderId="7" xfId="0" applyFont="1" applyFill="1" applyBorder="1"/>
    <xf numFmtId="0" fontId="13" fillId="4" borderId="7" xfId="0" applyFont="1" applyFill="1" applyBorder="1"/>
    <xf numFmtId="164" fontId="18" fillId="4" borderId="2" xfId="0" applyNumberFormat="1" applyFont="1" applyFill="1" applyBorder="1" applyAlignment="1">
      <alignment horizontal="left"/>
    </xf>
    <xf numFmtId="165" fontId="35" fillId="4" borderId="7" xfId="0" applyNumberFormat="1" applyFont="1" applyFill="1" applyBorder="1" applyAlignment="1">
      <alignment horizontal="left"/>
    </xf>
    <xf numFmtId="164" fontId="18" fillId="4" borderId="2" xfId="0" applyNumberFormat="1" applyFont="1" applyFill="1" applyBorder="1"/>
    <xf numFmtId="165" fontId="35" fillId="4" borderId="7" xfId="0" applyNumberFormat="1" applyFont="1" applyFill="1" applyBorder="1"/>
    <xf numFmtId="0" fontId="18" fillId="4" borderId="2" xfId="0" applyFont="1" applyFill="1" applyBorder="1" applyAlignment="1">
      <alignment vertical="center"/>
    </xf>
    <xf numFmtId="0" fontId="28" fillId="4" borderId="2" xfId="0" applyFont="1" applyFill="1" applyBorder="1"/>
    <xf numFmtId="0" fontId="23" fillId="9" borderId="7" xfId="0" applyFont="1" applyFill="1" applyBorder="1"/>
    <xf numFmtId="0" fontId="8" fillId="4" borderId="2" xfId="0" applyFont="1" applyFill="1" applyBorder="1" applyAlignment="1">
      <alignment vertical="center"/>
    </xf>
    <xf numFmtId="0" fontId="39" fillId="9" borderId="3" xfId="0" applyFont="1" applyFill="1" applyBorder="1" applyAlignment="1">
      <alignment horizontal="center"/>
    </xf>
    <xf numFmtId="0" fontId="39" fillId="9" borderId="5" xfId="0" applyFont="1" applyFill="1" applyBorder="1" applyAlignment="1">
      <alignment horizontal="center"/>
    </xf>
    <xf numFmtId="0" fontId="4" fillId="9" borderId="5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166" fontId="18" fillId="9" borderId="55" xfId="0" applyNumberFormat="1" applyFont="1" applyFill="1" applyBorder="1" applyAlignment="1">
      <alignment horizontal="center" vertical="center"/>
    </xf>
    <xf numFmtId="166" fontId="18" fillId="9" borderId="7" xfId="0" applyNumberFormat="1" applyFont="1" applyFill="1" applyBorder="1" applyAlignment="1">
      <alignment horizontal="center" vertical="center"/>
    </xf>
    <xf numFmtId="166" fontId="18" fillId="9" borderId="8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9" fillId="9" borderId="29" xfId="0" applyFont="1" applyFill="1" applyBorder="1" applyAlignment="1">
      <alignment horizontal="center"/>
    </xf>
    <xf numFmtId="0" fontId="39" fillId="9" borderId="22" xfId="0" applyFont="1" applyFill="1" applyBorder="1" applyAlignment="1">
      <alignment horizontal="center"/>
    </xf>
    <xf numFmtId="0" fontId="39" fillId="9" borderId="27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vertical="center"/>
    </xf>
    <xf numFmtId="0" fontId="39" fillId="9" borderId="54" xfId="0" applyFont="1" applyFill="1" applyBorder="1" applyAlignment="1">
      <alignment horizontal="center"/>
    </xf>
    <xf numFmtId="0" fontId="10" fillId="9" borderId="6" xfId="0" applyFont="1" applyFill="1" applyBorder="1" applyAlignment="1">
      <alignment vertical="center"/>
    </xf>
    <xf numFmtId="0" fontId="10" fillId="9" borderId="7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/>
    </xf>
    <xf numFmtId="0" fontId="4" fillId="9" borderId="52" xfId="0" applyFont="1" applyFill="1" applyBorder="1" applyAlignment="1">
      <alignment horizontal="center"/>
    </xf>
    <xf numFmtId="0" fontId="23" fillId="9" borderId="3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vertical="center"/>
    </xf>
    <xf numFmtId="0" fontId="39" fillId="9" borderId="4" xfId="0" applyFont="1" applyFill="1" applyBorder="1" applyAlignment="1">
      <alignment horizontal="center"/>
    </xf>
    <xf numFmtId="0" fontId="39" fillId="9" borderId="52" xfId="0" applyFont="1" applyFill="1" applyBorder="1" applyAlignment="1">
      <alignment horizontal="center"/>
    </xf>
    <xf numFmtId="0" fontId="10" fillId="9" borderId="13" xfId="0" applyFont="1" applyFill="1" applyBorder="1" applyAlignment="1">
      <alignment vertical="center"/>
    </xf>
    <xf numFmtId="0" fontId="10" fillId="9" borderId="2" xfId="0" applyFont="1" applyFill="1" applyBorder="1" applyAlignment="1">
      <alignment vertical="center"/>
    </xf>
    <xf numFmtId="0" fontId="10" fillId="9" borderId="14" xfId="0" applyFont="1" applyFill="1" applyBorder="1" applyAlignment="1">
      <alignment vertical="center"/>
    </xf>
    <xf numFmtId="0" fontId="39" fillId="9" borderId="20" xfId="0" applyFont="1" applyFill="1" applyBorder="1" applyAlignment="1">
      <alignment horizontal="center"/>
    </xf>
    <xf numFmtId="0" fontId="39" fillId="9" borderId="21" xfId="0" applyFont="1" applyFill="1" applyBorder="1" applyAlignment="1">
      <alignment horizontal="center"/>
    </xf>
    <xf numFmtId="0" fontId="10" fillId="9" borderId="29" xfId="0" applyFont="1" applyFill="1" applyBorder="1" applyAlignment="1">
      <alignment vertical="center"/>
    </xf>
    <xf numFmtId="0" fontId="10" fillId="9" borderId="27" xfId="0" applyFont="1" applyFill="1" applyBorder="1" applyAlignment="1">
      <alignment vertical="center"/>
    </xf>
    <xf numFmtId="166" fontId="18" fillId="9" borderId="3" xfId="0" applyNumberFormat="1" applyFont="1" applyFill="1" applyBorder="1" applyAlignment="1">
      <alignment horizontal="center" vertical="center"/>
    </xf>
    <xf numFmtId="166" fontId="18" fillId="9" borderId="4" xfId="0" applyNumberFormat="1" applyFont="1" applyFill="1" applyBorder="1" applyAlignment="1">
      <alignment horizontal="center" vertical="center"/>
    </xf>
    <xf numFmtId="166" fontId="18" fillId="9" borderId="52" xfId="0" applyNumberFormat="1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/>
    </xf>
    <xf numFmtId="164" fontId="18" fillId="4" borderId="14" xfId="0" applyNumberFormat="1" applyFont="1" applyFill="1" applyBorder="1" applyAlignment="1">
      <alignment horizontal="center"/>
    </xf>
    <xf numFmtId="165" fontId="35" fillId="4" borderId="7" xfId="0" applyNumberFormat="1" applyFont="1" applyFill="1" applyBorder="1" applyAlignment="1">
      <alignment horizontal="center"/>
    </xf>
    <xf numFmtId="165" fontId="35" fillId="4" borderId="8" xfId="0" applyNumberFormat="1" applyFont="1" applyFill="1" applyBorder="1" applyAlignment="1">
      <alignment horizontal="center"/>
    </xf>
    <xf numFmtId="0" fontId="10" fillId="9" borderId="3" xfId="0" applyFont="1" applyFill="1" applyBorder="1" applyAlignment="1">
      <alignment horizontal="left" vertical="center"/>
    </xf>
    <xf numFmtId="0" fontId="10" fillId="9" borderId="4" xfId="0" applyFont="1" applyFill="1" applyBorder="1" applyAlignment="1">
      <alignment horizontal="left" vertical="center"/>
    </xf>
    <xf numFmtId="0" fontId="10" fillId="9" borderId="5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5" fontId="35" fillId="4" borderId="2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0" fillId="4" borderId="0" xfId="0" applyNumberFormat="1" applyFill="1" applyAlignment="1">
      <alignment horizontal="center"/>
    </xf>
    <xf numFmtId="0" fontId="23" fillId="9" borderId="7" xfId="0" applyFont="1" applyFill="1" applyBorder="1" applyAlignment="1">
      <alignment horizontal="center"/>
    </xf>
    <xf numFmtId="0" fontId="23" fillId="9" borderId="8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41" fillId="4" borderId="10" xfId="0" applyFont="1" applyFill="1" applyBorder="1" applyAlignment="1">
      <alignment horizontal="center" wrapText="1"/>
    </xf>
    <xf numFmtId="0" fontId="41" fillId="4" borderId="10" xfId="0" applyFont="1" applyFill="1" applyBorder="1" applyAlignment="1">
      <alignment horizontal="center"/>
    </xf>
    <xf numFmtId="0" fontId="10" fillId="0" borderId="52" xfId="0" applyFont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52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3" fillId="4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18" fillId="8" borderId="11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64" fontId="18" fillId="4" borderId="9" xfId="0" applyNumberFormat="1" applyFont="1" applyFill="1" applyBorder="1" applyAlignment="1">
      <alignment horizontal="center"/>
    </xf>
    <xf numFmtId="164" fontId="18" fillId="4" borderId="12" xfId="0" applyNumberFormat="1" applyFont="1" applyFill="1" applyBorder="1" applyAlignment="1">
      <alignment horizontal="center"/>
    </xf>
    <xf numFmtId="0" fontId="29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165" fontId="18" fillId="4" borderId="14" xfId="0" applyNumberFormat="1" applyFont="1" applyFill="1" applyBorder="1" applyAlignment="1">
      <alignment horizontal="center"/>
    </xf>
    <xf numFmtId="165" fontId="26" fillId="4" borderId="2" xfId="0" applyNumberFormat="1" applyFont="1" applyFill="1" applyBorder="1" applyAlignment="1">
      <alignment horizontal="center"/>
    </xf>
    <xf numFmtId="165" fontId="26" fillId="4" borderId="14" xfId="0" applyNumberFormat="1" applyFont="1" applyFill="1" applyBorder="1" applyAlignment="1">
      <alignment horizontal="center"/>
    </xf>
    <xf numFmtId="165" fontId="18" fillId="4" borderId="7" xfId="0" applyNumberFormat="1" applyFont="1" applyFill="1" applyBorder="1" applyAlignment="1">
      <alignment horizontal="center"/>
    </xf>
    <xf numFmtId="165" fontId="18" fillId="4" borderId="8" xfId="0" applyNumberFormat="1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8" fillId="8" borderId="9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" fontId="18" fillId="4" borderId="9" xfId="0" applyNumberFormat="1" applyFont="1" applyFill="1" applyBorder="1" applyAlignment="1">
      <alignment horizontal="center"/>
    </xf>
    <xf numFmtId="1" fontId="18" fillId="4" borderId="12" xfId="0" applyNumberFormat="1" applyFont="1" applyFill="1" applyBorder="1" applyAlignment="1">
      <alignment horizontal="center"/>
    </xf>
    <xf numFmtId="1" fontId="18" fillId="4" borderId="2" xfId="0" applyNumberFormat="1" applyFont="1" applyFill="1" applyBorder="1" applyAlignment="1">
      <alignment horizontal="center"/>
    </xf>
    <xf numFmtId="1" fontId="18" fillId="4" borderId="14" xfId="0" applyNumberFormat="1" applyFont="1" applyFill="1" applyBorder="1" applyAlignment="1">
      <alignment horizontal="center"/>
    </xf>
    <xf numFmtId="2" fontId="33" fillId="0" borderId="7" xfId="0" applyNumberFormat="1" applyFont="1" applyBorder="1" applyAlignment="1">
      <alignment horizontal="center"/>
    </xf>
    <xf numFmtId="2" fontId="33" fillId="0" borderId="8" xfId="0" applyNumberFormat="1" applyFont="1" applyBorder="1" applyAlignment="1">
      <alignment horizontal="center"/>
    </xf>
    <xf numFmtId="0" fontId="10" fillId="0" borderId="28" xfId="0" applyFont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14" fontId="11" fillId="11" borderId="37" xfId="0" applyNumberFormat="1" applyFont="1" applyFill="1" applyBorder="1" applyAlignment="1">
      <alignment horizontal="center" vertical="center"/>
    </xf>
    <xf numFmtId="14" fontId="11" fillId="11" borderId="17" xfId="0" applyNumberFormat="1" applyFont="1" applyFill="1" applyBorder="1" applyAlignment="1">
      <alignment horizontal="center" vertical="center"/>
    </xf>
    <xf numFmtId="14" fontId="11" fillId="11" borderId="26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14" fontId="9" fillId="7" borderId="5" xfId="0" applyNumberFormat="1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1" fillId="11" borderId="10" xfId="0" applyFont="1" applyFill="1" applyBorder="1" applyAlignment="1">
      <alignment horizontal="center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" fontId="10" fillId="0" borderId="3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horizontal="center"/>
    </xf>
    <xf numFmtId="0" fontId="10" fillId="0" borderId="36" xfId="0" applyFont="1" applyBorder="1" applyAlignment="1">
      <alignment horizontal="center" vertical="center" wrapText="1"/>
    </xf>
    <xf numFmtId="0" fontId="42" fillId="4" borderId="2" xfId="0" applyFont="1" applyFill="1" applyBorder="1"/>
    <xf numFmtId="0" fontId="21" fillId="4" borderId="2" xfId="0" applyFont="1" applyFill="1" applyBorder="1" applyAlignment="1">
      <alignment horizontal="center"/>
    </xf>
  </cellXfs>
  <cellStyles count="4">
    <cellStyle name="Normal" xfId="0" builtinId="0"/>
    <cellStyle name="Normal 2" xfId="1" xr:uid="{BC8E7C5D-3D37-4428-86EB-68EC087238D8}"/>
    <cellStyle name="Pourcentage" xfId="3" builtinId="5"/>
    <cellStyle name="Pourcentage 2" xfId="2" xr:uid="{BE1C380C-C463-4AB5-B39D-403266AC51EA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2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colors>
    <mruColors>
      <color rgb="FFFFF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9525</xdr:rowOff>
    </xdr:from>
    <xdr:ext cx="1057275" cy="6953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67</xdr:row>
      <xdr:rowOff>0</xdr:rowOff>
    </xdr:from>
    <xdr:ext cx="276225" cy="0"/>
    <xdr:pic>
      <xdr:nvPicPr>
        <xdr:cNvPr id="18" name="image2.png" descr="Boîte avec un remplissage uni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108</xdr:row>
      <xdr:rowOff>0</xdr:rowOff>
    </xdr:from>
    <xdr:ext cx="276225" cy="0"/>
    <xdr:pic>
      <xdr:nvPicPr>
        <xdr:cNvPr id="13" name="image2.png" descr="Boîte avec un remplissage uni">
          <a:extLst>
            <a:ext uri="{FF2B5EF4-FFF2-40B4-BE49-F238E27FC236}">
              <a16:creationId xmlns:a16="http://schemas.microsoft.com/office/drawing/2014/main" id="{219ECED0-E838-7F40-A7A7-699406E1BD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0" y="14447520"/>
          <a:ext cx="276225" cy="0"/>
        </a:xfrm>
        <a:prstGeom prst="rect">
          <a:avLst/>
        </a:prstGeom>
        <a:noFill/>
      </xdr:spPr>
    </xdr:pic>
    <xdr:clientData fLocksWithSheet="0"/>
  </xdr:oneCellAnchor>
  <xdr:twoCellAnchor>
    <xdr:from>
      <xdr:col>23</xdr:col>
      <xdr:colOff>252716</xdr:colOff>
      <xdr:row>24</xdr:row>
      <xdr:rowOff>26764</xdr:rowOff>
    </xdr:from>
    <xdr:to>
      <xdr:col>24</xdr:col>
      <xdr:colOff>112570</xdr:colOff>
      <xdr:row>24</xdr:row>
      <xdr:rowOff>175777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BC7E80-ED35-617B-210E-B15E6074B881}"/>
            </a:ext>
          </a:extLst>
        </xdr:cNvPr>
        <xdr:cNvSpPr/>
      </xdr:nvSpPr>
      <xdr:spPr>
        <a:xfrm>
          <a:off x="5751816" y="4827364"/>
          <a:ext cx="151954" cy="149013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160020</xdr:colOff>
      <xdr:row>24</xdr:row>
      <xdr:rowOff>35560</xdr:rowOff>
    </xdr:from>
    <xdr:to>
      <xdr:col>10</xdr:col>
      <xdr:colOff>101600</xdr:colOff>
      <xdr:row>25</xdr:row>
      <xdr:rowOff>25400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05536-7AF1-588D-E38D-313D0F1E32BB}"/>
            </a:ext>
          </a:extLst>
        </xdr:cNvPr>
        <xdr:cNvSpPr/>
      </xdr:nvSpPr>
      <xdr:spPr>
        <a:xfrm>
          <a:off x="2255520" y="4836160"/>
          <a:ext cx="170180" cy="16764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25400</xdr:colOff>
      <xdr:row>27</xdr:row>
      <xdr:rowOff>127000</xdr:rowOff>
    </xdr:from>
    <xdr:to>
      <xdr:col>10</xdr:col>
      <xdr:colOff>12700</xdr:colOff>
      <xdr:row>34</xdr:row>
      <xdr:rowOff>63500</xdr:rowOff>
    </xdr:to>
    <xdr:sp macro="" textlink="">
      <xdr:nvSpPr>
        <xdr:cNvPr id="8" name="Accolade fermante 7">
          <a:extLst>
            <a:ext uri="{FF2B5EF4-FFF2-40B4-BE49-F238E27FC236}">
              <a16:creationId xmlns:a16="http://schemas.microsoft.com/office/drawing/2014/main" id="{77894251-70AE-59FB-9715-BDE43584577F}"/>
            </a:ext>
          </a:extLst>
        </xdr:cNvPr>
        <xdr:cNvSpPr/>
      </xdr:nvSpPr>
      <xdr:spPr>
        <a:xfrm>
          <a:off x="2120900" y="5384800"/>
          <a:ext cx="215900" cy="1257300"/>
        </a:xfrm>
        <a:prstGeom prst="rightBrace">
          <a:avLst>
            <a:gd name="adj1" fmla="val 56111"/>
            <a:gd name="adj2" fmla="val 50000"/>
          </a:avLst>
        </a:prstGeom>
        <a:noFill/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88900</xdr:colOff>
      <xdr:row>34</xdr:row>
      <xdr:rowOff>152400</xdr:rowOff>
    </xdr:from>
    <xdr:to>
      <xdr:col>8</xdr:col>
      <xdr:colOff>203200</xdr:colOff>
      <xdr:row>39</xdr:row>
      <xdr:rowOff>25400</xdr:rowOff>
    </xdr:to>
    <xdr:sp macro="" textlink="">
      <xdr:nvSpPr>
        <xdr:cNvPr id="9" name="Accolade fermante 8">
          <a:extLst>
            <a:ext uri="{FF2B5EF4-FFF2-40B4-BE49-F238E27FC236}">
              <a16:creationId xmlns:a16="http://schemas.microsoft.com/office/drawing/2014/main" id="{1DB23E6B-C671-A644-AC30-5351A515FDB5}"/>
            </a:ext>
          </a:extLst>
        </xdr:cNvPr>
        <xdr:cNvSpPr/>
      </xdr:nvSpPr>
      <xdr:spPr>
        <a:xfrm>
          <a:off x="1955800" y="6731000"/>
          <a:ext cx="114300" cy="762000"/>
        </a:xfrm>
        <a:prstGeom prst="rightBrace">
          <a:avLst>
            <a:gd name="adj1" fmla="val 56111"/>
            <a:gd name="adj2" fmla="val 50000"/>
          </a:avLst>
        </a:prstGeom>
        <a:noFill/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10</xdr:col>
      <xdr:colOff>25400</xdr:colOff>
      <xdr:row>30</xdr:row>
      <xdr:rowOff>50800</xdr:rowOff>
    </xdr:from>
    <xdr:ext cx="627095" cy="26456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1C963B60-BA78-0BB3-1D90-9D91F958D373}"/>
            </a:ext>
          </a:extLst>
        </xdr:cNvPr>
        <xdr:cNvSpPr txBox="1"/>
      </xdr:nvSpPr>
      <xdr:spPr>
        <a:xfrm>
          <a:off x="2349500" y="5880100"/>
          <a:ext cx="627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i="1"/>
            <a:t>Dilution</a:t>
          </a:r>
        </a:p>
      </xdr:txBody>
    </xdr:sp>
    <xdr:clientData/>
  </xdr:oneCellAnchor>
  <xdr:oneCellAnchor>
    <xdr:from>
      <xdr:col>9</xdr:col>
      <xdr:colOff>25400</xdr:colOff>
      <xdr:row>36</xdr:row>
      <xdr:rowOff>50800</xdr:rowOff>
    </xdr:from>
    <xdr:ext cx="681469" cy="26456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8D98E549-634F-6C47-BA4A-A3A857DE3404}"/>
            </a:ext>
          </a:extLst>
        </xdr:cNvPr>
        <xdr:cNvSpPr txBox="1"/>
      </xdr:nvSpPr>
      <xdr:spPr>
        <a:xfrm>
          <a:off x="2120900" y="6985000"/>
          <a:ext cx="681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i="1"/>
            <a:t>Transfert</a:t>
          </a:r>
        </a:p>
      </xdr:txBody>
    </xdr:sp>
    <xdr:clientData/>
  </xdr:oneCellAnchor>
  <xdr:twoCellAnchor editAs="oneCell">
    <xdr:from>
      <xdr:col>14</xdr:col>
      <xdr:colOff>112389</xdr:colOff>
      <xdr:row>28</xdr:row>
      <xdr:rowOff>105478</xdr:rowOff>
    </xdr:from>
    <xdr:to>
      <xdr:col>24</xdr:col>
      <xdr:colOff>33716</xdr:colOff>
      <xdr:row>49</xdr:row>
      <xdr:rowOff>168583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732E991-7854-A585-DD92-416E58CBA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787" y="5578841"/>
          <a:ext cx="2236548" cy="38955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abri/Downloads/Fiche%20de%20Prod%20d&#233;mentiellement%20puissante(2).xlsx" TargetMode="External"/><Relationship Id="rId1" Type="http://schemas.openxmlformats.org/officeDocument/2006/relationships/externalLinkPath" Target="file:///C:/Users/gabri/Downloads/Fiche%20de%20Prod%20d&#233;mentiellement%20puissant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iche de production 7000 L"/>
    </sheetNames>
    <sheetDataSet>
      <sheetData sheetId="0"/>
      <sheetData sheetId="1">
        <row r="23">
          <cell r="Y23">
            <v>243.88</v>
          </cell>
        </row>
        <row r="24">
          <cell r="Y24">
            <v>111.5</v>
          </cell>
        </row>
        <row r="25">
          <cell r="Y25">
            <v>27.87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2">
  <tableColumns count="2">
    <tableColumn id="1" xr3:uid="{00000000-0010-0000-0000-000001000000}" name="Produit 1"/>
    <tableColumn id="2" xr3:uid="{60E58EA5-4216-6A42-8588-3C42C11595EE}" name="DDM" dataDxfId="2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zoomScale="139" workbookViewId="0">
      <selection activeCell="D15" sqref="D15"/>
    </sheetView>
  </sheetViews>
  <sheetFormatPr baseColWidth="10" defaultColWidth="12.6640625" defaultRowHeight="15" customHeight="1"/>
  <cols>
    <col min="1" max="1" width="20.33203125" customWidth="1"/>
    <col min="2" max="3" width="10.6640625" customWidth="1"/>
    <col min="4" max="4" width="18.1640625" bestFit="1" customWidth="1"/>
    <col min="5" max="5" width="7.1640625" bestFit="1" customWidth="1"/>
    <col min="6" max="25" width="10.6640625" customWidth="1"/>
  </cols>
  <sheetData>
    <row r="1" spans="1:9" ht="14.25" customHeight="1">
      <c r="A1" t="s">
        <v>0</v>
      </c>
      <c r="B1" t="s">
        <v>38</v>
      </c>
      <c r="D1" t="s">
        <v>40</v>
      </c>
      <c r="E1" s="1" t="s">
        <v>11</v>
      </c>
      <c r="H1" t="s">
        <v>51</v>
      </c>
    </row>
    <row r="2" spans="1:9" ht="14.25" customHeight="1">
      <c r="A2" s="1" t="s">
        <v>1</v>
      </c>
      <c r="B2" s="1">
        <v>365</v>
      </c>
      <c r="D2" s="2" t="s">
        <v>1</v>
      </c>
      <c r="E2" s="1">
        <v>4.0000000000000001E-3</v>
      </c>
      <c r="I2" s="26">
        <v>7000</v>
      </c>
    </row>
    <row r="3" spans="1:9" ht="14.25" customHeight="1">
      <c r="A3" s="1" t="s">
        <v>2</v>
      </c>
      <c r="B3" s="1">
        <v>365</v>
      </c>
      <c r="D3" s="3" t="s">
        <v>2</v>
      </c>
      <c r="E3" s="1">
        <v>8.0000000000000002E-3</v>
      </c>
      <c r="I3" s="26">
        <v>5000</v>
      </c>
    </row>
    <row r="4" spans="1:9" ht="14.25" customHeight="1">
      <c r="A4" s="1" t="s">
        <v>3</v>
      </c>
      <c r="B4" s="1">
        <v>365</v>
      </c>
      <c r="D4" s="2" t="s">
        <v>3</v>
      </c>
      <c r="E4" s="1">
        <v>2.4E-2</v>
      </c>
      <c r="G4" s="26"/>
      <c r="H4" s="26"/>
      <c r="I4" s="26">
        <v>3669</v>
      </c>
    </row>
    <row r="5" spans="1:9" ht="14.25" customHeight="1">
      <c r="A5" s="1" t="s">
        <v>4</v>
      </c>
      <c r="B5" s="1">
        <v>365</v>
      </c>
      <c r="D5" s="3" t="s">
        <v>4</v>
      </c>
      <c r="E5" s="1">
        <f>0.08+0.0012+0.004</f>
        <v>8.5200000000000012E-2</v>
      </c>
    </row>
    <row r="6" spans="1:9" ht="14.25" customHeight="1">
      <c r="A6" s="1" t="s">
        <v>5</v>
      </c>
      <c r="B6" s="1">
        <v>365</v>
      </c>
      <c r="D6" s="2" t="s">
        <v>5</v>
      </c>
      <c r="E6" s="1">
        <v>3.4000000000000002E-2</v>
      </c>
    </row>
    <row r="7" spans="1:9" ht="14.25" customHeight="1">
      <c r="A7" s="1" t="s">
        <v>6</v>
      </c>
      <c r="B7" s="1">
        <v>365</v>
      </c>
      <c r="D7" s="3" t="s">
        <v>6</v>
      </c>
      <c r="E7" s="1">
        <v>0</v>
      </c>
    </row>
    <row r="8" spans="1:9" ht="14.25" customHeight="1">
      <c r="A8" s="1" t="s">
        <v>7</v>
      </c>
      <c r="B8" s="1">
        <v>365</v>
      </c>
      <c r="D8" s="2" t="s">
        <v>7</v>
      </c>
      <c r="E8" s="1">
        <v>0</v>
      </c>
    </row>
    <row r="9" spans="1:9" ht="14.25" customHeight="1">
      <c r="A9" s="1" t="s">
        <v>8</v>
      </c>
      <c r="B9" s="1">
        <v>365</v>
      </c>
      <c r="D9" s="3" t="s">
        <v>8</v>
      </c>
      <c r="E9" s="1">
        <v>0</v>
      </c>
    </row>
    <row r="10" spans="1:9" ht="14.25" customHeight="1">
      <c r="A10" s="3" t="s">
        <v>92</v>
      </c>
      <c r="B10" s="1">
        <v>365</v>
      </c>
      <c r="D10" s="3" t="s">
        <v>92</v>
      </c>
      <c r="E10" s="1">
        <v>0</v>
      </c>
    </row>
    <row r="11" spans="1:9" ht="14.25" customHeight="1">
      <c r="A11" s="1" t="s">
        <v>9</v>
      </c>
      <c r="B11" s="1">
        <v>365</v>
      </c>
      <c r="D11" s="2" t="s">
        <v>9</v>
      </c>
      <c r="E11" s="1">
        <v>5.0999999999999997E-2</v>
      </c>
    </row>
    <row r="12" spans="1:9" ht="14.25" customHeight="1">
      <c r="A12" s="1" t="s">
        <v>10</v>
      </c>
      <c r="B12" s="1">
        <v>365</v>
      </c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4"/>
  <sheetViews>
    <sheetView tabSelected="1" showWhiteSpace="0" view="pageLayout" topLeftCell="A23" zoomScale="113" zoomScaleNormal="167" zoomScaleSheetLayoutView="57" zoomScalePageLayoutView="113" workbookViewId="0">
      <selection activeCell="AA32" sqref="AA32"/>
    </sheetView>
  </sheetViews>
  <sheetFormatPr baseColWidth="10" defaultColWidth="12.6640625" defaultRowHeight="15" customHeight="1"/>
  <cols>
    <col min="1" max="1" width="3" customWidth="1"/>
    <col min="2" max="2" width="2.83203125" customWidth="1"/>
    <col min="3" max="7" width="3" customWidth="1"/>
    <col min="8" max="8" width="3.6640625" customWidth="1"/>
    <col min="9" max="11" width="3" customWidth="1"/>
    <col min="12" max="12" width="4.5" customWidth="1"/>
    <col min="13" max="13" width="4.1640625" customWidth="1"/>
    <col min="14" max="23" width="3" customWidth="1"/>
    <col min="24" max="24" width="3.83203125" customWidth="1"/>
    <col min="25" max="27" width="3" customWidth="1"/>
  </cols>
  <sheetData>
    <row r="1" spans="1:31" ht="14.25" customHeight="1">
      <c r="A1" s="230" t="s">
        <v>88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2"/>
      <c r="W1" s="221" t="s">
        <v>12</v>
      </c>
      <c r="X1" s="222"/>
      <c r="Y1" s="222"/>
      <c r="Z1" s="222"/>
      <c r="AA1" s="223"/>
    </row>
    <row r="2" spans="1:31" ht="14.25" customHeight="1">
      <c r="A2" s="233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5"/>
      <c r="W2" s="224" t="s">
        <v>103</v>
      </c>
      <c r="X2" s="225"/>
      <c r="Y2" s="225"/>
      <c r="Z2" s="225"/>
      <c r="AA2" s="226"/>
    </row>
    <row r="3" spans="1:31" ht="14.25" customHeight="1">
      <c r="A3" s="233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5"/>
      <c r="W3" s="224" t="s">
        <v>13</v>
      </c>
      <c r="X3" s="225"/>
      <c r="Y3" s="225"/>
      <c r="Z3" s="225"/>
      <c r="AA3" s="226"/>
    </row>
    <row r="4" spans="1:31" ht="14.25" customHeight="1">
      <c r="A4" s="236"/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8"/>
      <c r="W4" s="227" t="s">
        <v>104</v>
      </c>
      <c r="X4" s="228"/>
      <c r="Y4" s="228"/>
      <c r="Z4" s="228"/>
      <c r="AA4" s="229"/>
    </row>
    <row r="5" spans="1:31" ht="9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31" ht="19">
      <c r="A6" s="239" t="s">
        <v>102</v>
      </c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1"/>
      <c r="AC6" s="89"/>
    </row>
    <row r="7" spans="1:31" ht="9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31" ht="14.25" customHeight="1">
      <c r="A8" s="242" t="s">
        <v>105</v>
      </c>
      <c r="B8" s="243"/>
      <c r="C8" s="243"/>
      <c r="D8" s="243"/>
      <c r="E8" s="243"/>
      <c r="F8" s="243"/>
      <c r="G8" s="244"/>
      <c r="H8" s="245" t="s">
        <v>5</v>
      </c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200"/>
    </row>
    <row r="9" spans="1:31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7"/>
      <c r="S9" s="8"/>
      <c r="T9" s="8"/>
      <c r="U9" s="8"/>
      <c r="V9" s="4"/>
      <c r="W9" s="4"/>
      <c r="X9" s="4"/>
      <c r="Y9" s="4"/>
      <c r="Z9" s="4"/>
      <c r="AA9" s="4"/>
    </row>
    <row r="10" spans="1:31" ht="14.25" customHeight="1">
      <c r="A10" s="264" t="s">
        <v>46</v>
      </c>
      <c r="B10" s="265"/>
      <c r="C10" s="265"/>
      <c r="D10" s="266">
        <f>_xlfn.XLOOKUP(H8,Data!A2:A12,Data!B2:B12)+A20</f>
        <v>46270</v>
      </c>
      <c r="E10" s="266"/>
      <c r="F10" s="266"/>
      <c r="G10" s="267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8"/>
      <c r="T10" s="8"/>
      <c r="U10" s="256" t="s">
        <v>47</v>
      </c>
      <c r="V10" s="257"/>
      <c r="W10" s="257"/>
      <c r="X10" s="258">
        <f>_xlfn.XLOOKUP(H8,Data!A2:A12,Data!B2:B12)+A20</f>
        <v>46270</v>
      </c>
      <c r="Y10" s="258"/>
      <c r="Z10" s="258"/>
      <c r="AA10" s="259"/>
    </row>
    <row r="11" spans="1:3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7"/>
      <c r="N11" s="7"/>
      <c r="O11" s="7"/>
      <c r="P11" s="7"/>
      <c r="Q11" s="7"/>
      <c r="R11" s="7"/>
      <c r="S11" s="7"/>
      <c r="T11" s="7"/>
      <c r="U11" s="7"/>
      <c r="V11" s="4"/>
      <c r="W11" s="4"/>
      <c r="X11" s="4"/>
      <c r="Y11" s="4"/>
      <c r="Z11" s="4"/>
      <c r="AA11" s="4"/>
      <c r="AB11" s="89"/>
      <c r="AC11" s="89"/>
    </row>
    <row r="12" spans="1:31" ht="14.25" customHeight="1">
      <c r="A12" s="291" t="str">
        <f ca="1">IF(OR(D10&lt;(TODAY()+355),D10&gt;(TODAY()+375)),"ATTENTION ERREUR DDM","DDM SEMBLE OK")</f>
        <v>ATTENTION ERREUR DDM</v>
      </c>
      <c r="B12" s="291"/>
      <c r="C12" s="291"/>
      <c r="D12" s="291"/>
      <c r="E12" s="97"/>
      <c r="F12" s="97"/>
      <c r="G12" s="97"/>
      <c r="H12" s="168" t="s">
        <v>84</v>
      </c>
      <c r="I12" s="168"/>
      <c r="J12" s="169"/>
      <c r="K12" s="134" t="s">
        <v>32</v>
      </c>
      <c r="L12" s="136"/>
      <c r="M12" s="136"/>
      <c r="N12" s="136"/>
      <c r="O12" s="134" t="s">
        <v>33</v>
      </c>
      <c r="P12" s="136"/>
      <c r="Q12" s="136"/>
      <c r="R12" s="136"/>
      <c r="S12" s="136"/>
      <c r="T12" s="122"/>
      <c r="U12" s="4"/>
      <c r="V12" s="4"/>
      <c r="W12" s="4"/>
      <c r="X12" s="4"/>
      <c r="Y12" s="4"/>
      <c r="Z12" s="4"/>
      <c r="AA12" s="4"/>
    </row>
    <row r="13" spans="1:31" ht="25" customHeight="1">
      <c r="A13" s="291"/>
      <c r="B13" s="291"/>
      <c r="C13" s="291"/>
      <c r="D13" s="291"/>
      <c r="E13" s="97"/>
      <c r="F13" s="97"/>
      <c r="G13" s="97"/>
      <c r="H13" s="131"/>
      <c r="I13" s="132"/>
      <c r="J13" s="133"/>
      <c r="K13" s="134" t="s">
        <v>89</v>
      </c>
      <c r="L13" s="122"/>
      <c r="M13" s="134" t="s">
        <v>101</v>
      </c>
      <c r="N13" s="135"/>
      <c r="O13" s="170" t="s">
        <v>90</v>
      </c>
      <c r="P13" s="171"/>
      <c r="Q13" s="172" t="s">
        <v>91</v>
      </c>
      <c r="R13" s="171"/>
      <c r="S13" s="173" t="s">
        <v>106</v>
      </c>
      <c r="T13" s="174"/>
      <c r="U13" s="4"/>
      <c r="V13" s="4"/>
      <c r="W13" s="4"/>
      <c r="X13" s="4"/>
      <c r="Y13" s="4"/>
      <c r="Z13" s="4"/>
      <c r="AA13" s="4"/>
    </row>
    <row r="14" spans="1:31" ht="14.25" customHeight="1">
      <c r="A14" s="291"/>
      <c r="B14" s="291"/>
      <c r="C14" s="291"/>
      <c r="D14" s="291"/>
      <c r="E14" s="97"/>
      <c r="F14" s="97"/>
      <c r="G14" s="97"/>
      <c r="H14" s="158" t="s">
        <v>20</v>
      </c>
      <c r="I14" s="159"/>
      <c r="J14" s="160"/>
      <c r="K14" s="161">
        <f>K15*12</f>
        <v>7764</v>
      </c>
      <c r="L14" s="162"/>
      <c r="M14" s="274">
        <f>M15*12</f>
        <v>0</v>
      </c>
      <c r="N14" s="175"/>
      <c r="O14" s="274">
        <f>O15*6</f>
        <v>1356</v>
      </c>
      <c r="P14" s="162"/>
      <c r="Q14" s="274">
        <f>Q15*4</f>
        <v>3760</v>
      </c>
      <c r="R14" s="162"/>
      <c r="S14" s="174">
        <f>S15*6</f>
        <v>0</v>
      </c>
      <c r="T14" s="174"/>
      <c r="U14" s="4"/>
      <c r="V14" s="4"/>
      <c r="W14" s="4"/>
      <c r="X14" s="4"/>
      <c r="Y14" s="4"/>
      <c r="Z14" s="4"/>
      <c r="AA14" s="4"/>
      <c r="AE14" s="77"/>
    </row>
    <row r="15" spans="1:31" ht="14.25" customHeight="1">
      <c r="A15" s="291"/>
      <c r="B15" s="291"/>
      <c r="C15" s="291"/>
      <c r="D15" s="291"/>
      <c r="E15" s="97"/>
      <c r="F15" s="97"/>
      <c r="G15" s="97"/>
      <c r="H15" s="158" t="s">
        <v>22</v>
      </c>
      <c r="I15" s="159"/>
      <c r="J15" s="160"/>
      <c r="K15" s="176">
        <v>647</v>
      </c>
      <c r="L15" s="177"/>
      <c r="M15" s="176">
        <v>0</v>
      </c>
      <c r="N15" s="178"/>
      <c r="O15" s="179">
        <v>226</v>
      </c>
      <c r="P15" s="177"/>
      <c r="Q15" s="176">
        <v>940</v>
      </c>
      <c r="R15" s="177"/>
      <c r="S15" s="284">
        <v>0</v>
      </c>
      <c r="T15" s="284"/>
      <c r="U15" s="4"/>
      <c r="V15" s="4"/>
      <c r="W15" s="4"/>
      <c r="X15" s="4"/>
      <c r="Y15" s="4"/>
      <c r="Z15" s="4"/>
      <c r="AA15" s="4"/>
    </row>
    <row r="16" spans="1:31" ht="14.25" customHeight="1">
      <c r="A16" s="291"/>
      <c r="B16" s="291"/>
      <c r="C16" s="291"/>
      <c r="D16" s="291"/>
      <c r="E16" s="97"/>
      <c r="F16" s="97"/>
      <c r="G16" s="97"/>
      <c r="H16" s="158" t="s">
        <v>52</v>
      </c>
      <c r="I16" s="159"/>
      <c r="J16" s="160"/>
      <c r="K16" s="288">
        <f>(K14+M14)*0.33+(O14+Q14+S14)*0.75</f>
        <v>6399.1200000000008</v>
      </c>
      <c r="L16" s="289"/>
      <c r="M16" s="289"/>
      <c r="N16" s="289"/>
      <c r="O16" s="289"/>
      <c r="P16" s="289"/>
      <c r="Q16" s="289"/>
      <c r="R16" s="289"/>
      <c r="S16" s="289"/>
      <c r="T16" s="290"/>
      <c r="U16" s="4"/>
      <c r="V16" s="4"/>
      <c r="W16" s="4"/>
      <c r="X16" s="4"/>
      <c r="Y16" s="4"/>
      <c r="Z16" s="4"/>
      <c r="AA16" s="4"/>
      <c r="AE16" s="77"/>
    </row>
    <row r="17" spans="1:31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7"/>
      <c r="S17" s="8"/>
      <c r="T17" s="8"/>
      <c r="U17" s="8"/>
      <c r="V17" s="4"/>
      <c r="W17" s="4"/>
      <c r="X17" s="4"/>
      <c r="Y17" s="4"/>
      <c r="Z17" s="4"/>
      <c r="AA17" s="4"/>
      <c r="AE17" s="26"/>
    </row>
    <row r="18" spans="1:31" ht="19">
      <c r="A18" s="268" t="s">
        <v>14</v>
      </c>
      <c r="B18" s="269"/>
      <c r="C18" s="269"/>
      <c r="D18" s="269"/>
      <c r="E18" s="269"/>
      <c r="F18" s="269"/>
      <c r="G18" s="269"/>
      <c r="H18" s="269"/>
      <c r="I18" s="269"/>
      <c r="J18" s="269"/>
      <c r="K18" s="269"/>
      <c r="L18" s="269"/>
      <c r="M18" s="269"/>
      <c r="N18" s="269"/>
      <c r="O18" s="269"/>
      <c r="P18" s="269"/>
      <c r="Q18" s="269"/>
      <c r="R18" s="269"/>
      <c r="S18" s="269"/>
      <c r="T18" s="269"/>
      <c r="U18" s="269"/>
      <c r="V18" s="269"/>
      <c r="W18" s="269"/>
      <c r="X18" s="269"/>
      <c r="Y18" s="269"/>
      <c r="Z18" s="269"/>
      <c r="AA18" s="270"/>
    </row>
    <row r="19" spans="1:31" s="9" customFormat="1" ht="25" customHeight="1">
      <c r="A19" s="271" t="s">
        <v>24</v>
      </c>
      <c r="B19" s="272"/>
      <c r="C19" s="273"/>
      <c r="D19" s="280" t="s">
        <v>25</v>
      </c>
      <c r="E19" s="281"/>
      <c r="F19" s="285" t="s">
        <v>15</v>
      </c>
      <c r="G19" s="286"/>
      <c r="H19" s="286" t="s">
        <v>26</v>
      </c>
      <c r="I19" s="286"/>
      <c r="J19" s="246" t="s">
        <v>16</v>
      </c>
      <c r="K19" s="247"/>
      <c r="L19" s="287" t="s">
        <v>53</v>
      </c>
      <c r="M19" s="287"/>
      <c r="N19" s="250" t="s">
        <v>17</v>
      </c>
      <c r="O19" s="250"/>
      <c r="P19" s="250"/>
      <c r="Q19" s="250"/>
      <c r="R19" s="250"/>
      <c r="S19" s="250"/>
      <c r="T19" s="250"/>
      <c r="U19" s="250"/>
      <c r="V19" s="250"/>
      <c r="W19" s="293" t="s">
        <v>27</v>
      </c>
      <c r="X19" s="293"/>
      <c r="Y19" s="293" t="s">
        <v>28</v>
      </c>
      <c r="Z19" s="293"/>
      <c r="AA19" s="293"/>
      <c r="AD19" s="87"/>
    </row>
    <row r="20" spans="1:31" ht="20" customHeight="1">
      <c r="A20" s="260">
        <v>45905</v>
      </c>
      <c r="B20" s="261"/>
      <c r="C20" s="262"/>
      <c r="D20" s="247"/>
      <c r="E20" s="275"/>
      <c r="F20" s="253"/>
      <c r="G20" s="253"/>
      <c r="H20" s="253"/>
      <c r="I20" s="253"/>
      <c r="J20" s="248"/>
      <c r="K20" s="249"/>
      <c r="L20" s="254" t="s">
        <v>54</v>
      </c>
      <c r="M20" s="255"/>
      <c r="N20" s="251"/>
      <c r="O20" s="252"/>
      <c r="P20" s="252"/>
      <c r="Q20" s="252"/>
      <c r="R20" s="252"/>
      <c r="S20" s="252"/>
      <c r="T20" s="252"/>
      <c r="U20" s="252"/>
      <c r="V20" s="252"/>
      <c r="W20" s="186"/>
      <c r="X20" s="186"/>
      <c r="Y20" s="180" t="b">
        <v>0</v>
      </c>
      <c r="Z20" s="180"/>
      <c r="AA20" s="180"/>
    </row>
    <row r="21" spans="1:31" ht="20" customHeight="1">
      <c r="A21" s="282"/>
      <c r="B21" s="282"/>
      <c r="C21" s="283"/>
      <c r="D21" s="276"/>
      <c r="E21" s="277"/>
      <c r="F21" s="216"/>
      <c r="G21" s="216"/>
      <c r="H21" s="216"/>
      <c r="I21" s="216"/>
      <c r="J21" s="248"/>
      <c r="K21" s="249"/>
      <c r="L21" s="254" t="s">
        <v>54</v>
      </c>
      <c r="M21" s="255"/>
      <c r="N21" s="251"/>
      <c r="O21" s="252"/>
      <c r="P21" s="252"/>
      <c r="Q21" s="252"/>
      <c r="R21" s="252"/>
      <c r="S21" s="252"/>
      <c r="T21" s="252"/>
      <c r="U21" s="252"/>
      <c r="V21" s="252"/>
      <c r="W21" s="186"/>
      <c r="X21" s="186"/>
      <c r="Y21" s="180" t="b">
        <v>0</v>
      </c>
      <c r="Z21" s="180"/>
      <c r="AA21" s="180"/>
    </row>
    <row r="22" spans="1:31" ht="20" customHeight="1">
      <c r="A22" s="206"/>
      <c r="B22" s="206"/>
      <c r="C22" s="207"/>
      <c r="D22" s="278"/>
      <c r="E22" s="279"/>
      <c r="F22" s="216"/>
      <c r="G22" s="216"/>
      <c r="H22" s="216"/>
      <c r="I22" s="216"/>
      <c r="J22" s="248"/>
      <c r="K22" s="249"/>
      <c r="L22" s="254" t="s">
        <v>54</v>
      </c>
      <c r="M22" s="255"/>
      <c r="N22" s="251"/>
      <c r="O22" s="252"/>
      <c r="P22" s="252"/>
      <c r="Q22" s="252"/>
      <c r="R22" s="252"/>
      <c r="S22" s="252"/>
      <c r="T22" s="252"/>
      <c r="U22" s="252"/>
      <c r="V22" s="252"/>
      <c r="W22" s="186"/>
      <c r="X22" s="186"/>
      <c r="Y22" s="180" t="b">
        <v>0</v>
      </c>
      <c r="Z22" s="180"/>
      <c r="AA22" s="180"/>
      <c r="AE22" s="88"/>
    </row>
    <row r="23" spans="1:31" ht="20" customHeight="1">
      <c r="A23" s="206"/>
      <c r="B23" s="206"/>
      <c r="C23" s="207"/>
      <c r="D23" s="208"/>
      <c r="E23" s="209"/>
      <c r="F23" s="216"/>
      <c r="G23" s="216"/>
      <c r="H23" s="216"/>
      <c r="I23" s="216"/>
      <c r="J23" s="187"/>
      <c r="K23" s="188"/>
      <c r="L23" s="202" t="s">
        <v>54</v>
      </c>
      <c r="M23" s="203"/>
      <c r="N23" s="263"/>
      <c r="O23" s="252"/>
      <c r="P23" s="252"/>
      <c r="Q23" s="252"/>
      <c r="R23" s="252"/>
      <c r="S23" s="252"/>
      <c r="T23" s="252"/>
      <c r="U23" s="252"/>
      <c r="V23" s="252"/>
      <c r="W23" s="186"/>
      <c r="X23" s="186"/>
      <c r="Y23" s="180" t="b">
        <v>0</v>
      </c>
      <c r="Z23" s="180"/>
      <c r="AA23" s="180"/>
    </row>
    <row r="24" spans="1:31" ht="10" customHeight="1">
      <c r="A24" s="31"/>
      <c r="B24" s="31"/>
      <c r="C24" s="31"/>
      <c r="D24" s="32"/>
      <c r="E24" s="191"/>
      <c r="F24" s="191"/>
      <c r="G24" s="191"/>
      <c r="H24" s="191"/>
      <c r="I24" s="32"/>
      <c r="J24" s="35"/>
      <c r="K24" s="35"/>
      <c r="L24" s="35"/>
      <c r="M24" s="35"/>
      <c r="N24" s="36"/>
      <c r="O24" s="33"/>
      <c r="P24" s="33"/>
      <c r="Q24" s="33"/>
      <c r="R24" s="33"/>
      <c r="S24" s="33"/>
      <c r="T24" s="33"/>
      <c r="U24" s="33"/>
      <c r="V24" s="33"/>
      <c r="W24" s="31"/>
      <c r="X24" s="31"/>
      <c r="Y24" s="37"/>
      <c r="Z24" s="37"/>
      <c r="AA24" s="37"/>
    </row>
    <row r="25" spans="1:31" ht="14.25" customHeight="1">
      <c r="A25" s="34" t="s">
        <v>108</v>
      </c>
      <c r="B25" s="10"/>
      <c r="C25" s="10"/>
      <c r="D25" s="10"/>
      <c r="E25" s="29"/>
      <c r="F25" s="10"/>
      <c r="G25" s="10"/>
      <c r="H25" s="10"/>
      <c r="I25" s="10"/>
      <c r="J25" s="10"/>
      <c r="K25" s="10"/>
      <c r="L25" s="10"/>
      <c r="M25" s="4"/>
      <c r="N25" s="4"/>
      <c r="O25" s="4"/>
      <c r="P25" s="4"/>
      <c r="Q25" s="4"/>
      <c r="R25" s="4"/>
      <c r="T25" s="105" t="s">
        <v>109</v>
      </c>
      <c r="U25" s="10"/>
      <c r="V25" s="10"/>
      <c r="W25" s="10"/>
      <c r="X25" s="10"/>
      <c r="Y25" s="10"/>
      <c r="Z25" s="10"/>
      <c r="AA25" s="10"/>
    </row>
    <row r="26" spans="1:31" ht="7" customHeight="1">
      <c r="A26" s="34"/>
      <c r="B26" s="10"/>
      <c r="C26" s="10"/>
      <c r="D26" s="10"/>
      <c r="E26" s="2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4"/>
      <c r="W26" s="4"/>
      <c r="X26" s="4"/>
      <c r="Y26" s="4"/>
      <c r="Z26" s="4"/>
      <c r="AA26" s="4"/>
    </row>
    <row r="27" spans="1:31" ht="15" customHeight="1">
      <c r="A27" s="4"/>
      <c r="B27" s="4"/>
      <c r="C27" s="4"/>
      <c r="D27" s="4"/>
      <c r="E27" s="4"/>
      <c r="F27" s="4"/>
      <c r="G27" s="4"/>
      <c r="H27" s="4"/>
      <c r="I27" s="17"/>
      <c r="J27" s="17"/>
      <c r="K27" s="17"/>
      <c r="L27" s="17"/>
      <c r="M27" s="17"/>
      <c r="N27" s="18"/>
      <c r="O27" s="11"/>
      <c r="P27" s="11"/>
      <c r="Q27" s="11"/>
      <c r="R27" s="11"/>
      <c r="S27" s="11"/>
      <c r="T27" s="11"/>
      <c r="U27" s="4"/>
      <c r="V27" s="4"/>
      <c r="W27" s="4"/>
      <c r="X27" s="4"/>
      <c r="Y27" s="4"/>
      <c r="Z27" s="4"/>
      <c r="AA27" s="4"/>
    </row>
    <row r="28" spans="1:31" ht="15" customHeight="1">
      <c r="A28" s="17" t="s">
        <v>34</v>
      </c>
      <c r="B28" s="17"/>
      <c r="C28" s="17"/>
      <c r="D28" s="17"/>
      <c r="E28" s="17"/>
      <c r="F28" s="17"/>
      <c r="G28" s="17"/>
      <c r="H28" s="1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30"/>
      <c r="T28" s="11"/>
      <c r="U28" s="12"/>
      <c r="V28" s="4"/>
      <c r="W28" s="4"/>
      <c r="X28" s="4"/>
      <c r="Y28" s="4"/>
      <c r="Z28" s="4"/>
      <c r="AA28" s="4"/>
    </row>
    <row r="29" spans="1:31" ht="15" customHeight="1">
      <c r="A29" s="40" t="s">
        <v>71</v>
      </c>
      <c r="B29" s="41"/>
      <c r="C29" s="41"/>
      <c r="D29" s="41"/>
      <c r="E29" s="41"/>
      <c r="F29" s="41"/>
      <c r="G29" s="210">
        <f>IF(ISNUMBER( SEARCH("K.",$H$8)),Recette!D24,Recette!D15)</f>
        <v>251.96920000000006</v>
      </c>
      <c r="H29" s="210"/>
      <c r="I29" s="211"/>
      <c r="J29" s="11"/>
      <c r="K29" s="11"/>
      <c r="L29" s="11"/>
      <c r="M29" s="11"/>
      <c r="N29" s="11"/>
      <c r="O29" s="11"/>
      <c r="P29" s="11"/>
      <c r="Q29" s="11"/>
      <c r="R29" s="11"/>
      <c r="S29" s="4"/>
      <c r="T29" s="4"/>
      <c r="U29" s="4"/>
      <c r="V29" s="4"/>
      <c r="W29" s="4"/>
      <c r="X29" s="4"/>
      <c r="Y29" s="4"/>
      <c r="Z29" s="4"/>
      <c r="AA29" s="4"/>
    </row>
    <row r="30" spans="1:31" ht="15" customHeight="1">
      <c r="A30" s="38" t="s">
        <v>72</v>
      </c>
      <c r="B30" s="39"/>
      <c r="C30" s="39"/>
      <c r="D30" s="39"/>
      <c r="E30" s="39"/>
      <c r="F30" s="39"/>
      <c r="G30" s="212">
        <f>IF(ISNUMBER( SEARCH("K.",$H$8)),Recette!D25,Recette!D16)</f>
        <v>115.18592000000001</v>
      </c>
      <c r="H30" s="212"/>
      <c r="I30" s="213"/>
      <c r="J30" s="11"/>
      <c r="K30" s="11"/>
      <c r="L30" s="11"/>
      <c r="M30" s="11"/>
      <c r="N30" s="11"/>
      <c r="O30" s="11"/>
      <c r="P30" s="11"/>
      <c r="Q30" s="11"/>
      <c r="R30" s="11"/>
      <c r="S30" s="4"/>
      <c r="T30" s="4"/>
      <c r="U30" s="4"/>
      <c r="V30" s="4"/>
      <c r="W30" s="4"/>
      <c r="X30" s="4"/>
      <c r="Y30" s="4"/>
      <c r="Z30" s="4"/>
      <c r="AA30" s="4"/>
    </row>
    <row r="31" spans="1:31" ht="15" customHeight="1">
      <c r="A31" s="38" t="s">
        <v>73</v>
      </c>
      <c r="B31" s="39"/>
      <c r="C31" s="39"/>
      <c r="D31" s="39"/>
      <c r="E31" s="39"/>
      <c r="F31" s="39"/>
      <c r="G31" s="212">
        <f>IF(ISNUMBER( SEARCH("K.",$H$8)),Recette!D26,Recette!D17)</f>
        <v>28.796480000000003</v>
      </c>
      <c r="H31" s="212"/>
      <c r="I31" s="213"/>
      <c r="J31" s="11"/>
      <c r="K31" s="4"/>
      <c r="L31" s="4"/>
      <c r="M31" s="11"/>
      <c r="N31" s="11"/>
      <c r="P31" s="11"/>
      <c r="Q31" s="11"/>
      <c r="R31" s="11"/>
      <c r="S31" s="4"/>
      <c r="T31" s="4"/>
      <c r="U31" s="4"/>
      <c r="V31" s="295"/>
      <c r="W31" s="295"/>
      <c r="X31" s="4"/>
      <c r="Y31" s="4"/>
      <c r="Z31" s="4"/>
      <c r="AA31" s="4"/>
    </row>
    <row r="32" spans="1:31" ht="15" customHeight="1">
      <c r="A32" s="38" t="s">
        <v>79</v>
      </c>
      <c r="B32" s="39"/>
      <c r="C32" s="39"/>
      <c r="D32" s="39"/>
      <c r="E32" s="39"/>
      <c r="F32" s="39"/>
      <c r="G32" s="212">
        <f>IF(ISNUMBER( SEARCH("K.",$H$8)),Recette!D27,Recette!D18)</f>
        <v>43.194720000000004</v>
      </c>
      <c r="H32" s="212"/>
      <c r="I32" s="213"/>
      <c r="J32" s="11"/>
      <c r="K32" s="11"/>
      <c r="L32" s="11"/>
      <c r="M32" s="11"/>
      <c r="N32" s="11"/>
      <c r="O32" s="11"/>
      <c r="P32" s="11"/>
      <c r="Q32" s="11"/>
      <c r="R32" s="11"/>
      <c r="S32" s="4"/>
      <c r="T32" s="4"/>
      <c r="U32" s="4"/>
      <c r="V32" s="4"/>
      <c r="W32" s="4"/>
      <c r="X32" s="4"/>
      <c r="Y32" s="4"/>
      <c r="Z32" s="4"/>
      <c r="AA32" s="4"/>
      <c r="AC32" s="26"/>
    </row>
    <row r="33" spans="1:32" ht="15" customHeight="1">
      <c r="A33" s="38" t="s">
        <v>78</v>
      </c>
      <c r="B33" s="39"/>
      <c r="C33" s="39"/>
      <c r="D33" s="39"/>
      <c r="E33" s="39"/>
      <c r="F33" s="39"/>
      <c r="G33" s="212">
        <f>Recette!F10</f>
        <v>704.89599999999996</v>
      </c>
      <c r="H33" s="212"/>
      <c r="I33" s="213"/>
      <c r="J33" s="15"/>
      <c r="K33" s="15"/>
      <c r="L33" s="15"/>
      <c r="M33" s="15"/>
      <c r="N33" s="11"/>
      <c r="O33" s="11"/>
      <c r="P33" s="11"/>
      <c r="Q33" s="11"/>
      <c r="R33" s="11"/>
      <c r="S33" s="4"/>
      <c r="T33" s="4"/>
      <c r="U33" s="4"/>
      <c r="V33" s="4"/>
      <c r="W33" s="4"/>
      <c r="X33" s="4"/>
      <c r="Y33" s="4"/>
      <c r="Z33" s="4"/>
      <c r="AA33" s="4"/>
    </row>
    <row r="34" spans="1:32" ht="14.25" customHeight="1">
      <c r="A34" s="52" t="s">
        <v>75</v>
      </c>
      <c r="B34" s="53"/>
      <c r="C34" s="53"/>
      <c r="D34" s="53"/>
      <c r="E34" s="53"/>
      <c r="F34" s="53"/>
      <c r="G34" s="214">
        <f>Recette!I4</f>
        <v>35.273593630378194</v>
      </c>
      <c r="H34" s="214"/>
      <c r="I34" s="215"/>
      <c r="J34" s="17"/>
      <c r="K34" s="17"/>
      <c r="L34" s="17"/>
      <c r="M34" s="17"/>
      <c r="N34" s="16"/>
      <c r="O34" s="11"/>
      <c r="P34" s="11"/>
      <c r="Q34" s="11"/>
      <c r="R34" s="11"/>
      <c r="S34" s="4"/>
      <c r="T34" s="4"/>
      <c r="U34" s="4"/>
      <c r="V34" s="4"/>
      <c r="W34" s="4"/>
      <c r="X34" s="4"/>
      <c r="Y34" s="4"/>
      <c r="Z34" s="4"/>
      <c r="AA34" s="4"/>
    </row>
    <row r="35" spans="1:32" ht="14.25" customHeight="1">
      <c r="A35" s="30"/>
      <c r="B35" s="15"/>
      <c r="C35" s="15"/>
      <c r="D35" s="15"/>
      <c r="E35" s="15"/>
      <c r="F35" s="15"/>
      <c r="G35" s="15"/>
      <c r="H35" s="15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2"/>
      <c r="V35" s="4"/>
      <c r="W35" s="4"/>
      <c r="X35" s="4"/>
      <c r="Y35" s="4"/>
      <c r="Z35" s="4"/>
      <c r="AA35" s="4"/>
      <c r="AE35" s="84"/>
    </row>
    <row r="36" spans="1:32" ht="14.25" customHeight="1">
      <c r="A36" s="40" t="s">
        <v>29</v>
      </c>
      <c r="B36" s="41"/>
      <c r="C36" s="41"/>
      <c r="D36" s="41"/>
      <c r="E36" s="41"/>
      <c r="F36" s="41"/>
      <c r="G36" s="189">
        <f>K16 + 800</f>
        <v>7199.1200000000008</v>
      </c>
      <c r="H36" s="190"/>
      <c r="I36" s="11"/>
      <c r="J36" s="30"/>
      <c r="K36" s="30"/>
      <c r="L36" s="10"/>
      <c r="M36" s="10"/>
      <c r="N36" s="10"/>
      <c r="O36" s="10"/>
      <c r="P36" s="10"/>
      <c r="Q36" s="10"/>
      <c r="R36" s="4"/>
      <c r="S36" s="10"/>
      <c r="T36" s="10"/>
      <c r="U36" s="10"/>
      <c r="V36" s="4"/>
      <c r="W36" s="4"/>
      <c r="X36" s="4"/>
      <c r="Y36" s="4"/>
      <c r="Z36" s="4"/>
      <c r="AA36" s="4"/>
      <c r="AD36" s="79"/>
    </row>
    <row r="37" spans="1:32" ht="14.25" customHeight="1">
      <c r="A37" s="38" t="s">
        <v>30</v>
      </c>
      <c r="B37" s="39"/>
      <c r="C37" s="39"/>
      <c r="D37" s="39"/>
      <c r="E37" s="39"/>
      <c r="F37" s="39"/>
      <c r="G37" s="193">
        <v>260</v>
      </c>
      <c r="H37" s="194"/>
      <c r="I37" s="11"/>
      <c r="J37" s="30"/>
      <c r="K37" s="30"/>
      <c r="L37" s="10"/>
      <c r="M37" s="10"/>
      <c r="N37" s="10"/>
      <c r="O37" s="10"/>
      <c r="P37" s="10"/>
      <c r="Q37" s="10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32" ht="14.25" customHeight="1">
      <c r="A38" s="38" t="s">
        <v>48</v>
      </c>
      <c r="B38" s="39"/>
      <c r="C38" s="39"/>
      <c r="D38" s="39"/>
      <c r="E38" s="39"/>
      <c r="F38" s="39"/>
      <c r="G38" s="195" t="s">
        <v>49</v>
      </c>
      <c r="H38" s="196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4"/>
      <c r="T38" s="4"/>
      <c r="U38" s="4"/>
      <c r="V38" s="4"/>
      <c r="W38" s="4"/>
      <c r="X38" s="4"/>
      <c r="Y38" s="4"/>
      <c r="Z38" s="4"/>
      <c r="AA38" s="4"/>
      <c r="AB38" s="26"/>
      <c r="AC38" s="26"/>
    </row>
    <row r="39" spans="1:32" ht="14.25" customHeight="1">
      <c r="A39" s="95" t="s">
        <v>50</v>
      </c>
      <c r="B39" s="96"/>
      <c r="C39" s="96"/>
      <c r="D39" s="96"/>
      <c r="E39" s="96"/>
      <c r="F39" s="96"/>
      <c r="G39" s="197" t="s">
        <v>93</v>
      </c>
      <c r="H39" s="198"/>
      <c r="I39" s="1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4"/>
      <c r="W39" s="4"/>
      <c r="X39" s="4"/>
      <c r="Y39" s="4"/>
      <c r="Z39" s="4"/>
      <c r="AA39" s="4"/>
      <c r="AB39" s="26"/>
      <c r="AC39" s="78"/>
    </row>
    <row r="40" spans="1:32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C40" s="77"/>
      <c r="AD40" s="81"/>
      <c r="AE40" s="77"/>
    </row>
    <row r="41" spans="1:32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54"/>
      <c r="L41" s="11"/>
      <c r="M41" s="10"/>
      <c r="N41" s="10"/>
      <c r="O41" s="11"/>
      <c r="P41" s="11"/>
      <c r="Q41" s="10"/>
      <c r="R41" s="10"/>
      <c r="S41" s="151"/>
      <c r="T41" s="151"/>
      <c r="U41" s="151"/>
      <c r="V41" s="201"/>
      <c r="W41" s="201"/>
      <c r="X41" s="201"/>
      <c r="Y41" s="201"/>
      <c r="Z41" s="201"/>
      <c r="AA41" s="201"/>
      <c r="AE41" s="86"/>
    </row>
    <row r="42" spans="1:32" ht="14.25" customHeight="1">
      <c r="A42" s="17" t="s">
        <v>35</v>
      </c>
      <c r="B42" s="11"/>
      <c r="C42" s="11"/>
      <c r="D42" s="11"/>
      <c r="E42" s="11"/>
      <c r="F42" s="11"/>
      <c r="G42" s="11"/>
      <c r="H42" s="11"/>
      <c r="I42" s="11"/>
      <c r="J42" s="54"/>
      <c r="K42" s="27"/>
      <c r="L42" s="11"/>
      <c r="M42" s="10"/>
      <c r="N42" s="10"/>
      <c r="O42" s="10"/>
      <c r="P42" s="10"/>
      <c r="Q42" s="10"/>
      <c r="R42" s="10"/>
      <c r="S42" s="151"/>
      <c r="T42" s="151"/>
      <c r="U42" s="151"/>
      <c r="V42" s="154"/>
      <c r="W42" s="154"/>
      <c r="X42" s="154"/>
      <c r="Y42" s="154"/>
      <c r="Z42" s="154"/>
      <c r="AA42" s="154"/>
      <c r="AB42" s="26"/>
      <c r="AC42" s="82"/>
      <c r="AD42" s="82"/>
      <c r="AE42" s="26"/>
    </row>
    <row r="43" spans="1:32" ht="14.25" customHeight="1">
      <c r="A43" s="184" t="str">
        <f>A8</f>
        <v>Produit  :</v>
      </c>
      <c r="B43" s="185"/>
      <c r="C43" s="185"/>
      <c r="D43" s="204" t="str">
        <f>H8</f>
        <v>K. Mangue - Passion</v>
      </c>
      <c r="E43" s="204"/>
      <c r="F43" s="204"/>
      <c r="G43" s="204"/>
      <c r="H43" s="204"/>
      <c r="I43" s="205"/>
      <c r="J43" s="27"/>
      <c r="K43" s="27"/>
      <c r="L43" s="11"/>
      <c r="M43" s="10"/>
      <c r="N43" s="10"/>
      <c r="O43" s="10"/>
      <c r="P43" s="10"/>
      <c r="Q43" s="10"/>
      <c r="R43" s="10"/>
      <c r="S43" s="151"/>
      <c r="T43" s="151"/>
      <c r="U43" s="151"/>
      <c r="V43" s="154"/>
      <c r="W43" s="154"/>
      <c r="X43" s="154"/>
      <c r="Y43" s="154"/>
      <c r="Z43" s="154"/>
      <c r="AA43" s="154"/>
      <c r="AB43" s="26"/>
      <c r="AC43" s="82"/>
      <c r="AD43" s="83"/>
      <c r="AE43" s="26"/>
    </row>
    <row r="44" spans="1:32" ht="14.25" customHeight="1">
      <c r="A44" s="217" t="s">
        <v>18</v>
      </c>
      <c r="B44" s="218"/>
      <c r="C44" s="218"/>
      <c r="D44" s="218"/>
      <c r="E44" s="218"/>
      <c r="F44" s="218"/>
      <c r="G44" s="218"/>
      <c r="H44" s="154">
        <f>IF(ISNUMBER( SEARCH("EP",H8)), 0, (G36-400)*60%)</f>
        <v>4079.4720000000002</v>
      </c>
      <c r="I44" s="155"/>
      <c r="J44" s="27"/>
      <c r="K44" s="28"/>
      <c r="L44" s="11"/>
      <c r="M44" s="10"/>
      <c r="N44" s="10"/>
      <c r="O44" s="10"/>
      <c r="P44" s="10"/>
      <c r="Q44" s="10"/>
      <c r="R44" s="10"/>
      <c r="S44" s="151"/>
      <c r="T44" s="151"/>
      <c r="U44" s="151"/>
      <c r="V44" s="163"/>
      <c r="W44" s="163"/>
      <c r="X44" s="163"/>
      <c r="Y44" s="163"/>
      <c r="Z44" s="163"/>
      <c r="AA44" s="163"/>
      <c r="AB44" s="26"/>
      <c r="AC44" s="26"/>
      <c r="AD44" s="80"/>
      <c r="AF44" s="26"/>
    </row>
    <row r="45" spans="1:32" ht="14.25" customHeight="1">
      <c r="A45" s="217" t="s">
        <v>85</v>
      </c>
      <c r="B45" s="218"/>
      <c r="C45" s="218"/>
      <c r="D45" s="218"/>
      <c r="E45" s="218"/>
      <c r="F45" s="218"/>
      <c r="G45" s="100"/>
      <c r="H45" s="154">
        <f>(K16+800)*_xlfn.XLOOKUP(H8,Data!D:D,Data!E:E)+H44</f>
        <v>4324.24208</v>
      </c>
      <c r="I45" s="155"/>
      <c r="J45" s="28"/>
      <c r="K45" s="11"/>
      <c r="L45" s="11"/>
      <c r="M45" s="10"/>
      <c r="N45" s="10"/>
      <c r="O45" s="14"/>
      <c r="P45" s="14"/>
      <c r="Q45" s="10"/>
      <c r="R45" s="10"/>
      <c r="S45" s="10"/>
      <c r="T45" s="8"/>
      <c r="U45" s="11"/>
      <c r="V45" s="10"/>
      <c r="W45" s="10"/>
      <c r="X45" s="10"/>
      <c r="Y45" s="10"/>
      <c r="Z45" s="10"/>
      <c r="AA45" s="10"/>
      <c r="AB45" s="26"/>
    </row>
    <row r="46" spans="1:32" ht="14.25" customHeight="1">
      <c r="A46" s="219" t="s">
        <v>19</v>
      </c>
      <c r="B46" s="220"/>
      <c r="C46" s="220"/>
      <c r="D46" s="220"/>
      <c r="E46" s="220"/>
      <c r="F46" s="220"/>
      <c r="G46" s="101"/>
      <c r="H46" s="156">
        <f>'CUVE 3 mesure'!E6</f>
        <v>249.15039565676261</v>
      </c>
      <c r="I46" s="157"/>
      <c r="J46" s="11"/>
      <c r="K46" s="11"/>
      <c r="L46" s="11"/>
      <c r="M46" s="10"/>
      <c r="N46" s="10"/>
      <c r="O46" s="10"/>
      <c r="P46" s="10"/>
      <c r="Q46" s="10"/>
      <c r="R46" s="10"/>
      <c r="S46" s="10"/>
      <c r="T46" s="10"/>
      <c r="U46" s="11"/>
      <c r="V46" s="294"/>
      <c r="W46" s="294"/>
      <c r="X46" s="4"/>
      <c r="Y46" s="10"/>
      <c r="Z46" s="10"/>
      <c r="AA46" s="10"/>
      <c r="AC46" s="26"/>
      <c r="AD46" s="84"/>
    </row>
    <row r="47" spans="1:32" ht="14.25" customHeight="1">
      <c r="A47" s="4"/>
      <c r="B47" s="17"/>
      <c r="C47" s="17"/>
      <c r="D47" s="17"/>
      <c r="E47" s="17"/>
      <c r="F47" s="17"/>
      <c r="G47" s="17"/>
      <c r="H47" s="17"/>
      <c r="I47" s="17"/>
      <c r="J47" s="17"/>
      <c r="K47" s="4"/>
      <c r="L47" s="4"/>
      <c r="M47" s="17"/>
      <c r="N47" s="12"/>
      <c r="O47" s="12"/>
      <c r="P47" s="12"/>
      <c r="Q47" s="10"/>
      <c r="R47" s="10"/>
      <c r="S47" s="10"/>
      <c r="T47" s="4"/>
      <c r="U47" s="4"/>
      <c r="V47" s="10"/>
      <c r="W47" s="10"/>
      <c r="X47" s="10"/>
      <c r="Y47" s="10"/>
      <c r="Z47" s="10"/>
      <c r="AA47" s="10"/>
      <c r="AD47" s="26"/>
    </row>
    <row r="48" spans="1:32" ht="14.25" customHeight="1">
      <c r="A48" s="99" t="s">
        <v>36</v>
      </c>
      <c r="B48" s="99"/>
      <c r="C48" s="99"/>
      <c r="D48" s="99"/>
      <c r="E48" s="99"/>
      <c r="F48" s="98"/>
      <c r="G48" s="98"/>
      <c r="H48" s="11"/>
      <c r="I48" s="11"/>
      <c r="J48" s="11"/>
      <c r="K48" s="11"/>
      <c r="L48" s="11"/>
      <c r="M48" s="13"/>
      <c r="N48" s="13"/>
      <c r="O48" s="13"/>
      <c r="P48" s="13"/>
      <c r="Q48" s="11"/>
      <c r="R48" s="11"/>
      <c r="S48" s="11"/>
      <c r="T48" s="11"/>
      <c r="U48" s="13"/>
      <c r="V48" s="10"/>
      <c r="W48" s="10"/>
      <c r="X48" s="10"/>
      <c r="Y48" s="292"/>
      <c r="Z48" s="292"/>
      <c r="AA48" s="10"/>
    </row>
    <row r="49" spans="1:32" ht="14.25" customHeight="1">
      <c r="A49" s="184" t="str">
        <f>A43</f>
        <v>Produit  :</v>
      </c>
      <c r="B49" s="185"/>
      <c r="C49" s="185"/>
      <c r="D49" s="204" t="str">
        <f>D43</f>
        <v>K. Mangue - Passion</v>
      </c>
      <c r="E49" s="204"/>
      <c r="F49" s="204"/>
      <c r="G49" s="204"/>
      <c r="H49" s="204"/>
      <c r="I49" s="205"/>
      <c r="J49" s="54"/>
      <c r="K49" s="54"/>
      <c r="L49" s="10"/>
      <c r="M49" s="10"/>
      <c r="N49" s="10"/>
      <c r="O49" s="10"/>
      <c r="P49" s="10"/>
      <c r="Q49" s="10"/>
      <c r="R49" s="10"/>
      <c r="S49" s="151"/>
      <c r="T49" s="151"/>
      <c r="U49" s="151"/>
      <c r="V49" s="201"/>
      <c r="W49" s="201"/>
      <c r="X49" s="201"/>
      <c r="Y49" s="201"/>
      <c r="Z49" s="201"/>
      <c r="AA49" s="201"/>
      <c r="AC49" s="80"/>
    </row>
    <row r="50" spans="1:32" ht="14.25" customHeight="1">
      <c r="A50" s="150" t="s">
        <v>31</v>
      </c>
      <c r="B50" s="151"/>
      <c r="C50" s="151"/>
      <c r="D50" s="151"/>
      <c r="E50" s="102"/>
      <c r="F50" s="102"/>
      <c r="G50" s="102"/>
      <c r="H50" s="154">
        <f>K16+400+(H45-H44)</f>
        <v>7043.890080000001</v>
      </c>
      <c r="I50" s="155"/>
      <c r="J50" s="27"/>
      <c r="K50" s="27"/>
      <c r="L50" s="10"/>
      <c r="M50" s="192"/>
      <c r="N50" s="192"/>
      <c r="O50" s="192"/>
      <c r="P50" s="192"/>
      <c r="Q50" s="10"/>
      <c r="R50" s="10"/>
      <c r="S50" s="151"/>
      <c r="T50" s="151"/>
      <c r="U50" s="151"/>
      <c r="V50" s="154"/>
      <c r="W50" s="154"/>
      <c r="X50" s="154"/>
      <c r="Y50" s="154"/>
      <c r="Z50" s="154"/>
      <c r="AA50" s="154"/>
      <c r="AC50" s="78"/>
      <c r="AD50" s="78"/>
      <c r="AE50" s="26"/>
      <c r="AF50" s="26"/>
    </row>
    <row r="51" spans="1:32" ht="14.25" customHeight="1">
      <c r="A51" s="152" t="s">
        <v>19</v>
      </c>
      <c r="B51" s="153"/>
      <c r="C51" s="153"/>
      <c r="D51" s="153"/>
      <c r="E51" s="103"/>
      <c r="F51" s="103"/>
      <c r="G51" s="103"/>
      <c r="H51" s="156">
        <f>'CUVE 3 mesure'!E13</f>
        <v>243.95263437681319</v>
      </c>
      <c r="I51" s="157"/>
      <c r="J51" s="28"/>
      <c r="K51" s="28"/>
      <c r="L51" s="10"/>
      <c r="M51" s="10"/>
      <c r="N51" s="10"/>
      <c r="O51" s="10"/>
      <c r="P51" s="10"/>
      <c r="Q51" s="10"/>
      <c r="R51" s="10"/>
      <c r="S51" s="151"/>
      <c r="T51" s="151"/>
      <c r="U51" s="151"/>
      <c r="V51" s="163"/>
      <c r="W51" s="163"/>
      <c r="X51" s="163"/>
      <c r="Y51" s="163"/>
      <c r="Z51" s="163"/>
      <c r="AA51" s="163"/>
      <c r="AC51" s="26"/>
      <c r="AD51" s="26"/>
    </row>
    <row r="52" spans="1:3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D52" s="26"/>
    </row>
    <row r="53" spans="1:32" ht="14.25" customHeight="1">
      <c r="A53" s="22" t="s">
        <v>43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4"/>
      <c r="W53" s="4"/>
      <c r="X53" s="4"/>
      <c r="Y53" s="4"/>
      <c r="Z53" s="4"/>
      <c r="AA53" s="4"/>
      <c r="AC53" s="85"/>
    </row>
    <row r="54" spans="1:32" ht="14.25" customHeight="1">
      <c r="A54" s="2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4"/>
      <c r="W54" s="4"/>
      <c r="X54" s="4"/>
      <c r="Y54" s="4"/>
      <c r="Z54" s="4"/>
      <c r="AA54" s="4"/>
      <c r="AC54" s="85"/>
    </row>
    <row r="55" spans="1:32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81" t="s">
        <v>39</v>
      </c>
      <c r="P55" s="181"/>
      <c r="Q55" s="181"/>
      <c r="R55" s="181"/>
      <c r="S55" s="181"/>
      <c r="T55" s="181"/>
      <c r="U55" s="181"/>
      <c r="V55" s="181"/>
      <c r="W55" s="167">
        <f>A20</f>
        <v>45905</v>
      </c>
      <c r="X55" s="167"/>
      <c r="Y55" s="167"/>
      <c r="Z55" s="167"/>
      <c r="AA55" s="167"/>
    </row>
    <row r="56" spans="1:32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4"/>
      <c r="W56" s="4"/>
      <c r="X56" s="4"/>
      <c r="Y56" s="4"/>
      <c r="Z56" s="4"/>
      <c r="AA56" s="4"/>
    </row>
    <row r="57" spans="1:32" ht="19">
      <c r="A57" s="164" t="s">
        <v>41</v>
      </c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6"/>
    </row>
    <row r="58" spans="1:32" ht="10" customHeight="1">
      <c r="A58" s="25" t="s">
        <v>45</v>
      </c>
      <c r="B58" s="23"/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1"/>
      <c r="O58" s="21"/>
      <c r="P58" s="21"/>
      <c r="Q58" s="23"/>
      <c r="R58" s="23"/>
      <c r="S58" s="23"/>
      <c r="T58" s="24"/>
      <c r="U58" s="24"/>
      <c r="V58" s="24"/>
      <c r="W58" s="24"/>
      <c r="X58" s="24"/>
      <c r="Y58" s="24"/>
      <c r="Z58" s="24"/>
      <c r="AA58" s="24"/>
    </row>
    <row r="59" spans="1:32" ht="18" customHeight="1">
      <c r="A59" s="4"/>
      <c r="B59" s="23"/>
      <c r="C59" s="23"/>
      <c r="D59" s="24"/>
      <c r="E59" s="24"/>
      <c r="F59" s="24"/>
      <c r="G59" s="24"/>
      <c r="I59" s="24"/>
      <c r="J59" s="24"/>
      <c r="K59" s="24"/>
      <c r="L59" s="24"/>
      <c r="M59" s="24"/>
      <c r="N59" s="21"/>
      <c r="O59" s="21"/>
      <c r="P59" s="21"/>
      <c r="Q59" s="23"/>
      <c r="R59" s="23"/>
      <c r="S59" s="23"/>
      <c r="T59" s="24"/>
      <c r="U59" s="24"/>
      <c r="V59" s="24"/>
      <c r="W59" s="24"/>
      <c r="X59" s="24"/>
      <c r="Y59" s="24"/>
      <c r="Z59" s="24"/>
      <c r="AA59" s="107"/>
    </row>
    <row r="60" spans="1:32" ht="18" customHeight="1">
      <c r="A60" s="4"/>
      <c r="B60" s="4"/>
      <c r="C60" s="4"/>
      <c r="D60" s="4"/>
      <c r="E60" s="4"/>
      <c r="F60" s="4"/>
      <c r="G60" s="4"/>
      <c r="H60" s="182" t="s">
        <v>105</v>
      </c>
      <c r="I60" s="183"/>
      <c r="J60" s="183"/>
      <c r="K60" s="199" t="str">
        <f>H8</f>
        <v>K. Mangue - Passion</v>
      </c>
      <c r="L60" s="199"/>
      <c r="M60" s="199"/>
      <c r="N60" s="199"/>
      <c r="O60" s="199"/>
      <c r="P60" s="199"/>
      <c r="Q60" s="199"/>
      <c r="R60" s="199"/>
      <c r="S60" s="199"/>
      <c r="T60" s="200"/>
      <c r="U60" s="107"/>
      <c r="V60" s="107"/>
      <c r="W60" s="107"/>
      <c r="X60" s="107"/>
      <c r="Y60" s="107"/>
      <c r="Z60" s="107"/>
      <c r="AA60" s="107"/>
    </row>
    <row r="61" spans="1:32" ht="7" customHeight="1">
      <c r="A61" s="25"/>
      <c r="B61" s="23"/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1"/>
      <c r="O61" s="21"/>
      <c r="P61" s="21"/>
      <c r="Q61" s="23"/>
      <c r="R61" s="23"/>
      <c r="S61" s="23"/>
      <c r="T61" s="24"/>
      <c r="U61" s="24"/>
      <c r="V61" s="24"/>
      <c r="W61" s="24"/>
      <c r="X61" s="24"/>
      <c r="Y61" s="24"/>
      <c r="Z61" s="24"/>
      <c r="AA61" s="24"/>
    </row>
    <row r="62" spans="1:32" ht="18" customHeight="1">
      <c r="A62" s="97"/>
      <c r="B62" s="97"/>
      <c r="C62" s="97"/>
      <c r="D62" s="97"/>
      <c r="E62" s="97"/>
      <c r="F62" s="97"/>
      <c r="G62" s="97"/>
      <c r="H62" s="168" t="s">
        <v>84</v>
      </c>
      <c r="I62" s="168"/>
      <c r="J62" s="169"/>
      <c r="K62" s="134" t="s">
        <v>32</v>
      </c>
      <c r="L62" s="136"/>
      <c r="M62" s="136"/>
      <c r="N62" s="136"/>
      <c r="O62" s="134" t="s">
        <v>33</v>
      </c>
      <c r="P62" s="136"/>
      <c r="Q62" s="136"/>
      <c r="R62" s="136"/>
      <c r="S62" s="136"/>
      <c r="T62" s="122"/>
      <c r="U62" s="97"/>
      <c r="V62" s="97"/>
      <c r="W62" s="97"/>
      <c r="X62" s="97"/>
      <c r="Y62" s="97"/>
      <c r="Z62" s="97"/>
      <c r="AA62" s="97"/>
      <c r="AD62" s="26"/>
    </row>
    <row r="63" spans="1:32" ht="27" customHeight="1">
      <c r="A63" s="97"/>
      <c r="B63" s="97"/>
      <c r="C63" s="97"/>
      <c r="D63" s="97"/>
      <c r="E63" s="97"/>
      <c r="F63" s="97"/>
      <c r="G63" s="97"/>
      <c r="H63" s="131"/>
      <c r="I63" s="132"/>
      <c r="J63" s="133"/>
      <c r="K63" s="134" t="s">
        <v>89</v>
      </c>
      <c r="L63" s="122"/>
      <c r="M63" s="134" t="s">
        <v>101</v>
      </c>
      <c r="N63" s="135"/>
      <c r="O63" s="170" t="s">
        <v>90</v>
      </c>
      <c r="P63" s="171"/>
      <c r="Q63" s="172" t="s">
        <v>91</v>
      </c>
      <c r="R63" s="171"/>
      <c r="S63" s="173" t="s">
        <v>106</v>
      </c>
      <c r="T63" s="174"/>
      <c r="U63" s="97"/>
      <c r="V63" s="97"/>
      <c r="W63" s="97"/>
      <c r="X63" s="97"/>
      <c r="Y63" s="97"/>
      <c r="Z63" s="97"/>
      <c r="AA63" s="97"/>
    </row>
    <row r="64" spans="1:32" ht="18" customHeight="1">
      <c r="A64" s="97"/>
      <c r="B64" s="97"/>
      <c r="C64" s="97"/>
      <c r="D64" s="97"/>
      <c r="E64" s="97"/>
      <c r="F64" s="97"/>
      <c r="G64" s="97"/>
      <c r="H64" s="158" t="s">
        <v>20</v>
      </c>
      <c r="I64" s="159"/>
      <c r="J64" s="160"/>
      <c r="K64" s="161">
        <f>ROUNDDOWN(((K14*0.33/$K$16)*($H$50-400-$K$16)/0.33)+K14,0)</f>
        <v>8060</v>
      </c>
      <c r="L64" s="162"/>
      <c r="M64" s="161">
        <f>ROUNDDOWN(((M14*0.33/$K$16)*($H$50-400-$K$16)/0.33)+M14,0)</f>
        <v>0</v>
      </c>
      <c r="N64" s="175"/>
      <c r="O64" s="161">
        <f>ROUNDDOWN(((O14*0.75/$K$16)*($H$50-400-$K$16)/0.75)+O14,0)</f>
        <v>1407</v>
      </c>
      <c r="P64" s="162"/>
      <c r="Q64" s="161">
        <f t="shared" ref="Q64" si="0">ROUNDDOWN(((Q14*0.75/$K$16)*($H$50-400-$K$16)/0.75)+Q14,0)</f>
        <v>3903</v>
      </c>
      <c r="R64" s="162"/>
      <c r="S64" s="161">
        <f t="shared" ref="S64" si="1">ROUNDDOWN(((S14*0.75/$K$16)*($H$50-400-$K$16)/0.75)+S14,0)</f>
        <v>0</v>
      </c>
      <c r="T64" s="162"/>
      <c r="U64" s="97"/>
      <c r="V64" s="97"/>
      <c r="W64" s="97"/>
      <c r="X64" s="97"/>
      <c r="Y64" s="97"/>
      <c r="Z64" s="97"/>
      <c r="AA64" s="97"/>
      <c r="AD64" s="81"/>
    </row>
    <row r="65" spans="1:31" ht="18" customHeight="1">
      <c r="A65" s="97"/>
      <c r="B65" s="97"/>
      <c r="C65" s="97"/>
      <c r="D65" s="97"/>
      <c r="E65" s="97"/>
      <c r="F65" s="97"/>
      <c r="G65" s="97"/>
      <c r="H65" s="158" t="s">
        <v>22</v>
      </c>
      <c r="I65" s="159"/>
      <c r="J65" s="160"/>
      <c r="K65" s="176">
        <f>ROUNDDOWN(K64/12,0)</f>
        <v>671</v>
      </c>
      <c r="L65" s="177"/>
      <c r="M65" s="176">
        <f>ROUNDDOWN(M64/12,0)</f>
        <v>0</v>
      </c>
      <c r="N65" s="178"/>
      <c r="O65" s="179">
        <f>ROUNDDOWN(O64/6,0)</f>
        <v>234</v>
      </c>
      <c r="P65" s="177"/>
      <c r="Q65" s="179">
        <f>ROUNDDOWN(Q64/4,0)</f>
        <v>975</v>
      </c>
      <c r="R65" s="177"/>
      <c r="S65" s="179">
        <f t="shared" ref="S65" si="2">ROUNDDOWN(S64/6,0)</f>
        <v>0</v>
      </c>
      <c r="T65" s="177"/>
      <c r="U65" s="97"/>
      <c r="V65" s="97"/>
      <c r="W65" s="97"/>
      <c r="X65" s="97"/>
      <c r="Y65" s="97"/>
      <c r="Z65" s="97"/>
      <c r="AA65" s="97"/>
      <c r="AD65" s="81"/>
    </row>
    <row r="66" spans="1:31" ht="15" customHeight="1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91"/>
      <c r="P66" s="91"/>
      <c r="Q66" s="92"/>
      <c r="R66" s="92"/>
      <c r="S66" s="92"/>
      <c r="T66" s="90"/>
      <c r="U66" s="90"/>
      <c r="V66" s="90"/>
      <c r="W66" s="90"/>
      <c r="X66" s="90"/>
      <c r="Y66" s="90"/>
      <c r="Z66" s="90"/>
      <c r="AA66" s="90"/>
    </row>
    <row r="67" spans="1:31" ht="19">
      <c r="A67" s="164" t="s">
        <v>42</v>
      </c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6"/>
    </row>
    <row r="68" spans="1:31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31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31" ht="14.25" customHeight="1">
      <c r="A70" s="104"/>
      <c r="B70" s="104"/>
      <c r="C70" s="104"/>
      <c r="D70" s="104"/>
      <c r="E70" s="104"/>
      <c r="F70" s="104"/>
      <c r="G70" s="104"/>
      <c r="H70" s="127" t="str">
        <f>H60</f>
        <v>Produit  :</v>
      </c>
      <c r="I70" s="128"/>
      <c r="J70" s="128"/>
      <c r="K70" s="116" t="str">
        <f>K60</f>
        <v>K. Mangue - Passion</v>
      </c>
      <c r="L70" s="116"/>
      <c r="M70" s="116"/>
      <c r="N70" s="116"/>
      <c r="O70" s="116"/>
      <c r="P70" s="116"/>
      <c r="Q70" s="116"/>
      <c r="R70" s="116"/>
      <c r="S70" s="116"/>
      <c r="T70" s="117"/>
      <c r="U70" s="104"/>
      <c r="V70" s="104"/>
      <c r="W70" s="104"/>
      <c r="X70" s="7"/>
      <c r="Y70" s="7"/>
      <c r="Z70" s="7"/>
      <c r="AA70" s="7"/>
      <c r="AB70" s="7"/>
      <c r="AC70" s="7"/>
      <c r="AD70" s="7"/>
      <c r="AE70" s="7"/>
    </row>
    <row r="71" spans="1:31" ht="14.25" customHeight="1">
      <c r="A71" s="104"/>
      <c r="B71" s="104"/>
      <c r="C71" s="104"/>
      <c r="D71" s="104"/>
      <c r="E71" s="104"/>
      <c r="F71" s="104"/>
      <c r="G71" s="104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04"/>
      <c r="T71" s="104"/>
      <c r="U71" s="104"/>
      <c r="V71" s="104"/>
      <c r="W71" s="104"/>
      <c r="X71" s="7"/>
      <c r="Y71" s="7"/>
      <c r="Z71" s="7"/>
      <c r="AA71" s="7"/>
      <c r="AB71" s="7"/>
      <c r="AC71" s="7"/>
      <c r="AD71" s="7"/>
      <c r="AE71" s="7"/>
    </row>
    <row r="72" spans="1:31" ht="16" customHeight="1">
      <c r="A72" s="104"/>
      <c r="B72" s="104"/>
      <c r="C72" s="104"/>
      <c r="D72" s="104"/>
      <c r="E72" s="104"/>
      <c r="F72" s="104"/>
      <c r="G72" s="104"/>
      <c r="H72" s="19"/>
      <c r="I72" s="19"/>
      <c r="J72" s="19"/>
      <c r="K72" s="129" t="s">
        <v>32</v>
      </c>
      <c r="L72" s="111"/>
      <c r="M72" s="111"/>
      <c r="N72" s="130"/>
      <c r="O72" s="110" t="s">
        <v>33</v>
      </c>
      <c r="P72" s="111"/>
      <c r="Q72" s="111"/>
      <c r="R72" s="111"/>
      <c r="S72" s="111"/>
      <c r="T72" s="112"/>
      <c r="U72" s="104"/>
      <c r="V72" s="104"/>
      <c r="W72" s="104"/>
      <c r="X72" s="7"/>
      <c r="Y72" s="7"/>
      <c r="Z72" s="7"/>
      <c r="AA72" s="7"/>
      <c r="AB72" s="7"/>
      <c r="AC72" s="7"/>
      <c r="AD72" s="7"/>
      <c r="AE72" s="7"/>
    </row>
    <row r="73" spans="1:31" ht="26" customHeight="1">
      <c r="A73" s="104"/>
      <c r="B73" s="104"/>
      <c r="C73" s="104"/>
      <c r="D73" s="104"/>
      <c r="E73" s="104"/>
      <c r="F73" s="104"/>
      <c r="G73" s="104"/>
      <c r="H73" s="131"/>
      <c r="I73" s="132"/>
      <c r="J73" s="133"/>
      <c r="K73" s="134" t="s">
        <v>89</v>
      </c>
      <c r="L73" s="122"/>
      <c r="M73" s="134" t="str">
        <f>M63</f>
        <v>NIKO</v>
      </c>
      <c r="N73" s="135"/>
      <c r="O73" s="136" t="s">
        <v>90</v>
      </c>
      <c r="P73" s="122"/>
      <c r="Q73" s="134" t="s">
        <v>91</v>
      </c>
      <c r="R73" s="122"/>
      <c r="S73" s="121" t="s">
        <v>106</v>
      </c>
      <c r="T73" s="122"/>
      <c r="U73" s="104"/>
      <c r="V73" s="104"/>
      <c r="W73" s="104"/>
      <c r="X73" s="7"/>
      <c r="Y73" s="7"/>
      <c r="Z73" s="7"/>
      <c r="AA73" s="7"/>
      <c r="AB73" s="7"/>
      <c r="AC73" s="7"/>
      <c r="AD73" s="7"/>
      <c r="AE73" s="7"/>
    </row>
    <row r="74" spans="1:31" ht="23" customHeight="1">
      <c r="A74" s="104"/>
      <c r="B74" s="104"/>
      <c r="C74" s="104"/>
      <c r="D74" s="104"/>
      <c r="E74" s="104"/>
      <c r="F74" s="104"/>
      <c r="G74" s="104"/>
      <c r="H74" s="125" t="s">
        <v>22</v>
      </c>
      <c r="I74" s="126"/>
      <c r="J74" s="137"/>
      <c r="K74" s="108" t="s">
        <v>37</v>
      </c>
      <c r="L74" s="138"/>
      <c r="M74" s="108" t="s">
        <v>37</v>
      </c>
      <c r="N74" s="139"/>
      <c r="O74" s="138" t="s">
        <v>37</v>
      </c>
      <c r="P74" s="138"/>
      <c r="Q74" s="108" t="s">
        <v>37</v>
      </c>
      <c r="R74" s="109"/>
      <c r="S74" s="108" t="s">
        <v>37</v>
      </c>
      <c r="T74" s="109"/>
      <c r="U74" s="104"/>
      <c r="V74" s="104"/>
      <c r="W74" s="104"/>
      <c r="X74" s="7"/>
      <c r="Y74" s="7"/>
      <c r="Z74" s="7"/>
      <c r="AA74" s="7"/>
      <c r="AB74" s="7"/>
      <c r="AC74" s="7"/>
      <c r="AD74" s="7"/>
      <c r="AE74" s="7"/>
    </row>
    <row r="75" spans="1:31" ht="23" customHeight="1">
      <c r="A75" s="104"/>
      <c r="B75" s="104"/>
      <c r="C75" s="104"/>
      <c r="D75" s="104"/>
      <c r="E75" s="104"/>
      <c r="F75" s="104"/>
      <c r="G75" s="104"/>
      <c r="H75" s="140" t="s">
        <v>44</v>
      </c>
      <c r="I75" s="141"/>
      <c r="J75" s="142"/>
      <c r="K75" s="108" t="s">
        <v>37</v>
      </c>
      <c r="L75" s="138"/>
      <c r="M75" s="108" t="s">
        <v>37</v>
      </c>
      <c r="N75" s="139"/>
      <c r="O75" s="138" t="s">
        <v>37</v>
      </c>
      <c r="P75" s="138"/>
      <c r="Q75" s="143" t="s">
        <v>37</v>
      </c>
      <c r="R75" s="144"/>
      <c r="S75" s="108" t="s">
        <v>37</v>
      </c>
      <c r="T75" s="109"/>
      <c r="U75" s="104"/>
      <c r="V75" s="104"/>
      <c r="W75" s="104"/>
      <c r="X75" s="7"/>
      <c r="Y75" s="7"/>
      <c r="Z75" s="7"/>
      <c r="AA75" s="7"/>
      <c r="AB75" s="7"/>
      <c r="AC75" s="7"/>
      <c r="AD75" s="7"/>
      <c r="AE75" s="7"/>
    </row>
    <row r="76" spans="1:31" ht="23" customHeight="1">
      <c r="A76" s="104"/>
      <c r="B76" s="104"/>
      <c r="C76" s="104"/>
      <c r="D76" s="104"/>
      <c r="E76" s="104"/>
      <c r="F76" s="104"/>
      <c r="G76" s="104"/>
      <c r="H76" s="145" t="s">
        <v>38</v>
      </c>
      <c r="I76" s="146"/>
      <c r="J76" s="146"/>
      <c r="K76" s="147">
        <f>D10</f>
        <v>46270</v>
      </c>
      <c r="L76" s="148"/>
      <c r="M76" s="148"/>
      <c r="N76" s="149"/>
      <c r="O76" s="113">
        <f>K76</f>
        <v>46270</v>
      </c>
      <c r="P76" s="114"/>
      <c r="Q76" s="114"/>
      <c r="R76" s="114"/>
      <c r="S76" s="114"/>
      <c r="T76" s="115"/>
      <c r="U76" s="104"/>
      <c r="V76" s="104"/>
      <c r="W76" s="104"/>
      <c r="X76" s="7"/>
      <c r="Y76" s="7"/>
      <c r="Z76" s="7"/>
      <c r="AA76" s="7"/>
      <c r="AB76" s="7"/>
      <c r="AC76" s="7"/>
      <c r="AD76" s="7"/>
      <c r="AE76" s="7"/>
    </row>
    <row r="77" spans="1:31" ht="23" customHeight="1">
      <c r="A77" s="104"/>
      <c r="B77" s="104"/>
      <c r="C77" s="104"/>
      <c r="D77" s="104"/>
      <c r="E77" s="104"/>
      <c r="F77" s="104"/>
      <c r="G77" s="104"/>
      <c r="H77" s="93" t="s">
        <v>87</v>
      </c>
      <c r="I77" s="93"/>
      <c r="J77" s="93"/>
      <c r="K77" s="42"/>
      <c r="L77" s="42"/>
      <c r="M77" s="42"/>
      <c r="N77" s="42"/>
      <c r="O77" s="42"/>
      <c r="P77" s="42"/>
      <c r="Q77" s="42"/>
      <c r="R77" s="42"/>
      <c r="S77" s="104"/>
      <c r="T77" s="104"/>
      <c r="U77" s="104"/>
      <c r="V77" s="104"/>
      <c r="W77" s="104"/>
      <c r="X77" s="7"/>
      <c r="Y77" s="7"/>
      <c r="Z77" s="7"/>
      <c r="AA77" s="7"/>
      <c r="AB77" s="7"/>
      <c r="AC77" s="7"/>
      <c r="AD77" s="7"/>
      <c r="AE77" s="7"/>
    </row>
    <row r="78" spans="1:31" ht="23" customHeight="1">
      <c r="A78" s="104"/>
      <c r="B78" s="104"/>
      <c r="C78" s="104"/>
      <c r="D78" s="104"/>
      <c r="E78" s="104"/>
      <c r="F78" s="104"/>
      <c r="G78" s="104"/>
      <c r="H78" s="123" t="s">
        <v>86</v>
      </c>
      <c r="I78" s="123"/>
      <c r="J78" s="123"/>
      <c r="K78" s="118" t="s">
        <v>57</v>
      </c>
      <c r="L78" s="119"/>
      <c r="M78" s="118" t="s">
        <v>57</v>
      </c>
      <c r="N78" s="124"/>
      <c r="O78" s="120" t="s">
        <v>57</v>
      </c>
      <c r="P78" s="119"/>
      <c r="Q78" s="118" t="s">
        <v>57</v>
      </c>
      <c r="R78" s="119"/>
      <c r="S78" s="118" t="s">
        <v>57</v>
      </c>
      <c r="T78" s="119"/>
      <c r="U78" s="104"/>
      <c r="V78" s="104"/>
      <c r="W78" s="104"/>
      <c r="X78" s="7"/>
      <c r="Y78" s="7"/>
      <c r="Z78" s="7"/>
      <c r="AA78" s="7"/>
      <c r="AB78" s="7"/>
      <c r="AC78" s="7"/>
      <c r="AD78" s="7"/>
      <c r="AE78" s="7"/>
    </row>
    <row r="79" spans="1:31" ht="23" customHeight="1">
      <c r="A79" s="104"/>
      <c r="B79" s="104"/>
      <c r="C79" s="104"/>
      <c r="D79" s="104"/>
      <c r="E79" s="104"/>
      <c r="F79" s="104"/>
      <c r="G79" s="104"/>
      <c r="H79" s="123" t="s">
        <v>55</v>
      </c>
      <c r="I79" s="123"/>
      <c r="J79" s="123"/>
      <c r="K79" s="118" t="s">
        <v>57</v>
      </c>
      <c r="L79" s="119"/>
      <c r="M79" s="118" t="s">
        <v>57</v>
      </c>
      <c r="N79" s="124"/>
      <c r="O79" s="120" t="s">
        <v>57</v>
      </c>
      <c r="P79" s="119"/>
      <c r="Q79" s="118" t="s">
        <v>57</v>
      </c>
      <c r="R79" s="119"/>
      <c r="S79" s="118" t="s">
        <v>57</v>
      </c>
      <c r="T79" s="119"/>
      <c r="U79" s="104"/>
      <c r="V79" s="104"/>
      <c r="W79" s="104"/>
      <c r="X79" s="7"/>
      <c r="Y79" s="7"/>
      <c r="Z79" s="7"/>
      <c r="AA79" s="7"/>
      <c r="AB79" s="7"/>
      <c r="AC79" s="7"/>
      <c r="AD79" s="7"/>
      <c r="AE79" s="7"/>
    </row>
    <row r="80" spans="1:31" ht="23" customHeight="1">
      <c r="A80" s="104"/>
      <c r="B80" s="104"/>
      <c r="C80" s="104"/>
      <c r="D80" s="104"/>
      <c r="E80" s="104"/>
      <c r="F80" s="104"/>
      <c r="G80" s="104"/>
      <c r="H80" s="125" t="s">
        <v>56</v>
      </c>
      <c r="I80" s="126"/>
      <c r="J80" s="126"/>
      <c r="K80" s="118" t="s">
        <v>57</v>
      </c>
      <c r="L80" s="119"/>
      <c r="M80" s="118" t="s">
        <v>57</v>
      </c>
      <c r="N80" s="124"/>
      <c r="O80" s="120" t="s">
        <v>57</v>
      </c>
      <c r="P80" s="119"/>
      <c r="Q80" s="118" t="s">
        <v>57</v>
      </c>
      <c r="R80" s="119"/>
      <c r="S80" s="118" t="s">
        <v>57</v>
      </c>
      <c r="T80" s="119"/>
      <c r="U80" s="104"/>
      <c r="V80" s="104"/>
      <c r="W80" s="104"/>
      <c r="X80" s="7"/>
      <c r="Y80" s="7"/>
      <c r="Z80" s="7"/>
      <c r="AA80" s="7"/>
      <c r="AB80" s="7"/>
      <c r="AC80" s="7"/>
      <c r="AD80" s="7"/>
      <c r="AE80" s="7"/>
    </row>
    <row r="81" spans="1:31" ht="14.2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7"/>
      <c r="Y81" s="7"/>
      <c r="Z81" s="7"/>
      <c r="AA81" s="7"/>
      <c r="AB81" s="7"/>
      <c r="AC81" s="7"/>
      <c r="AD81" s="7"/>
      <c r="AE81" s="7"/>
    </row>
    <row r="82" spans="1:31" ht="14.25" customHeight="1">
      <c r="A82" s="4"/>
      <c r="B82" s="4"/>
      <c r="C82" s="4"/>
      <c r="D82" s="4"/>
      <c r="E82" s="4"/>
      <c r="F82" s="4"/>
      <c r="G82" s="4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7"/>
      <c r="Y82" s="7"/>
      <c r="Z82" s="7"/>
      <c r="AA82" s="7"/>
      <c r="AB82" s="7"/>
      <c r="AC82" s="7"/>
      <c r="AD82" s="7"/>
      <c r="AE82" s="7"/>
    </row>
    <row r="83" spans="1:31" ht="14.25" customHeight="1">
      <c r="A83" s="43" t="s">
        <v>21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5"/>
    </row>
    <row r="84" spans="1:31" ht="14.25" customHeight="1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8"/>
    </row>
    <row r="85" spans="1:31" ht="14.25" customHeight="1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8"/>
    </row>
    <row r="86" spans="1:31" ht="14.25" customHeight="1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8"/>
    </row>
    <row r="87" spans="1:31" ht="14.25" customHeight="1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8"/>
    </row>
    <row r="88" spans="1:31" ht="14.25" customHeight="1">
      <c r="A88" s="49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1"/>
    </row>
    <row r="89" spans="1:31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31" ht="14.25" customHeight="1">
      <c r="A90" s="43" t="s">
        <v>23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5"/>
    </row>
    <row r="91" spans="1:31" ht="14.25" customHeight="1">
      <c r="A91" s="46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8"/>
    </row>
    <row r="92" spans="1:31" ht="14.25" customHeight="1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8"/>
    </row>
    <row r="93" spans="1:31" ht="48" customHeight="1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1"/>
    </row>
    <row r="94" spans="1:31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31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31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/>
    <row r="101" spans="1:27" ht="14.25" customHeight="1"/>
    <row r="102" spans="1:27" ht="14.25" customHeight="1"/>
    <row r="103" spans="1:27" ht="14.25" customHeight="1"/>
    <row r="104" spans="1:27" ht="14.25" customHeight="1"/>
    <row r="105" spans="1:27" ht="14.25" customHeight="1"/>
    <row r="106" spans="1:27" ht="14.25" customHeight="1"/>
    <row r="107" spans="1:27" ht="14.25" customHeight="1"/>
    <row r="108" spans="1:27" ht="14.25" customHeight="1"/>
    <row r="109" spans="1:27" ht="14.25" customHeight="1"/>
    <row r="110" spans="1:27" ht="14.25" customHeight="1"/>
    <row r="111" spans="1:27" ht="14.25" customHeight="1"/>
    <row r="112" spans="1:2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</sheetData>
  <mergeCells count="194">
    <mergeCell ref="K16:T16"/>
    <mergeCell ref="A12:D16"/>
    <mergeCell ref="V49:AA49"/>
    <mergeCell ref="Y48:Z48"/>
    <mergeCell ref="S42:U42"/>
    <mergeCell ref="S43:U43"/>
    <mergeCell ref="S44:U44"/>
    <mergeCell ref="V42:AA42"/>
    <mergeCell ref="V43:AA43"/>
    <mergeCell ref="H12:J12"/>
    <mergeCell ref="K12:N12"/>
    <mergeCell ref="O12:T12"/>
    <mergeCell ref="H13:J13"/>
    <mergeCell ref="K13:L13"/>
    <mergeCell ref="M13:N13"/>
    <mergeCell ref="Y19:AA19"/>
    <mergeCell ref="Y20:AA20"/>
    <mergeCell ref="W19:X19"/>
    <mergeCell ref="Y22:AA22"/>
    <mergeCell ref="W20:X20"/>
    <mergeCell ref="L22:M22"/>
    <mergeCell ref="W22:X22"/>
    <mergeCell ref="D19:E19"/>
    <mergeCell ref="A21:C21"/>
    <mergeCell ref="A22:C22"/>
    <mergeCell ref="H21:I21"/>
    <mergeCell ref="L21:M21"/>
    <mergeCell ref="N22:V22"/>
    <mergeCell ref="F22:G22"/>
    <mergeCell ref="H22:I22"/>
    <mergeCell ref="F19:G19"/>
    <mergeCell ref="H19:I19"/>
    <mergeCell ref="L19:M19"/>
    <mergeCell ref="N23:V23"/>
    <mergeCell ref="J22:K22"/>
    <mergeCell ref="A10:C10"/>
    <mergeCell ref="D10:G10"/>
    <mergeCell ref="A18:AA18"/>
    <mergeCell ref="A19:C19"/>
    <mergeCell ref="O13:P13"/>
    <mergeCell ref="Q13:R13"/>
    <mergeCell ref="S13:T13"/>
    <mergeCell ref="H14:J14"/>
    <mergeCell ref="K14:L14"/>
    <mergeCell ref="M14:N14"/>
    <mergeCell ref="O14:P14"/>
    <mergeCell ref="Q14:R14"/>
    <mergeCell ref="S14:T14"/>
    <mergeCell ref="H15:J15"/>
    <mergeCell ref="K15:L15"/>
    <mergeCell ref="M15:N15"/>
    <mergeCell ref="O15:P15"/>
    <mergeCell ref="D20:E20"/>
    <mergeCell ref="F20:G20"/>
    <mergeCell ref="D21:E21"/>
    <mergeCell ref="F21:G21"/>
    <mergeCell ref="D22:E22"/>
    <mergeCell ref="W1:AA1"/>
    <mergeCell ref="W2:AA2"/>
    <mergeCell ref="W3:AA3"/>
    <mergeCell ref="W4:AA4"/>
    <mergeCell ref="A1:V4"/>
    <mergeCell ref="A6:AA6"/>
    <mergeCell ref="A8:G8"/>
    <mergeCell ref="H8:AA8"/>
    <mergeCell ref="W21:X21"/>
    <mergeCell ref="J19:K19"/>
    <mergeCell ref="J20:K20"/>
    <mergeCell ref="J21:K21"/>
    <mergeCell ref="N19:V19"/>
    <mergeCell ref="N20:V20"/>
    <mergeCell ref="N21:V21"/>
    <mergeCell ref="H20:I20"/>
    <mergeCell ref="L20:M20"/>
    <mergeCell ref="U10:W10"/>
    <mergeCell ref="X10:AA10"/>
    <mergeCell ref="A20:C20"/>
    <mergeCell ref="Y21:AA21"/>
    <mergeCell ref="Q15:R15"/>
    <mergeCell ref="S15:T15"/>
    <mergeCell ref="H16:J16"/>
    <mergeCell ref="D43:I43"/>
    <mergeCell ref="D49:I49"/>
    <mergeCell ref="A23:C23"/>
    <mergeCell ref="D23:E23"/>
    <mergeCell ref="G29:I29"/>
    <mergeCell ref="G30:I30"/>
    <mergeCell ref="G31:I31"/>
    <mergeCell ref="G32:I32"/>
    <mergeCell ref="G33:I33"/>
    <mergeCell ref="G34:I34"/>
    <mergeCell ref="F23:G23"/>
    <mergeCell ref="H23:I23"/>
    <mergeCell ref="A44:G44"/>
    <mergeCell ref="A45:F45"/>
    <mergeCell ref="A46:F46"/>
    <mergeCell ref="Y23:AA23"/>
    <mergeCell ref="O55:V55"/>
    <mergeCell ref="A57:AA57"/>
    <mergeCell ref="H60:J60"/>
    <mergeCell ref="V44:AA44"/>
    <mergeCell ref="S50:U50"/>
    <mergeCell ref="S51:U51"/>
    <mergeCell ref="V50:AA50"/>
    <mergeCell ref="A49:C49"/>
    <mergeCell ref="W23:X23"/>
    <mergeCell ref="S41:U41"/>
    <mergeCell ref="V31:W31"/>
    <mergeCell ref="J23:K23"/>
    <mergeCell ref="A43:C43"/>
    <mergeCell ref="G36:H36"/>
    <mergeCell ref="E24:H24"/>
    <mergeCell ref="S49:U49"/>
    <mergeCell ref="M50:P50"/>
    <mergeCell ref="G37:H37"/>
    <mergeCell ref="G38:H38"/>
    <mergeCell ref="G39:H39"/>
    <mergeCell ref="K60:T60"/>
    <mergeCell ref="V41:AA41"/>
    <mergeCell ref="L23:M23"/>
    <mergeCell ref="V51:AA51"/>
    <mergeCell ref="A67:AA67"/>
    <mergeCell ref="W55:AA55"/>
    <mergeCell ref="H62:J62"/>
    <mergeCell ref="K62:N62"/>
    <mergeCell ref="O62:T62"/>
    <mergeCell ref="H63:J63"/>
    <mergeCell ref="K63:L63"/>
    <mergeCell ref="M63:N63"/>
    <mergeCell ref="O63:P63"/>
    <mergeCell ref="Q63:R63"/>
    <mergeCell ref="S63:T63"/>
    <mergeCell ref="M64:N64"/>
    <mergeCell ref="O64:P64"/>
    <mergeCell ref="Q64:R64"/>
    <mergeCell ref="S64:T64"/>
    <mergeCell ref="H65:J65"/>
    <mergeCell ref="K65:L65"/>
    <mergeCell ref="M65:N65"/>
    <mergeCell ref="O65:P65"/>
    <mergeCell ref="Q65:R65"/>
    <mergeCell ref="S65:T65"/>
    <mergeCell ref="A50:D50"/>
    <mergeCell ref="A51:D51"/>
    <mergeCell ref="H44:I44"/>
    <mergeCell ref="H45:I45"/>
    <mergeCell ref="H46:I46"/>
    <mergeCell ref="H50:I50"/>
    <mergeCell ref="H51:I51"/>
    <mergeCell ref="H64:J64"/>
    <mergeCell ref="K64:L64"/>
    <mergeCell ref="H75:J75"/>
    <mergeCell ref="K75:L75"/>
    <mergeCell ref="M75:N75"/>
    <mergeCell ref="O75:P75"/>
    <mergeCell ref="Q75:R75"/>
    <mergeCell ref="H76:J76"/>
    <mergeCell ref="K76:N76"/>
    <mergeCell ref="H78:J78"/>
    <mergeCell ref="K78:L78"/>
    <mergeCell ref="M78:N78"/>
    <mergeCell ref="H70:J70"/>
    <mergeCell ref="K72:N72"/>
    <mergeCell ref="H73:J73"/>
    <mergeCell ref="K73:L73"/>
    <mergeCell ref="M73:N73"/>
    <mergeCell ref="O73:P73"/>
    <mergeCell ref="Q73:R73"/>
    <mergeCell ref="H74:J74"/>
    <mergeCell ref="K74:L74"/>
    <mergeCell ref="M74:N74"/>
    <mergeCell ref="O74:P74"/>
    <mergeCell ref="Q74:R74"/>
    <mergeCell ref="H79:J79"/>
    <mergeCell ref="K79:L79"/>
    <mergeCell ref="M79:N79"/>
    <mergeCell ref="O79:P79"/>
    <mergeCell ref="Q79:R79"/>
    <mergeCell ref="H80:J80"/>
    <mergeCell ref="K80:L80"/>
    <mergeCell ref="M80:N80"/>
    <mergeCell ref="O80:P80"/>
    <mergeCell ref="Q80:R80"/>
    <mergeCell ref="S75:T75"/>
    <mergeCell ref="O72:T72"/>
    <mergeCell ref="O76:T76"/>
    <mergeCell ref="K70:T70"/>
    <mergeCell ref="S78:T78"/>
    <mergeCell ref="S79:T79"/>
    <mergeCell ref="S80:T80"/>
    <mergeCell ref="O78:P78"/>
    <mergeCell ref="Q78:R78"/>
    <mergeCell ref="S73:T73"/>
    <mergeCell ref="S74:T74"/>
  </mergeCells>
  <phoneticPr fontId="15" type="noConversion"/>
  <conditionalFormatting sqref="A12">
    <cfRule type="containsText" dxfId="1" priority="1" operator="containsText" text="Attention">
      <formula>NOT(ISERROR(SEARCH("Attention",A12)))</formula>
    </cfRule>
    <cfRule type="containsText" dxfId="0" priority="2" stopIfTrue="1" operator="containsText" text="SEMBLE">
      <formula>NOT(ISERROR(SEARCH("SEMBLE",A12)))</formula>
    </cfRule>
  </conditionalFormatting>
  <dataValidations count="1">
    <dataValidation type="list" allowBlank="1" showInputMessage="1" showErrorMessage="1" sqref="V31:W31" xr:uid="{BC1FE862-2736-455F-AC5E-88197F622593}">
      <formula1>"Cuve 1, Cuve 2, Cuve 3"</formula1>
    </dataValidation>
  </dataValidations>
  <pageMargins left="0.45219638242894056" right="0.7" top="0.75" bottom="0.75" header="0" footer="0"/>
  <pageSetup paperSize="9" fitToHeight="2" orientation="portrait" r:id="rId1"/>
  <ignoredErrors>
    <ignoredError sqref="Q14 Q65" formula="1"/>
    <ignoredError sqref="H51" evalErro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Produit 1 - Séléctionnez le produit 1 dans la liste" xr:uid="{00000000-0002-0000-0100-000000000000}">
          <x14:formula1>
            <xm:f>Data!$A$2:$A$12</xm:f>
          </x14:formula1>
          <xm:sqref>H8 K60</xm:sqref>
        </x14:dataValidation>
        <x14:dataValidation type="list" allowBlank="1" showInputMessage="1" showErrorMessage="1" prompt="Produit 2 - Séléctionnez le produit 2 dans la liste" xr:uid="{00000000-0002-0000-0100-000001000000}">
          <x14:formula1>
            <xm:f>Data!$A$2:$A$12</xm:f>
          </x14:formula1>
          <xm:sqref>AA59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791E-C49E-B04A-9CE6-A0EECD21E65B}">
  <dimension ref="A1:E149"/>
  <sheetViews>
    <sheetView workbookViewId="0">
      <selection activeCell="D22" sqref="D22"/>
    </sheetView>
  </sheetViews>
  <sheetFormatPr baseColWidth="10" defaultRowHeight="15"/>
  <cols>
    <col min="4" max="4" width="33.83203125" bestFit="1" customWidth="1"/>
  </cols>
  <sheetData>
    <row r="1" spans="1:5">
      <c r="A1" s="94" t="s">
        <v>52</v>
      </c>
      <c r="B1" s="94" t="s">
        <v>107</v>
      </c>
      <c r="D1" s="94" t="s">
        <v>99</v>
      </c>
      <c r="E1" s="94">
        <f>'Fiche de production 7000 L'!G36</f>
        <v>7199.1200000000008</v>
      </c>
    </row>
    <row r="2" spans="1:5">
      <c r="A2">
        <v>50</v>
      </c>
      <c r="B2" s="77">
        <v>3.3</v>
      </c>
      <c r="D2" t="s">
        <v>94</v>
      </c>
      <c r="E2" s="77" cm="1">
        <f t="array" ref="E2">MAX(IF(A:A&lt;=E1,A:A))</f>
        <v>7150</v>
      </c>
    </row>
    <row r="3" spans="1:5">
      <c r="A3">
        <v>100</v>
      </c>
      <c r="B3" s="77">
        <v>7.5</v>
      </c>
      <c r="D3" t="s">
        <v>95</v>
      </c>
      <c r="E3" s="77" cm="1">
        <f t="array" ref="E3">MIN(IF(A:A&gt;=E1,A:A))</f>
        <v>7200</v>
      </c>
    </row>
    <row r="4" spans="1:5">
      <c r="A4">
        <v>150</v>
      </c>
      <c r="B4" s="77">
        <v>10.8</v>
      </c>
      <c r="D4" t="s">
        <v>96</v>
      </c>
      <c r="E4" s="77">
        <f>_xlfn.XLOOKUP(E2,A:A,B:B)</f>
        <v>247.5056480844446</v>
      </c>
    </row>
    <row r="5" spans="1:5">
      <c r="A5">
        <v>200</v>
      </c>
      <c r="B5" s="77">
        <v>13.6</v>
      </c>
      <c r="D5" t="s">
        <v>97</v>
      </c>
      <c r="E5" s="77">
        <f>_xlfn.XLOOKUP(E3,A:A,B:B)</f>
        <v>249.17986181848164</v>
      </c>
    </row>
    <row r="6" spans="1:5">
      <c r="A6">
        <v>250</v>
      </c>
      <c r="B6" s="77">
        <v>16</v>
      </c>
      <c r="D6" s="94" t="s">
        <v>98</v>
      </c>
      <c r="E6">
        <f>E4+(E1-E2)*(E5-E4)/(E3-E2)</f>
        <v>249.15039565676261</v>
      </c>
    </row>
    <row r="7" spans="1:5">
      <c r="A7">
        <v>300</v>
      </c>
      <c r="B7" s="77">
        <v>18.2</v>
      </c>
    </row>
    <row r="8" spans="1:5">
      <c r="A8">
        <v>350</v>
      </c>
      <c r="B8" s="77">
        <v>20.399999999999999</v>
      </c>
      <c r="D8" s="94" t="s">
        <v>100</v>
      </c>
      <c r="E8" s="94">
        <f>'Fiche de production 7000 L'!H50</f>
        <v>7043.890080000001</v>
      </c>
    </row>
    <row r="9" spans="1:5">
      <c r="A9">
        <v>400</v>
      </c>
      <c r="B9" s="77">
        <v>22.4</v>
      </c>
      <c r="D9" t="s">
        <v>94</v>
      </c>
      <c r="E9" s="77" cm="1">
        <f t="array" ref="E9">MAX(IF(A:A&lt;=E8,A:A))</f>
        <v>7000</v>
      </c>
    </row>
    <row r="10" spans="1:5">
      <c r="A10" s="77">
        <v>428.57142857142861</v>
      </c>
      <c r="B10" s="77">
        <v>24</v>
      </c>
      <c r="D10" t="s">
        <v>95</v>
      </c>
      <c r="E10" s="77" cm="1">
        <f t="array" ref="E10">MIN(IF(A:A&gt;=E8,A:A))</f>
        <v>7050</v>
      </c>
    </row>
    <row r="11" spans="1:5">
      <c r="A11">
        <v>450</v>
      </c>
      <c r="B11" s="77">
        <v>24.3</v>
      </c>
      <c r="D11" t="s">
        <v>96</v>
      </c>
      <c r="E11" s="77">
        <f>_xlfn.XLOOKUP(E9,A:A,B:B)</f>
        <v>242.48300688233348</v>
      </c>
    </row>
    <row r="12" spans="1:5">
      <c r="A12">
        <v>500</v>
      </c>
      <c r="B12" s="77">
        <v>26</v>
      </c>
      <c r="D12" t="s">
        <v>97</v>
      </c>
      <c r="E12" s="77">
        <f>_xlfn.XLOOKUP(E10,A:A,B:B)</f>
        <v>244.15722061637052</v>
      </c>
    </row>
    <row r="13" spans="1:5">
      <c r="A13">
        <v>550</v>
      </c>
      <c r="B13" s="77">
        <v>27.5</v>
      </c>
      <c r="D13" s="94" t="s">
        <v>98</v>
      </c>
      <c r="E13">
        <f>E11+(E8-E9)*(E12-E11)/(E10-E9)</f>
        <v>243.95263437681319</v>
      </c>
    </row>
    <row r="14" spans="1:5">
      <c r="A14">
        <v>600</v>
      </c>
      <c r="B14" s="77">
        <v>29.2</v>
      </c>
    </row>
    <row r="15" spans="1:5">
      <c r="A15">
        <v>650</v>
      </c>
      <c r="B15" s="77">
        <v>30.9</v>
      </c>
    </row>
    <row r="16" spans="1:5">
      <c r="A16">
        <v>700</v>
      </c>
      <c r="B16" s="77">
        <v>32.700000000000003</v>
      </c>
    </row>
    <row r="17" spans="1:2">
      <c r="A17">
        <v>750</v>
      </c>
      <c r="B17" s="77">
        <v>34.5</v>
      </c>
    </row>
    <row r="18" spans="1:2">
      <c r="A18">
        <v>800</v>
      </c>
      <c r="B18" s="77">
        <v>36</v>
      </c>
    </row>
    <row r="19" spans="1:2">
      <c r="A19">
        <v>850</v>
      </c>
      <c r="B19" s="77">
        <v>37.6</v>
      </c>
    </row>
    <row r="20" spans="1:2">
      <c r="A20">
        <v>900</v>
      </c>
      <c r="B20" s="77">
        <v>39.299999999999997</v>
      </c>
    </row>
    <row r="21" spans="1:2">
      <c r="A21">
        <v>950</v>
      </c>
      <c r="B21" s="77">
        <v>41</v>
      </c>
    </row>
    <row r="22" spans="1:2">
      <c r="A22">
        <v>1000</v>
      </c>
      <c r="B22" s="77">
        <v>42.5</v>
      </c>
    </row>
    <row r="23" spans="1:2">
      <c r="A23">
        <v>1050</v>
      </c>
      <c r="B23" s="77">
        <v>43.8</v>
      </c>
    </row>
    <row r="24" spans="1:2">
      <c r="A24">
        <v>1100</v>
      </c>
      <c r="B24" s="77">
        <v>45</v>
      </c>
    </row>
    <row r="25" spans="1:2">
      <c r="A25">
        <v>1150</v>
      </c>
      <c r="B25" s="77">
        <v>46.6</v>
      </c>
    </row>
    <row r="26" spans="1:2">
      <c r="A26">
        <v>1200</v>
      </c>
      <c r="B26" s="77">
        <v>48.274213734037033</v>
      </c>
    </row>
    <row r="27" spans="1:2">
      <c r="A27">
        <v>1250</v>
      </c>
      <c r="B27" s="77">
        <v>49.948427468074065</v>
      </c>
    </row>
    <row r="28" spans="1:2">
      <c r="A28">
        <v>1300</v>
      </c>
      <c r="B28" s="77">
        <v>51.622641202111097</v>
      </c>
    </row>
    <row r="29" spans="1:2">
      <c r="A29">
        <v>1350</v>
      </c>
      <c r="B29" s="77">
        <v>53.296854936148129</v>
      </c>
    </row>
    <row r="30" spans="1:2">
      <c r="A30">
        <v>1400</v>
      </c>
      <c r="B30" s="77">
        <v>54.971068670185161</v>
      </c>
    </row>
    <row r="31" spans="1:2">
      <c r="A31">
        <v>1450</v>
      </c>
      <c r="B31" s="77">
        <v>56.645282404222193</v>
      </c>
    </row>
    <row r="32" spans="1:2">
      <c r="A32">
        <v>1500</v>
      </c>
      <c r="B32" s="77">
        <v>58.319496138259225</v>
      </c>
    </row>
    <row r="33" spans="1:2">
      <c r="A33">
        <v>1550</v>
      </c>
      <c r="B33" s="77">
        <v>59.993709872296257</v>
      </c>
    </row>
    <row r="34" spans="1:2">
      <c r="A34">
        <v>1600</v>
      </c>
      <c r="B34" s="77">
        <v>61.667923606333289</v>
      </c>
    </row>
    <row r="35" spans="1:2">
      <c r="A35">
        <v>1650</v>
      </c>
      <c r="B35" s="77">
        <v>63.342137340370321</v>
      </c>
    </row>
    <row r="36" spans="1:2">
      <c r="A36">
        <v>1700</v>
      </c>
      <c r="B36" s="77">
        <v>65.016351074407353</v>
      </c>
    </row>
    <row r="37" spans="1:2">
      <c r="A37">
        <v>1750</v>
      </c>
      <c r="B37" s="77">
        <v>66.690564808444378</v>
      </c>
    </row>
    <row r="38" spans="1:2">
      <c r="A38">
        <v>1800</v>
      </c>
      <c r="B38" s="77">
        <v>68.364778542481417</v>
      </c>
    </row>
    <row r="39" spans="1:2">
      <c r="A39">
        <v>1850</v>
      </c>
      <c r="B39" s="77">
        <v>70.038992276518456</v>
      </c>
    </row>
    <row r="40" spans="1:2">
      <c r="A40">
        <v>1900</v>
      </c>
      <c r="B40" s="77">
        <v>71.713206010555496</v>
      </c>
    </row>
    <row r="41" spans="1:2">
      <c r="A41">
        <v>1950</v>
      </c>
      <c r="B41" s="77">
        <v>73.387419744592535</v>
      </c>
    </row>
    <row r="42" spans="1:2">
      <c r="A42">
        <v>2000</v>
      </c>
      <c r="B42" s="77">
        <v>75.061633478629574</v>
      </c>
    </row>
    <row r="43" spans="1:2">
      <c r="A43">
        <v>2050</v>
      </c>
      <c r="B43" s="77">
        <v>76.735847212666613</v>
      </c>
    </row>
    <row r="44" spans="1:2">
      <c r="A44">
        <v>2100</v>
      </c>
      <c r="B44" s="77">
        <v>78.410060946703652</v>
      </c>
    </row>
    <row r="45" spans="1:2">
      <c r="A45">
        <v>2150</v>
      </c>
      <c r="B45" s="77">
        <v>80.084274680740691</v>
      </c>
    </row>
    <row r="46" spans="1:2">
      <c r="A46">
        <v>2200</v>
      </c>
      <c r="B46" s="77">
        <v>81.75848841477773</v>
      </c>
    </row>
    <row r="47" spans="1:2">
      <c r="A47">
        <v>2250</v>
      </c>
      <c r="B47" s="77">
        <v>83.432702148814769</v>
      </c>
    </row>
    <row r="48" spans="1:2">
      <c r="A48">
        <v>2300</v>
      </c>
      <c r="B48" s="77">
        <v>85.106915882851808</v>
      </c>
    </row>
    <row r="49" spans="1:2">
      <c r="A49">
        <v>2350</v>
      </c>
      <c r="B49" s="77">
        <v>86.781129616888848</v>
      </c>
    </row>
    <row r="50" spans="1:2">
      <c r="A50">
        <v>2400</v>
      </c>
      <c r="B50" s="77">
        <v>88.455343350925887</v>
      </c>
    </row>
    <row r="51" spans="1:2">
      <c r="A51">
        <v>2450</v>
      </c>
      <c r="B51" s="77">
        <v>90.129557084962926</v>
      </c>
    </row>
    <row r="52" spans="1:2">
      <c r="A52">
        <v>2500</v>
      </c>
      <c r="B52" s="77">
        <v>91.803770818999965</v>
      </c>
    </row>
    <row r="53" spans="1:2">
      <c r="A53">
        <v>2550</v>
      </c>
      <c r="B53" s="77">
        <v>93.477984553037004</v>
      </c>
    </row>
    <row r="54" spans="1:2">
      <c r="A54">
        <v>2600</v>
      </c>
      <c r="B54" s="77">
        <v>95.152198287074043</v>
      </c>
    </row>
    <row r="55" spans="1:2">
      <c r="A55">
        <v>2650</v>
      </c>
      <c r="B55" s="77">
        <v>96.826412021111082</v>
      </c>
    </row>
    <row r="56" spans="1:2">
      <c r="A56">
        <v>2700</v>
      </c>
      <c r="B56" s="77">
        <v>98.500625755148121</v>
      </c>
    </row>
    <row r="57" spans="1:2">
      <c r="A57">
        <v>2750</v>
      </c>
      <c r="B57" s="77">
        <v>100.17483948918516</v>
      </c>
    </row>
    <row r="58" spans="1:2">
      <c r="A58">
        <v>2800</v>
      </c>
      <c r="B58" s="77">
        <v>101.8490532232222</v>
      </c>
    </row>
    <row r="59" spans="1:2">
      <c r="A59">
        <v>2850</v>
      </c>
      <c r="B59" s="77">
        <v>103.52326695725924</v>
      </c>
    </row>
    <row r="60" spans="1:2">
      <c r="A60">
        <v>2900</v>
      </c>
      <c r="B60" s="77">
        <v>105.19748069129628</v>
      </c>
    </row>
    <row r="61" spans="1:2">
      <c r="A61">
        <v>2950</v>
      </c>
      <c r="B61" s="77">
        <v>106.87169442533332</v>
      </c>
    </row>
    <row r="62" spans="1:2">
      <c r="A62">
        <v>3000</v>
      </c>
      <c r="B62" s="77">
        <v>108.54590815937036</v>
      </c>
    </row>
    <row r="63" spans="1:2">
      <c r="A63">
        <v>3050</v>
      </c>
      <c r="B63" s="77">
        <v>110.22012189340739</v>
      </c>
    </row>
    <row r="64" spans="1:2">
      <c r="A64">
        <v>3100</v>
      </c>
      <c r="B64" s="77">
        <v>111.89433562744443</v>
      </c>
    </row>
    <row r="65" spans="1:2">
      <c r="A65">
        <v>3150</v>
      </c>
      <c r="B65" s="77">
        <v>113.56854936148147</v>
      </c>
    </row>
    <row r="66" spans="1:2">
      <c r="A66">
        <v>3200</v>
      </c>
      <c r="B66" s="77">
        <v>115.24276309551851</v>
      </c>
    </row>
    <row r="67" spans="1:2">
      <c r="A67">
        <v>3250</v>
      </c>
      <c r="B67" s="77">
        <v>116.91697682955555</v>
      </c>
    </row>
    <row r="68" spans="1:2">
      <c r="A68">
        <v>3300</v>
      </c>
      <c r="B68" s="77">
        <v>118.59119056359259</v>
      </c>
    </row>
    <row r="69" spans="1:2">
      <c r="A69">
        <v>3350</v>
      </c>
      <c r="B69" s="77">
        <v>120.26540429762963</v>
      </c>
    </row>
    <row r="70" spans="1:2">
      <c r="A70">
        <v>3400</v>
      </c>
      <c r="B70" s="77">
        <v>121.93961803166667</v>
      </c>
    </row>
    <row r="71" spans="1:2">
      <c r="A71">
        <v>3450</v>
      </c>
      <c r="B71" s="77">
        <v>123.61383176570371</v>
      </c>
    </row>
    <row r="72" spans="1:2">
      <c r="A72">
        <v>3500</v>
      </c>
      <c r="B72" s="77">
        <v>125.28804549974075</v>
      </c>
    </row>
    <row r="73" spans="1:2">
      <c r="A73">
        <v>3550</v>
      </c>
      <c r="B73" s="77">
        <v>126.96225923377779</v>
      </c>
    </row>
    <row r="74" spans="1:2">
      <c r="A74">
        <v>3600</v>
      </c>
      <c r="B74" s="77">
        <v>128.63647296781483</v>
      </c>
    </row>
    <row r="75" spans="1:2">
      <c r="A75">
        <v>3650</v>
      </c>
      <c r="B75" s="77">
        <v>130.31068670185186</v>
      </c>
    </row>
    <row r="76" spans="1:2">
      <c r="A76">
        <v>3700</v>
      </c>
      <c r="B76" s="77">
        <v>131.9849004358889</v>
      </c>
    </row>
    <row r="77" spans="1:2">
      <c r="A77">
        <v>3750</v>
      </c>
      <c r="B77" s="77">
        <v>133.65911416992594</v>
      </c>
    </row>
    <row r="78" spans="1:2">
      <c r="A78">
        <v>3800</v>
      </c>
      <c r="B78" s="77">
        <v>135.33332790396298</v>
      </c>
    </row>
    <row r="79" spans="1:2">
      <c r="A79">
        <v>3850</v>
      </c>
      <c r="B79" s="77">
        <v>137.00754163800002</v>
      </c>
    </row>
    <row r="80" spans="1:2">
      <c r="A80">
        <v>3900</v>
      </c>
      <c r="B80" s="77">
        <v>138.68175537203706</v>
      </c>
    </row>
    <row r="81" spans="1:2">
      <c r="A81">
        <v>3950</v>
      </c>
      <c r="B81" s="77">
        <v>140.3559691060741</v>
      </c>
    </row>
    <row r="82" spans="1:2">
      <c r="A82">
        <v>4000</v>
      </c>
      <c r="B82" s="77">
        <v>142.03018284011114</v>
      </c>
    </row>
    <row r="83" spans="1:2">
      <c r="A83">
        <v>4050</v>
      </c>
      <c r="B83" s="77">
        <v>143.70439657414818</v>
      </c>
    </row>
    <row r="84" spans="1:2">
      <c r="A84">
        <v>4100</v>
      </c>
      <c r="B84" s="77">
        <v>145.37861030818522</v>
      </c>
    </row>
    <row r="85" spans="1:2">
      <c r="A85">
        <v>4150</v>
      </c>
      <c r="B85" s="77">
        <v>147.05282404222226</v>
      </c>
    </row>
    <row r="86" spans="1:2">
      <c r="A86">
        <v>4200</v>
      </c>
      <c r="B86" s="77">
        <v>148.72703777625929</v>
      </c>
    </row>
    <row r="87" spans="1:2">
      <c r="A87">
        <v>4250</v>
      </c>
      <c r="B87" s="77">
        <v>150.40125151029633</v>
      </c>
    </row>
    <row r="88" spans="1:2">
      <c r="A88">
        <v>4300</v>
      </c>
      <c r="B88" s="77">
        <v>152.07546524433337</v>
      </c>
    </row>
    <row r="89" spans="1:2">
      <c r="A89">
        <v>4350</v>
      </c>
      <c r="B89" s="77">
        <v>153.74967897837041</v>
      </c>
    </row>
    <row r="90" spans="1:2">
      <c r="A90">
        <v>4400</v>
      </c>
      <c r="B90" s="77">
        <v>155.42389271240745</v>
      </c>
    </row>
    <row r="91" spans="1:2">
      <c r="A91">
        <v>4450</v>
      </c>
      <c r="B91" s="77">
        <v>157.09810644644449</v>
      </c>
    </row>
    <row r="92" spans="1:2">
      <c r="A92">
        <v>4500</v>
      </c>
      <c r="B92" s="77">
        <v>158.77232018048153</v>
      </c>
    </row>
    <row r="93" spans="1:2">
      <c r="A93">
        <v>4550</v>
      </c>
      <c r="B93" s="77">
        <v>160.44653391451857</v>
      </c>
    </row>
    <row r="94" spans="1:2">
      <c r="A94">
        <v>4600</v>
      </c>
      <c r="B94" s="77">
        <v>162.12074764855561</v>
      </c>
    </row>
    <row r="95" spans="1:2">
      <c r="A95">
        <v>4650</v>
      </c>
      <c r="B95" s="77">
        <v>163.79496138259265</v>
      </c>
    </row>
    <row r="96" spans="1:2">
      <c r="A96">
        <v>4700</v>
      </c>
      <c r="B96" s="77">
        <v>165.46917511662969</v>
      </c>
    </row>
    <row r="97" spans="1:2">
      <c r="A97">
        <v>4750</v>
      </c>
      <c r="B97" s="77">
        <v>167.14338885066672</v>
      </c>
    </row>
    <row r="98" spans="1:2">
      <c r="A98">
        <v>4800</v>
      </c>
      <c r="B98" s="77">
        <v>168.81760258470376</v>
      </c>
    </row>
    <row r="99" spans="1:2">
      <c r="A99">
        <v>4850</v>
      </c>
      <c r="B99" s="77">
        <v>170.4918163187408</v>
      </c>
    </row>
    <row r="100" spans="1:2">
      <c r="A100">
        <v>4900</v>
      </c>
      <c r="B100" s="77">
        <v>172.16603005277784</v>
      </c>
    </row>
    <row r="101" spans="1:2">
      <c r="A101">
        <v>4950</v>
      </c>
      <c r="B101" s="77">
        <v>173.84024378681488</v>
      </c>
    </row>
    <row r="102" spans="1:2">
      <c r="A102">
        <v>5000</v>
      </c>
      <c r="B102" s="77">
        <v>175.51445752085192</v>
      </c>
    </row>
    <row r="103" spans="1:2">
      <c r="A103">
        <v>5050</v>
      </c>
      <c r="B103" s="77">
        <v>177.18867125488896</v>
      </c>
    </row>
    <row r="104" spans="1:2">
      <c r="A104">
        <v>5100</v>
      </c>
      <c r="B104" s="77">
        <v>178.862884988926</v>
      </c>
    </row>
    <row r="105" spans="1:2">
      <c r="A105">
        <v>5150</v>
      </c>
      <c r="B105" s="77">
        <v>180.53709872296304</v>
      </c>
    </row>
    <row r="106" spans="1:2">
      <c r="A106">
        <v>5200</v>
      </c>
      <c r="B106" s="77">
        <v>182.21131245700008</v>
      </c>
    </row>
    <row r="107" spans="1:2">
      <c r="A107">
        <v>5250</v>
      </c>
      <c r="B107" s="77">
        <v>183.88552619103712</v>
      </c>
    </row>
    <row r="108" spans="1:2">
      <c r="A108">
        <v>5300</v>
      </c>
      <c r="B108" s="77">
        <v>185.55973992507415</v>
      </c>
    </row>
    <row r="109" spans="1:2">
      <c r="A109">
        <v>5350</v>
      </c>
      <c r="B109" s="77">
        <v>187.23395365911119</v>
      </c>
    </row>
    <row r="110" spans="1:2">
      <c r="A110">
        <v>5400</v>
      </c>
      <c r="B110" s="77">
        <v>188.90816739314823</v>
      </c>
    </row>
    <row r="111" spans="1:2">
      <c r="A111">
        <v>5450</v>
      </c>
      <c r="B111" s="77">
        <v>190.58238112718527</v>
      </c>
    </row>
    <row r="112" spans="1:2">
      <c r="A112">
        <v>5500</v>
      </c>
      <c r="B112" s="77">
        <v>192.25659486122231</v>
      </c>
    </row>
    <row r="113" spans="1:2">
      <c r="A113">
        <v>5550</v>
      </c>
      <c r="B113" s="77">
        <v>193.93080859525935</v>
      </c>
    </row>
    <row r="114" spans="1:2">
      <c r="A114">
        <v>5600</v>
      </c>
      <c r="B114" s="77">
        <v>195.60502232929639</v>
      </c>
    </row>
    <row r="115" spans="1:2">
      <c r="A115">
        <v>5650</v>
      </c>
      <c r="B115" s="77">
        <v>197.27923606333343</v>
      </c>
    </row>
    <row r="116" spans="1:2">
      <c r="A116">
        <v>5700</v>
      </c>
      <c r="B116" s="77">
        <v>198.95344979737047</v>
      </c>
    </row>
    <row r="117" spans="1:2">
      <c r="A117">
        <v>5750</v>
      </c>
      <c r="B117" s="77">
        <v>200.62766353140751</v>
      </c>
    </row>
    <row r="118" spans="1:2">
      <c r="A118">
        <v>5800</v>
      </c>
      <c r="B118" s="77">
        <v>202.30187726544455</v>
      </c>
    </row>
    <row r="119" spans="1:2">
      <c r="A119">
        <v>5850</v>
      </c>
      <c r="B119" s="77">
        <v>203.97609099948158</v>
      </c>
    </row>
    <row r="120" spans="1:2">
      <c r="A120">
        <v>5900</v>
      </c>
      <c r="B120" s="77">
        <v>205.65030473351862</v>
      </c>
    </row>
    <row r="121" spans="1:2">
      <c r="A121">
        <v>5950</v>
      </c>
      <c r="B121" s="77">
        <v>207.32451846755566</v>
      </c>
    </row>
    <row r="122" spans="1:2">
      <c r="A122">
        <v>6000</v>
      </c>
      <c r="B122" s="77">
        <v>208.9987322015927</v>
      </c>
    </row>
    <row r="123" spans="1:2">
      <c r="A123">
        <v>6050</v>
      </c>
      <c r="B123" s="77">
        <v>210.67294593562974</v>
      </c>
    </row>
    <row r="124" spans="1:2">
      <c r="A124">
        <v>6100</v>
      </c>
      <c r="B124" s="77">
        <v>212.34715966966678</v>
      </c>
    </row>
    <row r="125" spans="1:2">
      <c r="A125">
        <v>6150</v>
      </c>
      <c r="B125" s="77">
        <v>214.02137340370382</v>
      </c>
    </row>
    <row r="126" spans="1:2">
      <c r="A126">
        <v>6200</v>
      </c>
      <c r="B126" s="77">
        <v>215.69558713774086</v>
      </c>
    </row>
    <row r="127" spans="1:2">
      <c r="A127">
        <v>6250</v>
      </c>
      <c r="B127" s="77">
        <v>217.3698008717779</v>
      </c>
    </row>
    <row r="128" spans="1:2">
      <c r="A128">
        <v>6300</v>
      </c>
      <c r="B128" s="77">
        <v>219.04401460581494</v>
      </c>
    </row>
    <row r="129" spans="1:2">
      <c r="A129">
        <v>6350</v>
      </c>
      <c r="B129" s="77">
        <v>220.71822833985198</v>
      </c>
    </row>
    <row r="130" spans="1:2">
      <c r="A130">
        <v>6400</v>
      </c>
      <c r="B130" s="77">
        <v>222.39244207388901</v>
      </c>
    </row>
    <row r="131" spans="1:2">
      <c r="A131">
        <v>6450</v>
      </c>
      <c r="B131" s="77">
        <v>224.06665580792605</v>
      </c>
    </row>
    <row r="132" spans="1:2">
      <c r="A132">
        <v>6500</v>
      </c>
      <c r="B132" s="77">
        <v>225.74086954196309</v>
      </c>
    </row>
    <row r="133" spans="1:2">
      <c r="A133">
        <v>6550</v>
      </c>
      <c r="B133" s="77">
        <v>227.41508327600013</v>
      </c>
    </row>
    <row r="134" spans="1:2">
      <c r="A134" s="77">
        <v>6566.8467477486947</v>
      </c>
      <c r="B134" s="77">
        <v>228</v>
      </c>
    </row>
    <row r="135" spans="1:2">
      <c r="A135">
        <v>6600</v>
      </c>
      <c r="B135" s="77">
        <v>229.08929701003717</v>
      </c>
    </row>
    <row r="136" spans="1:2">
      <c r="A136">
        <v>6650</v>
      </c>
      <c r="B136" s="77">
        <v>230.76351074407421</v>
      </c>
    </row>
    <row r="137" spans="1:2">
      <c r="A137">
        <v>6700</v>
      </c>
      <c r="B137" s="77">
        <v>232.43772447811125</v>
      </c>
    </row>
    <row r="138" spans="1:2">
      <c r="A138">
        <v>6750</v>
      </c>
      <c r="B138" s="77">
        <v>234.11193821214829</v>
      </c>
    </row>
    <row r="139" spans="1:2">
      <c r="A139">
        <v>6800</v>
      </c>
      <c r="B139" s="77">
        <v>235.78615194618533</v>
      </c>
    </row>
    <row r="140" spans="1:2">
      <c r="A140">
        <v>6850</v>
      </c>
      <c r="B140" s="77">
        <v>237.46036568022237</v>
      </c>
    </row>
    <row r="141" spans="1:2">
      <c r="A141">
        <v>6900</v>
      </c>
      <c r="B141" s="77">
        <v>239.13457941425941</v>
      </c>
    </row>
    <row r="142" spans="1:2">
      <c r="A142">
        <v>6950</v>
      </c>
      <c r="B142" s="77">
        <v>240.80879314829644</v>
      </c>
    </row>
    <row r="143" spans="1:2">
      <c r="A143">
        <v>7000</v>
      </c>
      <c r="B143" s="77">
        <v>242.48300688233348</v>
      </c>
    </row>
    <row r="144" spans="1:2">
      <c r="A144">
        <v>7050</v>
      </c>
      <c r="B144" s="77">
        <v>244.15722061637052</v>
      </c>
    </row>
    <row r="145" spans="1:2">
      <c r="A145">
        <v>7100</v>
      </c>
      <c r="B145" s="77">
        <v>245.83143435040756</v>
      </c>
    </row>
    <row r="146" spans="1:2">
      <c r="A146">
        <v>7150</v>
      </c>
      <c r="B146" s="77">
        <v>247.5056480844446</v>
      </c>
    </row>
    <row r="147" spans="1:2">
      <c r="A147">
        <v>7200</v>
      </c>
      <c r="B147" s="77">
        <v>249.17986181848164</v>
      </c>
    </row>
    <row r="148" spans="1:2">
      <c r="A148">
        <v>7250</v>
      </c>
      <c r="B148" s="77">
        <v>250.85407555251868</v>
      </c>
    </row>
    <row r="149" spans="1:2">
      <c r="B149" s="7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5FD-8972-42A4-B212-A08CE649A377}">
  <dimension ref="B2:I42"/>
  <sheetViews>
    <sheetView zoomScale="121" zoomScaleNormal="160" workbookViewId="0">
      <selection activeCell="C16" sqref="C16"/>
    </sheetView>
  </sheetViews>
  <sheetFormatPr baseColWidth="10" defaultColWidth="11.5" defaultRowHeight="15"/>
  <cols>
    <col min="1" max="1" width="11.5" style="55"/>
    <col min="2" max="3" width="14.83203125" style="55" bestFit="1" customWidth="1"/>
    <col min="4" max="4" width="11.5" style="55"/>
    <col min="5" max="5" width="18.1640625" style="55" customWidth="1"/>
    <col min="6" max="6" width="11.5" style="55"/>
    <col min="7" max="7" width="14.83203125" style="55" bestFit="1" customWidth="1"/>
    <col min="8" max="16384" width="11.5" style="55"/>
  </cols>
  <sheetData>
    <row r="2" spans="2:9" ht="16" thickBot="1">
      <c r="B2" s="76" t="s">
        <v>76</v>
      </c>
    </row>
    <row r="3" spans="2:9">
      <c r="B3" s="67">
        <f>'Fiche de production 7000 L'!G36</f>
        <v>7199.1200000000008</v>
      </c>
      <c r="C3" s="66" t="s">
        <v>58</v>
      </c>
      <c r="D3" s="66" t="s">
        <v>59</v>
      </c>
      <c r="E3" s="75" t="s">
        <v>60</v>
      </c>
      <c r="F3" s="74" t="s">
        <v>52</v>
      </c>
      <c r="G3" s="55" t="s">
        <v>61</v>
      </c>
      <c r="H3" s="55" t="s">
        <v>77</v>
      </c>
      <c r="I3" s="55" t="s">
        <v>62</v>
      </c>
    </row>
    <row r="4" spans="2:9">
      <c r="B4" s="64" t="s">
        <v>63</v>
      </c>
      <c r="C4" s="55">
        <f>'[1]Fiche de production 7000 L'!Y23</f>
        <v>243.88</v>
      </c>
      <c r="D4" s="55">
        <f>C4</f>
        <v>243.88</v>
      </c>
      <c r="E4" s="73">
        <v>0.8</v>
      </c>
      <c r="F4" s="72">
        <f>C4*E4</f>
        <v>195.10400000000001</v>
      </c>
      <c r="G4" s="55">
        <f>IF(ISNUMBER( SEARCH("K.",'Fiche de production 7000 L'!H8)), 4, 1.4)</f>
        <v>4</v>
      </c>
      <c r="H4" s="55">
        <f>G4*10*B3/1000</f>
        <v>287.96480000000003</v>
      </c>
      <c r="I4" s="56">
        <f>H4/F9*100</f>
        <v>35.273593630378194</v>
      </c>
    </row>
    <row r="5" spans="2:9">
      <c r="B5" s="64" t="s">
        <v>64</v>
      </c>
      <c r="C5" s="56">
        <f>'[1]Fiche de production 7000 L'!Y24</f>
        <v>111.5</v>
      </c>
      <c r="D5" s="56">
        <f>C5*0.56</f>
        <v>62.440000000000005</v>
      </c>
      <c r="E5" s="73">
        <v>0.75</v>
      </c>
      <c r="F5" s="72">
        <f>C5*E5</f>
        <v>83.625</v>
      </c>
    </row>
    <row r="6" spans="2:9">
      <c r="B6" s="64" t="s">
        <v>65</v>
      </c>
      <c r="C6" s="55">
        <f>'[1]Fiche de production 7000 L'!Y25</f>
        <v>27.87</v>
      </c>
      <c r="D6" s="59">
        <f>C6*60/1000</f>
        <v>1.6722000000000001</v>
      </c>
      <c r="E6" s="73">
        <v>1</v>
      </c>
      <c r="F6" s="72">
        <f>C6*E6</f>
        <v>27.87</v>
      </c>
      <c r="H6" s="55" t="s">
        <v>66</v>
      </c>
      <c r="I6" s="56">
        <f>D7-H4</f>
        <v>18.355199999999968</v>
      </c>
    </row>
    <row r="7" spans="2:9" ht="16" thickBot="1">
      <c r="B7" s="62" t="s">
        <v>67</v>
      </c>
      <c r="C7" s="71">
        <f>SUM(C4, C5)</f>
        <v>355.38</v>
      </c>
      <c r="D7" s="71">
        <f>SUM(D4, D5)</f>
        <v>306.32</v>
      </c>
      <c r="E7" s="70"/>
      <c r="F7" s="69">
        <f>SUM(F4:F6)</f>
        <v>306.59900000000005</v>
      </c>
      <c r="H7" s="55" t="s">
        <v>68</v>
      </c>
      <c r="I7" s="68">
        <f>I6/D7</f>
        <v>5.9921650561504204E-2</v>
      </c>
    </row>
    <row r="8" spans="2:9">
      <c r="E8" s="55" t="s">
        <v>69</v>
      </c>
      <c r="F8" s="57">
        <f>900-F7</f>
        <v>593.40099999999995</v>
      </c>
    </row>
    <row r="9" spans="2:9">
      <c r="E9" s="55" t="s">
        <v>70</v>
      </c>
      <c r="F9" s="57">
        <f>F8+F6+F4</f>
        <v>816.375</v>
      </c>
    </row>
    <row r="10" spans="2:9">
      <c r="E10" s="55" t="s">
        <v>74</v>
      </c>
      <c r="F10" s="57">
        <f>F8+F5+F6</f>
        <v>704.89599999999996</v>
      </c>
    </row>
    <row r="13" spans="2:9" ht="16" thickBot="1">
      <c r="B13" s="55" t="s">
        <v>83</v>
      </c>
    </row>
    <row r="14" spans="2:9">
      <c r="B14" s="67">
        <f>'Fiche de production 7000 L'!G36</f>
        <v>7199.1200000000008</v>
      </c>
      <c r="C14" s="66" t="s">
        <v>81</v>
      </c>
      <c r="D14" s="65" t="s">
        <v>58</v>
      </c>
      <c r="F14" s="57"/>
      <c r="I14" s="56"/>
    </row>
    <row r="15" spans="2:9">
      <c r="B15" s="64" t="s">
        <v>63</v>
      </c>
      <c r="C15" s="55">
        <v>1.0999999999999999E-2</v>
      </c>
      <c r="D15" s="63">
        <f>C15*$B$14</f>
        <v>79.19032</v>
      </c>
      <c r="F15" s="57"/>
    </row>
    <row r="16" spans="2:9">
      <c r="B16" s="64" t="s">
        <v>64</v>
      </c>
      <c r="C16" s="55">
        <v>8.0000000000000002E-3</v>
      </c>
      <c r="D16" s="63">
        <f>C16*$B$14</f>
        <v>57.592960000000005</v>
      </c>
      <c r="F16" s="57"/>
      <c r="I16" s="56"/>
    </row>
    <row r="17" spans="2:9">
      <c r="B17" s="64" t="s">
        <v>65</v>
      </c>
      <c r="C17" s="55">
        <v>4.0000000000000001E-3</v>
      </c>
      <c r="D17" s="63">
        <f>C17*$B$14</f>
        <v>28.796480000000003</v>
      </c>
      <c r="F17" s="57"/>
      <c r="I17" s="58"/>
    </row>
    <row r="18" spans="2:9" ht="16" thickBot="1">
      <c r="B18" s="62" t="s">
        <v>80</v>
      </c>
      <c r="C18" s="61">
        <v>8.0000000000000002E-3</v>
      </c>
      <c r="D18" s="60">
        <f>C18*$B$14</f>
        <v>57.592960000000005</v>
      </c>
      <c r="F18" s="57"/>
    </row>
    <row r="19" spans="2:9">
      <c r="F19" s="57"/>
    </row>
    <row r="22" spans="2:9" ht="16" thickBot="1">
      <c r="B22" s="55" t="s">
        <v>82</v>
      </c>
    </row>
    <row r="23" spans="2:9">
      <c r="B23" s="67">
        <f>'Fiche de production 7000 L'!G36</f>
        <v>7199.1200000000008</v>
      </c>
      <c r="C23" s="66" t="s">
        <v>81</v>
      </c>
      <c r="D23" s="65" t="s">
        <v>58</v>
      </c>
    </row>
    <row r="24" spans="2:9">
      <c r="B24" s="64" t="s">
        <v>63</v>
      </c>
      <c r="C24" s="55">
        <v>3.5000000000000003E-2</v>
      </c>
      <c r="D24" s="63">
        <f>C24*$B$14</f>
        <v>251.96920000000006</v>
      </c>
    </row>
    <row r="25" spans="2:9">
      <c r="B25" s="64" t="s">
        <v>64</v>
      </c>
      <c r="C25" s="55">
        <v>1.6E-2</v>
      </c>
      <c r="D25" s="63">
        <f>C25*$B$14</f>
        <v>115.18592000000001</v>
      </c>
    </row>
    <row r="26" spans="2:9">
      <c r="B26" s="64" t="s">
        <v>65</v>
      </c>
      <c r="C26" s="55">
        <v>4.0000000000000001E-3</v>
      </c>
      <c r="D26" s="63">
        <f>C26*$B$14</f>
        <v>28.796480000000003</v>
      </c>
    </row>
    <row r="27" spans="2:9" ht="16" thickBot="1">
      <c r="B27" s="62" t="s">
        <v>80</v>
      </c>
      <c r="C27" s="61">
        <v>6.0000000000000001E-3</v>
      </c>
      <c r="D27" s="60">
        <f>C27*$B$14</f>
        <v>43.194720000000004</v>
      </c>
    </row>
    <row r="28" spans="2:9">
      <c r="F28" s="57"/>
      <c r="I28" s="56"/>
    </row>
    <row r="29" spans="2:9">
      <c r="C29" s="56"/>
      <c r="D29" s="56"/>
      <c r="F29" s="57"/>
    </row>
    <row r="30" spans="2:9">
      <c r="D30" s="59"/>
      <c r="F30" s="57"/>
      <c r="I30" s="56"/>
    </row>
    <row r="31" spans="2:9">
      <c r="C31" s="56"/>
      <c r="D31" s="56"/>
      <c r="F31" s="57"/>
      <c r="I31" s="58"/>
    </row>
    <row r="32" spans="2:9">
      <c r="F32" s="57"/>
    </row>
    <row r="33" spans="3:9">
      <c r="F33" s="57"/>
    </row>
    <row r="37" spans="3:9">
      <c r="F37" s="57"/>
      <c r="I37" s="57"/>
    </row>
    <row r="38" spans="3:9">
      <c r="C38" s="56"/>
      <c r="D38" s="56"/>
      <c r="F38" s="57"/>
    </row>
    <row r="39" spans="3:9">
      <c r="D39" s="59"/>
      <c r="F39" s="57"/>
      <c r="I39" s="56"/>
    </row>
    <row r="40" spans="3:9">
      <c r="C40" s="56"/>
      <c r="D40" s="56"/>
      <c r="F40" s="57"/>
      <c r="I40" s="58"/>
    </row>
    <row r="41" spans="3:9">
      <c r="F41" s="57"/>
    </row>
    <row r="42" spans="3:9">
      <c r="F42" s="57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68E7AABF19C4981679A47A6BF5CE2" ma:contentTypeVersion="16" ma:contentTypeDescription="Crée un document." ma:contentTypeScope="" ma:versionID="1a88ca7bfd47ccc99a2d9a382ff38390">
  <xsd:schema xmlns:xsd="http://www.w3.org/2001/XMLSchema" xmlns:xs="http://www.w3.org/2001/XMLSchema" xmlns:p="http://schemas.microsoft.com/office/2006/metadata/properties" xmlns:ns3="cdd997ee-d5af-495c-b8b2-423990488cdd" xmlns:ns4="7b584c88-1985-421e-b575-bed1026222c2" targetNamespace="http://schemas.microsoft.com/office/2006/metadata/properties" ma:root="true" ma:fieldsID="cd869be583149c1e1b258c41b946a8ea" ns3:_="" ns4:_="">
    <xsd:import namespace="cdd997ee-d5af-495c-b8b2-423990488cdd"/>
    <xsd:import namespace="7b584c88-1985-421e-b575-bed102622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997ee-d5af-495c-b8b2-423990488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4c88-1985-421e-b575-bed102622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d997ee-d5af-495c-b8b2-423990488cd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B8EF6D-50C5-4B3A-9170-46D13DA64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997ee-d5af-495c-b8b2-423990488cdd"/>
    <ds:schemaRef ds:uri="7b584c88-1985-421e-b575-bed102622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CAE4AD-78F4-408E-BE23-C5961A925B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dd997ee-d5af-495c-b8b2-423990488cdd"/>
    <ds:schemaRef ds:uri="http://schemas.openxmlformats.org/package/2006/metadata/core-properties"/>
    <ds:schemaRef ds:uri="7b584c88-1985-421e-b575-bed1026222c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8C327C-016A-4920-9791-8190462DCD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Fiche de production 7000 L</vt:lpstr>
      <vt:lpstr>CUVE 3 mesure</vt:lpstr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 Kopelman-landron</dc:creator>
  <cp:lastModifiedBy>Chloé Ethève</cp:lastModifiedBy>
  <cp:lastPrinted>2025-06-19T11:44:45Z</cp:lastPrinted>
  <dcterms:created xsi:type="dcterms:W3CDTF">2024-06-10T12:51:21Z</dcterms:created>
  <dcterms:modified xsi:type="dcterms:W3CDTF">2025-10-15T12:46:00Z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0x01010077E68E7AABF19C4981679A47A6BF5CE2</vt:lpwstr>
  </property>
</Properties>
</file>