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bouto\Downloads\"/>
    </mc:Choice>
  </mc:AlternateContent>
  <xr:revisionPtr revIDLastSave="0" documentId="13_ncr:1_{39A96A2C-062E-4D9B-A075-87A1D788EE47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Risk &amp; Return basic" sheetId="15" r:id="rId1"/>
    <sheet name="Capital Allocation" sheetId="19" r:id="rId2"/>
    <sheet name="Asset Allocation w RAs" sheetId="21" r:id="rId3"/>
    <sheet name="Asset Allocation w Rf" sheetId="22" r:id="rId4"/>
  </sheets>
  <definedNames>
    <definedName name="_xlnm.Print_Area" localSheetId="3">'Asset Allocation w Rf'!$B$2:$G$56</definedName>
    <definedName name="_xlnm.Print_Area" localSheetId="0">'Risk &amp; Return basic'!$B$1:$D$5</definedName>
    <definedName name="solver_adj" localSheetId="2" hidden="1">'Asset Allocation w RAs'!$B$27</definedName>
    <definedName name="solver_adj" localSheetId="3" hidden="1">'Asset Allocation w Rf'!$B$27</definedName>
    <definedName name="solver_adj" localSheetId="1" hidden="1">'Capital Allocation'!$C$10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1" hidden="1">0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2" hidden="1">'Asset Allocation w RAs'!$E$27</definedName>
    <definedName name="solver_opt" localSheetId="3" hidden="1">'Asset Allocation w Rf'!$E$27</definedName>
    <definedName name="solver_opt" localSheetId="1" hidden="1">'Capital Allocation'!$C$15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2" hidden="1">2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2" i="22" l="1"/>
  <c r="D51" i="22"/>
  <c r="D50" i="22"/>
  <c r="D49" i="22"/>
  <c r="F51" i="22"/>
  <c r="F49" i="22"/>
  <c r="D39" i="22"/>
  <c r="D42" i="22"/>
  <c r="D43" i="22"/>
  <c r="D41" i="22"/>
  <c r="D40" i="22"/>
  <c r="D38" i="22"/>
  <c r="D37" i="22"/>
  <c r="E15" i="22"/>
  <c r="F15" i="22" s="1"/>
  <c r="E16" i="22"/>
  <c r="E17" i="22"/>
  <c r="F17" i="22" s="1"/>
  <c r="E18" i="22"/>
  <c r="E19" i="22"/>
  <c r="E20" i="22"/>
  <c r="F20" i="22" s="1"/>
  <c r="E21" i="22"/>
  <c r="E22" i="22"/>
  <c r="E23" i="22"/>
  <c r="E24" i="22"/>
  <c r="E14" i="22"/>
  <c r="F16" i="22"/>
  <c r="F19" i="22"/>
  <c r="F22" i="22"/>
  <c r="F24" i="22"/>
  <c r="F21" i="22"/>
  <c r="F14" i="22"/>
  <c r="F18" i="22"/>
  <c r="D15" i="22"/>
  <c r="D16" i="22"/>
  <c r="D17" i="22"/>
  <c r="D18" i="22"/>
  <c r="D19" i="22"/>
  <c r="D20" i="22"/>
  <c r="D21" i="22"/>
  <c r="D22" i="22"/>
  <c r="D23" i="22"/>
  <c r="D24" i="22"/>
  <c r="D14" i="22"/>
  <c r="F7" i="22"/>
  <c r="F28" i="21"/>
  <c r="D28" i="21"/>
  <c r="D29" i="21"/>
  <c r="D30" i="21"/>
  <c r="C28" i="21"/>
  <c r="C29" i="21"/>
  <c r="C30" i="21"/>
  <c r="C27" i="21"/>
  <c r="D27" i="21" s="1"/>
  <c r="F14" i="21"/>
  <c r="G14" i="21"/>
  <c r="H14" i="21"/>
  <c r="F15" i="21"/>
  <c r="G15" i="21"/>
  <c r="H15" i="21"/>
  <c r="F16" i="21"/>
  <c r="G16" i="21"/>
  <c r="H16" i="21"/>
  <c r="F17" i="21"/>
  <c r="G17" i="21"/>
  <c r="H17" i="21"/>
  <c r="F18" i="21"/>
  <c r="G18" i="21"/>
  <c r="H18" i="21"/>
  <c r="F19" i="21"/>
  <c r="G19" i="21"/>
  <c r="H19" i="21"/>
  <c r="F20" i="21"/>
  <c r="G20" i="21"/>
  <c r="H20" i="21"/>
  <c r="F21" i="21"/>
  <c r="G21" i="21"/>
  <c r="H21" i="21"/>
  <c r="F22" i="21"/>
  <c r="G22" i="21"/>
  <c r="H22" i="21"/>
  <c r="F23" i="21"/>
  <c r="G23" i="21"/>
  <c r="H23" i="21"/>
  <c r="F24" i="21"/>
  <c r="G24" i="21"/>
  <c r="H24" i="21"/>
  <c r="E15" i="21"/>
  <c r="E16" i="21"/>
  <c r="E17" i="21"/>
  <c r="E18" i="21"/>
  <c r="E19" i="21"/>
  <c r="E20" i="21"/>
  <c r="E21" i="21"/>
  <c r="E22" i="21"/>
  <c r="E23" i="21"/>
  <c r="E24" i="21"/>
  <c r="E14" i="21"/>
  <c r="D15" i="21"/>
  <c r="D16" i="21"/>
  <c r="D17" i="21"/>
  <c r="D18" i="21"/>
  <c r="D19" i="21"/>
  <c r="D20" i="21"/>
  <c r="D21" i="21"/>
  <c r="D22" i="21"/>
  <c r="D23" i="21"/>
  <c r="D24" i="21"/>
  <c r="D14" i="21"/>
  <c r="E9" i="21"/>
  <c r="F23" i="22" l="1"/>
  <c r="E27" i="21"/>
  <c r="F20" i="19" l="1"/>
  <c r="F21" i="19"/>
  <c r="F22" i="19"/>
  <c r="F23" i="19"/>
  <c r="F24" i="19"/>
  <c r="F25" i="19"/>
  <c r="F26" i="19"/>
  <c r="F27" i="19"/>
  <c r="F28" i="19"/>
  <c r="F29" i="19"/>
  <c r="F19" i="19"/>
  <c r="C14" i="19"/>
  <c r="C13" i="19"/>
  <c r="D19" i="19" s="1"/>
  <c r="C11" i="19"/>
  <c r="C12" i="19" s="1"/>
  <c r="D36" i="15"/>
  <c r="D35" i="15"/>
  <c r="D34" i="15"/>
  <c r="D33" i="15"/>
  <c r="D32" i="15"/>
  <c r="D31" i="15"/>
  <c r="D30" i="15"/>
  <c r="D29" i="15"/>
  <c r="D28" i="15"/>
  <c r="G23" i="15"/>
  <c r="G24" i="15"/>
  <c r="G25" i="15" s="1"/>
  <c r="G22" i="15"/>
  <c r="G21" i="15"/>
  <c r="F22" i="15"/>
  <c r="F23" i="15"/>
  <c r="F24" i="15"/>
  <c r="F25" i="15"/>
  <c r="F21" i="15"/>
  <c r="E22" i="15"/>
  <c r="E23" i="15"/>
  <c r="E24" i="15"/>
  <c r="E25" i="15"/>
  <c r="E21" i="15"/>
  <c r="D27" i="15"/>
  <c r="D26" i="15"/>
  <c r="F15" i="15"/>
  <c r="I9" i="15"/>
  <c r="I10" i="15"/>
  <c r="I11" i="15"/>
  <c r="I8" i="15"/>
  <c r="F14" i="15"/>
  <c r="F13" i="15"/>
  <c r="H9" i="15"/>
  <c r="H10" i="15"/>
  <c r="H11" i="15"/>
  <c r="H8" i="15"/>
  <c r="G9" i="15"/>
  <c r="G10" i="15"/>
  <c r="G11" i="15"/>
  <c r="G8" i="15"/>
  <c r="F12" i="15"/>
  <c r="F9" i="15"/>
  <c r="F10" i="15"/>
  <c r="F11" i="15"/>
  <c r="F8" i="15"/>
  <c r="C19" i="19" l="1"/>
  <c r="C15" i="19"/>
  <c r="E19" i="19" s="1"/>
  <c r="F50" i="22" l="1"/>
  <c r="B29" i="21"/>
  <c r="B30" i="21"/>
  <c r="B28" i="21"/>
  <c r="D31" i="19"/>
  <c r="C31" i="19"/>
  <c r="G7" i="22"/>
  <c r="E31" i="19"/>
  <c r="F52" i="22" l="1"/>
  <c r="C30" i="22"/>
  <c r="D30" i="22" s="1"/>
  <c r="G29" i="21"/>
  <c r="H30" i="21"/>
  <c r="B31" i="22" l="1"/>
  <c r="C31" i="22" s="1"/>
  <c r="E31" i="22" s="1"/>
  <c r="E30" i="22"/>
  <c r="F30" i="22" s="1"/>
  <c r="C27" i="22"/>
  <c r="D27" i="22" s="1"/>
  <c r="B28" i="22"/>
  <c r="E27" i="22" l="1"/>
  <c r="F27" i="22" s="1"/>
  <c r="C28" i="22"/>
  <c r="E28" i="22" s="1"/>
  <c r="D31" i="22"/>
  <c r="F31" i="22" l="1"/>
  <c r="D28" i="22"/>
  <c r="F28" i="22" s="1"/>
</calcChain>
</file>

<file path=xl/sharedStrings.xml><?xml version="1.0" encoding="utf-8"?>
<sst xmlns="http://schemas.openxmlformats.org/spreadsheetml/2006/main" count="147" uniqueCount="113">
  <si>
    <t xml:space="preserve">Expected </t>
  </si>
  <si>
    <t>Standard</t>
  </si>
  <si>
    <t>Return</t>
  </si>
  <si>
    <t>Deviation</t>
  </si>
  <si>
    <t>T-Bill</t>
  </si>
  <si>
    <t>Weight</t>
  </si>
  <si>
    <t>Reward to</t>
  </si>
  <si>
    <t>Correlation</t>
  </si>
  <si>
    <t>Expected</t>
  </si>
  <si>
    <t>Desired rate of return</t>
  </si>
  <si>
    <t>Expected Return</t>
  </si>
  <si>
    <t>Standard Deviation</t>
  </si>
  <si>
    <t>Weight: Risk-Free Asset</t>
  </si>
  <si>
    <t>Covariance 1,2</t>
  </si>
  <si>
    <t>Coefficient 1,2</t>
  </si>
  <si>
    <t>Securities</t>
  </si>
  <si>
    <t>w/ Risk-Free Asset</t>
  </si>
  <si>
    <t>w/o Risk-Free Asset</t>
  </si>
  <si>
    <t>Descriptive Statistics for two mutual funds</t>
  </si>
  <si>
    <t>Standard Deviation, 𝜎</t>
  </si>
  <si>
    <t>Expected Return, E(r)</t>
  </si>
  <si>
    <t>Equity</t>
  </si>
  <si>
    <t xml:space="preserve">Expected Return and Standard Deviation </t>
  </si>
  <si>
    <t>with various correlation coefficient</t>
  </si>
  <si>
    <t>Risky Asset Portfolio: Weights, Expected Return, SD, Sharpe Ratio</t>
  </si>
  <si>
    <t>Weight: Optimal Risky Portfolio</t>
  </si>
  <si>
    <t>Optimal Complete Portfolio with Target rate</t>
  </si>
  <si>
    <t>Probability</t>
  </si>
  <si>
    <t>Variance</t>
  </si>
  <si>
    <t>Input Variables</t>
  </si>
  <si>
    <t>Purchase Price</t>
  </si>
  <si>
    <t>Treasury bill</t>
  </si>
  <si>
    <t>State of the Economy</t>
  </si>
  <si>
    <t>Year-end price</t>
  </si>
  <si>
    <t>Cash Dividends</t>
  </si>
  <si>
    <t xml:space="preserve"> HPR</t>
  </si>
  <si>
    <t>Boom</t>
  </si>
  <si>
    <t>Normal growth</t>
  </si>
  <si>
    <t>Mild recession</t>
  </si>
  <si>
    <t>Severe recession</t>
  </si>
  <si>
    <t>Expected Rate of Return (mean)</t>
  </si>
  <si>
    <t>Variance of HPR</t>
  </si>
  <si>
    <t>Standard Deviation of HPR</t>
  </si>
  <si>
    <t>Risk Premium</t>
  </si>
  <si>
    <t>Year</t>
  </si>
  <si>
    <t>Implicit Probability</t>
  </si>
  <si>
    <t>HPR (decimal)</t>
  </si>
  <si>
    <t>Squared Deviation</t>
  </si>
  <si>
    <t>Gross Return 
= 1 + HPR</t>
  </si>
  <si>
    <t>Wealth Index*</t>
  </si>
  <si>
    <t>Arithmetic average</t>
  </si>
  <si>
    <t>Expected HPR</t>
  </si>
  <si>
    <t>Variance. P</t>
  </si>
  <si>
    <t>Variance. S</t>
  </si>
  <si>
    <t>Variance. S (Cal.)</t>
  </si>
  <si>
    <t>Standard Deviation. P</t>
  </si>
  <si>
    <t>Standard Deviation. S</t>
  </si>
  <si>
    <t>Standard Deviation. S (Cal.)</t>
  </si>
  <si>
    <t>E(rc)</t>
  </si>
  <si>
    <t>𝜎 c</t>
  </si>
  <si>
    <t>U=E(rc)-1/2A𝜎c^2</t>
  </si>
  <si>
    <t>Under Max. Utility</t>
  </si>
  <si>
    <t>1-y: weight of risk free asset</t>
  </si>
  <si>
    <t>E(Rp): expected return of risky pf</t>
  </si>
  <si>
    <t>rf: rate of return of risk-free asset</t>
  </si>
  <si>
    <r>
      <rPr>
        <b/>
        <sz val="12"/>
        <rFont val="Times New Roman"/>
        <family val="1"/>
      </rPr>
      <t>𝜎 p</t>
    </r>
    <r>
      <rPr>
        <sz val="12"/>
        <rFont val="Times New Roman"/>
        <family val="1"/>
      </rPr>
      <t>: SD of risky pf</t>
    </r>
  </si>
  <si>
    <t>Slope: Capital Allocation Line (CAL)</t>
  </si>
  <si>
    <t xml:space="preserve">U (A=4): Utility at the risk aversion level </t>
  </si>
  <si>
    <t>Risky Pf (P) only</t>
  </si>
  <si>
    <t>Complete Pf (C). Risk free + Risky Pf</t>
  </si>
  <si>
    <t>E(rc): expected return of the Complete pf</t>
  </si>
  <si>
    <t>𝜎 c: SD of Complete pf</t>
  </si>
  <si>
    <t>y: weight of risky pf</t>
  </si>
  <si>
    <t>weight of risky pf: y</t>
  </si>
  <si>
    <r>
      <t>Correlation coefficient, 𝜌</t>
    </r>
    <r>
      <rPr>
        <sz val="8"/>
        <rFont val="Times New Roman"/>
        <family val="1"/>
      </rPr>
      <t>DE</t>
    </r>
  </si>
  <si>
    <r>
      <t>Covariance, Cov(r</t>
    </r>
    <r>
      <rPr>
        <sz val="8"/>
        <rFont val="Times New Roman"/>
        <family val="1"/>
      </rPr>
      <t>D</t>
    </r>
    <r>
      <rPr>
        <sz val="12"/>
        <rFont val="Times New Roman"/>
        <family val="1"/>
      </rPr>
      <t>, r</t>
    </r>
    <r>
      <rPr>
        <sz val="8"/>
        <rFont val="Times New Roman"/>
        <family val="1"/>
      </rPr>
      <t>E</t>
    </r>
    <r>
      <rPr>
        <sz val="12"/>
        <rFont val="Times New Roman"/>
        <family val="1"/>
      </rPr>
      <t>)</t>
    </r>
  </si>
  <si>
    <r>
      <t>W</t>
    </r>
    <r>
      <rPr>
        <b/>
        <sz val="8"/>
        <rFont val="Times New Roman"/>
        <family val="1"/>
      </rPr>
      <t>D</t>
    </r>
  </si>
  <si>
    <r>
      <t>W</t>
    </r>
    <r>
      <rPr>
        <b/>
        <sz val="8"/>
        <rFont val="Times New Roman"/>
        <family val="1"/>
      </rPr>
      <t>E</t>
    </r>
  </si>
  <si>
    <r>
      <t>E(r</t>
    </r>
    <r>
      <rPr>
        <b/>
        <sz val="8"/>
        <rFont val="Times New Roman"/>
        <family val="1"/>
      </rPr>
      <t>p</t>
    </r>
    <r>
      <rPr>
        <b/>
        <sz val="12"/>
        <rFont val="Times New Roman"/>
        <family val="1"/>
      </rPr>
      <t>)</t>
    </r>
  </si>
  <si>
    <r>
      <t>𝜎</t>
    </r>
    <r>
      <rPr>
        <b/>
        <sz val="8"/>
        <rFont val="Times New Roman"/>
        <family val="1"/>
      </rPr>
      <t>p</t>
    </r>
    <r>
      <rPr>
        <b/>
        <sz val="12"/>
        <rFont val="Times New Roman"/>
        <family val="1"/>
      </rPr>
      <t xml:space="preserve"> : Portfolio Standard Deviation for Given Correlation</t>
    </r>
  </si>
  <si>
    <t>Part I. Scenario Analysis of Risk and Return of a mutual fund</t>
  </si>
  <si>
    <t>Part II. Time Series of holding-period returns. Arithmetic vs. Geometric</t>
  </si>
  <si>
    <t>Debt (Bond)</t>
  </si>
  <si>
    <t>Bond</t>
  </si>
  <si>
    <t>Bond weight</t>
  </si>
  <si>
    <t>Sharpe ratio</t>
  </si>
  <si>
    <t>Mininum</t>
  </si>
  <si>
    <t>Max.</t>
  </si>
  <si>
    <t xml:space="preserve">Solver or Equation </t>
  </si>
  <si>
    <t>Equity weight</t>
  </si>
  <si>
    <t>Minimum Variance Portfolio of risky assets</t>
  </si>
  <si>
    <t xml:space="preserve">Deviations from Mean: 
HPR-E(r) </t>
  </si>
  <si>
    <t>Excess Returns: HPR-Rf</t>
  </si>
  <si>
    <t>Capital Allocation &gt; Asset Classes Allocation &gt; Security Selection</t>
  </si>
  <si>
    <t>y=0</t>
  </si>
  <si>
    <t>Max. Objective</t>
  </si>
  <si>
    <t>Capital Allocation. Optimal Captial Allocation using Maixum Utility</t>
  </si>
  <si>
    <t>Asset Classes Allocation. Minimum Variance Portfolio: Two Risky Assets Portfolio</t>
  </si>
  <si>
    <t>Asset Classes Allocation Analysis: Two-Security Model</t>
  </si>
  <si>
    <t>Debt</t>
  </si>
  <si>
    <t>Weight y: Optimal Risky Portfolio</t>
  </si>
  <si>
    <t>Weight (1-y): Risk-Free Asset</t>
  </si>
  <si>
    <t>Sharpe Ratio</t>
  </si>
  <si>
    <t>Appendix.</t>
  </si>
  <si>
    <t>A. Minimum Variance Portfolio of Risky Assets</t>
  </si>
  <si>
    <t>B. Optimal Risky Portfolio. Maximum of Sharpe ratio.</t>
  </si>
  <si>
    <t>C. Optimal Complete Portfolio with U (when A = 4)</t>
  </si>
  <si>
    <t xml:space="preserve"> </t>
  </si>
  <si>
    <t>Variance: Squared Deviations from Mean</t>
  </si>
  <si>
    <t>Geometric average (=CAGR)</t>
  </si>
  <si>
    <t>Solver</t>
  </si>
  <si>
    <t>Volatility</t>
  </si>
  <si>
    <t>Deviation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</si>
</sst>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"/>
    <numFmt numFmtId="166" formatCode="0.00000"/>
    <numFmt numFmtId="167" formatCode="0.0"/>
    <numFmt numFmtId="168" formatCode="0.00000%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8"/>
      <name val="Times New Roman"/>
      <family val="1"/>
    </font>
    <font>
      <b/>
      <sz val="8"/>
      <name val="Times New Roman"/>
      <family val="1"/>
    </font>
    <font>
      <b/>
      <i/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1" applyFont="1" applyAlignment="1">
      <alignment vertical="center"/>
    </xf>
    <xf numFmtId="164" fontId="5" fillId="0" borderId="0" xfId="5" applyFont="1" applyFill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/>
    <xf numFmtId="164" fontId="5" fillId="0" borderId="0" xfId="5" applyFont="1" applyFill="1" applyBorder="1" applyAlignment="1"/>
    <xf numFmtId="0" fontId="7" fillId="0" borderId="0" xfId="1" applyFont="1" applyAlignment="1">
      <alignment horizontal="left"/>
    </xf>
    <xf numFmtId="0" fontId="5" fillId="0" borderId="0" xfId="1" applyFont="1"/>
    <xf numFmtId="0" fontId="4" fillId="0" borderId="1" xfId="1" applyFont="1" applyBorder="1"/>
    <xf numFmtId="164" fontId="5" fillId="0" borderId="1" xfId="5" applyFont="1" applyFill="1" applyBorder="1" applyAlignment="1"/>
    <xf numFmtId="0" fontId="5" fillId="0" borderId="0" xfId="1" applyFont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wrapText="1"/>
    </xf>
    <xf numFmtId="164" fontId="4" fillId="0" borderId="1" xfId="5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horizontal="right" wrapText="1"/>
    </xf>
    <xf numFmtId="165" fontId="5" fillId="0" borderId="0" xfId="5" applyNumberFormat="1" applyFont="1" applyFill="1" applyBorder="1" applyAlignment="1">
      <alignment horizontal="right" vertical="center"/>
    </xf>
    <xf numFmtId="10" fontId="5" fillId="2" borderId="0" xfId="6" applyNumberFormat="1" applyFont="1" applyFill="1" applyBorder="1" applyAlignment="1">
      <alignment horizontal="right" vertical="center"/>
    </xf>
    <xf numFmtId="0" fontId="5" fillId="0" borderId="1" xfId="1" applyFont="1" applyBorder="1" applyAlignment="1">
      <alignment vertical="center"/>
    </xf>
    <xf numFmtId="165" fontId="5" fillId="0" borderId="1" xfId="5" applyNumberFormat="1" applyFont="1" applyFill="1" applyBorder="1" applyAlignment="1">
      <alignment horizontal="right" vertical="center"/>
    </xf>
    <xf numFmtId="10" fontId="5" fillId="2" borderId="1" xfId="6" applyNumberFormat="1" applyFont="1" applyFill="1" applyBorder="1" applyAlignment="1">
      <alignment horizontal="right" vertical="center"/>
    </xf>
    <xf numFmtId="10" fontId="5" fillId="2" borderId="0" xfId="6" applyNumberFormat="1" applyFont="1" applyFill="1" applyBorder="1" applyAlignment="1">
      <alignment vertical="center"/>
    </xf>
    <xf numFmtId="10" fontId="5" fillId="0" borderId="0" xfId="6" applyNumberFormat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/>
    </xf>
    <xf numFmtId="164" fontId="4" fillId="0" borderId="1" xfId="5" applyFont="1" applyFill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10" fontId="5" fillId="0" borderId="0" xfId="6" applyNumberFormat="1" applyFont="1" applyAlignment="1">
      <alignment horizontal="right" vertical="center"/>
    </xf>
    <xf numFmtId="10" fontId="5" fillId="5" borderId="0" xfId="6" applyNumberFormat="1" applyFont="1" applyFill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164" fontId="5" fillId="0" borderId="1" xfId="5" applyFont="1" applyFill="1" applyBorder="1" applyAlignment="1">
      <alignment vertical="center"/>
    </xf>
    <xf numFmtId="10" fontId="5" fillId="0" borderId="1" xfId="6" applyNumberFormat="1" applyFont="1" applyBorder="1" applyAlignment="1">
      <alignment horizontal="right" vertical="center"/>
    </xf>
    <xf numFmtId="10" fontId="5" fillId="5" borderId="1" xfId="6" applyNumberFormat="1" applyFont="1" applyFill="1" applyBorder="1" applyAlignment="1">
      <alignment horizontal="right" vertical="center"/>
    </xf>
    <xf numFmtId="10" fontId="5" fillId="0" borderId="0" xfId="6" applyNumberFormat="1" applyFont="1" applyAlignment="1">
      <alignment vertical="center"/>
    </xf>
    <xf numFmtId="0" fontId="4" fillId="0" borderId="1" xfId="1" applyFont="1" applyBorder="1" applyAlignment="1">
      <alignment vertical="center"/>
    </xf>
    <xf numFmtId="10" fontId="5" fillId="5" borderId="0" xfId="6" applyNumberFormat="1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4" fontId="5" fillId="5" borderId="0" xfId="2" applyFont="1" applyFill="1" applyAlignment="1">
      <alignment horizontal="right" vertical="center"/>
    </xf>
    <xf numFmtId="164" fontId="5" fillId="5" borderId="1" xfId="2" applyFont="1" applyFill="1" applyBorder="1" applyAlignment="1">
      <alignment horizontal="right" vertical="center"/>
    </xf>
    <xf numFmtId="10" fontId="5" fillId="6" borderId="0" xfId="0" applyNumberFormat="1" applyFont="1" applyFill="1" applyAlignment="1">
      <alignment vertical="center"/>
    </xf>
    <xf numFmtId="164" fontId="5" fillId="6" borderId="0" xfId="2" applyFont="1" applyFill="1" applyAlignment="1">
      <alignment vertical="center"/>
    </xf>
    <xf numFmtId="168" fontId="5" fillId="6" borderId="0" xfId="0" applyNumberFormat="1" applyFont="1" applyFill="1" applyAlignment="1">
      <alignment vertical="center"/>
    </xf>
    <xf numFmtId="10" fontId="5" fillId="6" borderId="0" xfId="0" applyNumberFormat="1" applyFont="1" applyFill="1" applyAlignment="1">
      <alignment horizontal="right" vertical="center"/>
    </xf>
    <xf numFmtId="10" fontId="5" fillId="6" borderId="0" xfId="3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5" fillId="6" borderId="0" xfId="2" applyFont="1" applyFill="1" applyBorder="1" applyAlignment="1">
      <alignment vertical="center"/>
    </xf>
    <xf numFmtId="168" fontId="4" fillId="6" borderId="5" xfId="0" applyNumberFormat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" fontId="5" fillId="0" borderId="0" xfId="2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2" fontId="5" fillId="0" borderId="0" xfId="2" applyNumberFormat="1" applyFont="1" applyAlignment="1">
      <alignment vertical="center"/>
    </xf>
    <xf numFmtId="2" fontId="5" fillId="4" borderId="3" xfId="2" applyNumberFormat="1" applyFont="1" applyFill="1" applyBorder="1" applyAlignment="1">
      <alignment vertical="center"/>
    </xf>
    <xf numFmtId="2" fontId="5" fillId="0" borderId="0" xfId="2" applyNumberFormat="1" applyFont="1" applyBorder="1" applyAlignment="1">
      <alignment vertical="center"/>
    </xf>
    <xf numFmtId="2" fontId="5" fillId="4" borderId="0" xfId="2" applyNumberFormat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2" fontId="5" fillId="0" borderId="1" xfId="2" applyNumberFormat="1" applyFont="1" applyBorder="1" applyAlignment="1">
      <alignment vertical="center"/>
    </xf>
    <xf numFmtId="2" fontId="5" fillId="4" borderId="8" xfId="2" applyNumberFormat="1" applyFont="1" applyFill="1" applyBorder="1" applyAlignment="1">
      <alignment vertical="center"/>
    </xf>
    <xf numFmtId="2" fontId="5" fillId="4" borderId="1" xfId="2" applyNumberFormat="1" applyFont="1" applyFill="1" applyBorder="1" applyAlignment="1">
      <alignment vertical="center"/>
    </xf>
    <xf numFmtId="2" fontId="5" fillId="4" borderId="3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167" fontId="5" fillId="0" borderId="1" xfId="0" applyNumberFormat="1" applyFont="1" applyBorder="1" applyAlignment="1">
      <alignment horizontal="right" vertical="center"/>
    </xf>
    <xf numFmtId="166" fontId="5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10" fontId="4" fillId="3" borderId="5" xfId="0" applyNumberFormat="1" applyFont="1" applyFill="1" applyBorder="1" applyAlignment="1">
      <alignment vertical="center"/>
    </xf>
    <xf numFmtId="0" fontId="5" fillId="0" borderId="0" xfId="0" quotePrefix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7" fontId="5" fillId="0" borderId="3" xfId="0" applyNumberFormat="1" applyFont="1" applyBorder="1" applyAlignment="1">
      <alignment horizontal="right" vertical="center"/>
    </xf>
    <xf numFmtId="167" fontId="5" fillId="0" borderId="8" xfId="0" applyNumberFormat="1" applyFont="1" applyBorder="1" applyAlignment="1">
      <alignment horizontal="right" vertical="center"/>
    </xf>
    <xf numFmtId="2" fontId="5" fillId="2" borderId="0" xfId="0" applyNumberFormat="1" applyFont="1" applyFill="1" applyAlignment="1">
      <alignment horizontal="right" vertical="center"/>
    </xf>
    <xf numFmtId="2" fontId="5" fillId="2" borderId="3" xfId="0" applyNumberFormat="1" applyFont="1" applyFill="1" applyBorder="1" applyAlignment="1">
      <alignment horizontal="right" vertical="center"/>
    </xf>
    <xf numFmtId="2" fontId="5" fillId="2" borderId="3" xfId="0" applyNumberFormat="1" applyFont="1" applyFill="1" applyBorder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10" fontId="9" fillId="6" borderId="0" xfId="3" applyNumberFormat="1" applyFont="1" applyFill="1" applyAlignment="1">
      <alignment horizontal="right" vertical="center"/>
    </xf>
    <xf numFmtId="10" fontId="9" fillId="6" borderId="0" xfId="0" applyNumberFormat="1" applyFont="1" applyFill="1" applyAlignment="1">
      <alignment horizontal="right" vertical="center"/>
    </xf>
    <xf numFmtId="2" fontId="5" fillId="4" borderId="7" xfId="2" applyNumberFormat="1" applyFont="1" applyFill="1" applyBorder="1" applyAlignment="1">
      <alignment vertical="center"/>
    </xf>
    <xf numFmtId="166" fontId="5" fillId="7" borderId="0" xfId="0" applyNumberFormat="1" applyFont="1" applyFill="1" applyAlignment="1">
      <alignment vertical="center"/>
    </xf>
    <xf numFmtId="166" fontId="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2" fontId="13" fillId="2" borderId="0" xfId="0" applyNumberFormat="1" applyFont="1" applyFill="1" applyAlignment="1">
      <alignment vertical="center"/>
    </xf>
    <xf numFmtId="2" fontId="13" fillId="2" borderId="0" xfId="0" applyNumberFormat="1" applyFont="1" applyFill="1" applyAlignment="1">
      <alignment horizontal="right" vertical="center"/>
    </xf>
    <xf numFmtId="166" fontId="13" fillId="2" borderId="0" xfId="0" applyNumberFormat="1" applyFont="1" applyFill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2" fontId="13" fillId="4" borderId="0" xfId="2" applyNumberFormat="1" applyFont="1" applyFill="1" applyBorder="1" applyAlignment="1">
      <alignment vertical="center"/>
    </xf>
    <xf numFmtId="165" fontId="13" fillId="4" borderId="0" xfId="2" applyNumberFormat="1" applyFont="1" applyFill="1" applyAlignment="1">
      <alignment vertical="center"/>
    </xf>
    <xf numFmtId="165" fontId="13" fillId="4" borderId="0" xfId="0" applyNumberFormat="1" applyFont="1" applyFill="1" applyAlignment="1">
      <alignment vertical="center"/>
    </xf>
    <xf numFmtId="165" fontId="12" fillId="4" borderId="0" xfId="0" applyNumberFormat="1" applyFont="1" applyFill="1" applyAlignment="1">
      <alignment vertical="center"/>
    </xf>
    <xf numFmtId="9" fontId="5" fillId="0" borderId="0" xfId="0" applyNumberFormat="1" applyFont="1" applyAlignment="1">
      <alignment vertical="center"/>
    </xf>
    <xf numFmtId="10" fontId="5" fillId="2" borderId="6" xfId="6" applyNumberFormat="1" applyFont="1" applyFill="1" applyBorder="1" applyAlignment="1">
      <alignment horizontal="right" vertical="center"/>
    </xf>
    <xf numFmtId="10" fontId="5" fillId="5" borderId="6" xfId="6" applyNumberFormat="1" applyFont="1" applyFill="1" applyBorder="1" applyAlignment="1">
      <alignment horizontal="right" vertical="center"/>
    </xf>
    <xf numFmtId="10" fontId="5" fillId="5" borderId="0" xfId="6" applyNumberFormat="1" applyFont="1" applyFill="1" applyBorder="1" applyAlignment="1">
      <alignment horizontal="right" vertical="center"/>
    </xf>
    <xf numFmtId="164" fontId="5" fillId="5" borderId="0" xfId="2" applyFont="1" applyFill="1" applyBorder="1" applyAlignment="1">
      <alignment horizontal="right" vertical="center"/>
    </xf>
    <xf numFmtId="2" fontId="5" fillId="4" borderId="2" xfId="2" applyNumberFormat="1" applyFont="1" applyFill="1" applyBorder="1" applyAlignment="1">
      <alignment vertical="center"/>
    </xf>
    <xf numFmtId="2" fontId="5" fillId="4" borderId="10" xfId="2" applyNumberFormat="1" applyFont="1" applyFill="1" applyBorder="1" applyAlignment="1">
      <alignment vertical="center"/>
    </xf>
    <xf numFmtId="2" fontId="5" fillId="4" borderId="6" xfId="2" applyNumberFormat="1" applyFont="1" applyFill="1" applyBorder="1" applyAlignment="1">
      <alignment vertical="center"/>
    </xf>
    <xf numFmtId="2" fontId="5" fillId="4" borderId="11" xfId="2" applyNumberFormat="1" applyFont="1" applyFill="1" applyBorder="1" applyAlignment="1">
      <alignment vertical="center"/>
    </xf>
    <xf numFmtId="166" fontId="5" fillId="2" borderId="10" xfId="0" applyNumberFormat="1" applyFont="1" applyFill="1" applyBorder="1" applyAlignment="1">
      <alignment vertical="center"/>
    </xf>
    <xf numFmtId="166" fontId="5" fillId="2" borderId="6" xfId="0" applyNumberFormat="1" applyFont="1" applyFill="1" applyBorder="1" applyAlignment="1">
      <alignment vertical="center"/>
    </xf>
    <xf numFmtId="166" fontId="5" fillId="2" borderId="11" xfId="0" applyNumberFormat="1" applyFont="1" applyFill="1" applyBorder="1" applyAlignment="1">
      <alignment vertical="center"/>
    </xf>
    <xf numFmtId="166" fontId="5" fillId="2" borderId="7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7">
    <cellStyle name="Comma" xfId="2" builtinId="3"/>
    <cellStyle name="Comma 2" xfId="5" xr:uid="{3D2DB6BA-3845-5A48-9B5B-4F0D45479FCC}"/>
    <cellStyle name="Normal" xfId="0" builtinId="0"/>
    <cellStyle name="Normal 2" xfId="1" xr:uid="{4F8E53EE-16E7-EB47-81BB-EFB9081A703A}"/>
    <cellStyle name="Normal 3" xfId="4" xr:uid="{FEFC44FC-BBD0-C14B-B85D-F4499574F704}"/>
    <cellStyle name="Percent" xfId="3" builtinId="5"/>
    <cellStyle name="Percent 2" xfId="6" xr:uid="{13740999-9200-AC4D-A577-5F7659174F43}"/>
  </cellStyles>
  <dxfs count="0"/>
  <tableStyles count="0" defaultTableStyle="TableStyleMedium2" defaultPivotStyle="PivotStyleLight16"/>
  <colors>
    <mruColors>
      <color rgb="FFB8FFD2"/>
      <color rgb="FF8EF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E(rc)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'Capital Allocation'!$D$18</c:f>
              <c:strCache>
                <c:ptCount val="1"/>
                <c:pt idx="0">
                  <c:v>𝜎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'Capital Allocation'!$D$19:$D$29</c:f>
              <c:numCache>
                <c:formatCode>0.00%</c:formatCode>
                <c:ptCount val="11"/>
                <c:pt idx="0">
                  <c:v>0</c:v>
                </c:pt>
                <c:pt idx="1">
                  <c:v>2.2000000000000002E-2</c:v>
                </c:pt>
                <c:pt idx="2">
                  <c:v>4.4000000000000004E-2</c:v>
                </c:pt>
                <c:pt idx="3">
                  <c:v>6.6000000000000003E-2</c:v>
                </c:pt>
                <c:pt idx="4">
                  <c:v>8.8000000000000009E-2</c:v>
                </c:pt>
                <c:pt idx="5">
                  <c:v>0.11</c:v>
                </c:pt>
                <c:pt idx="6">
                  <c:v>0.13200000000000001</c:v>
                </c:pt>
                <c:pt idx="7">
                  <c:v>0.154</c:v>
                </c:pt>
                <c:pt idx="8">
                  <c:v>0.17600000000000002</c:v>
                </c:pt>
                <c:pt idx="9">
                  <c:v>0.19800000000000001</c:v>
                </c:pt>
                <c:pt idx="10">
                  <c:v>0.22</c:v>
                </c:pt>
              </c:numCache>
            </c:numRef>
          </c:xVal>
          <c:yVal>
            <c:numRef>
              <c:f>'Capital Allocation'!$C$19:$C$29</c:f>
              <c:numCache>
                <c:formatCode>0.00%</c:formatCode>
                <c:ptCount val="11"/>
                <c:pt idx="0">
                  <c:v>7.0000000000000007E-2</c:v>
                </c:pt>
                <c:pt idx="1">
                  <c:v>7.8000000000000014E-2</c:v>
                </c:pt>
                <c:pt idx="2">
                  <c:v>8.6000000000000007E-2</c:v>
                </c:pt>
                <c:pt idx="3">
                  <c:v>9.4E-2</c:v>
                </c:pt>
                <c:pt idx="4">
                  <c:v>0.10200000000000001</c:v>
                </c:pt>
                <c:pt idx="5">
                  <c:v>0.11</c:v>
                </c:pt>
                <c:pt idx="6">
                  <c:v>0.11799999999999999</c:v>
                </c:pt>
                <c:pt idx="7">
                  <c:v>0.126</c:v>
                </c:pt>
                <c:pt idx="8">
                  <c:v>0.13400000000000001</c:v>
                </c:pt>
                <c:pt idx="9">
                  <c:v>0.14200000000000002</c:v>
                </c:pt>
                <c:pt idx="10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66-F149-8B11-02B70DD5A6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 Allocation'!$D$19:$D$29</c:f>
              <c:numCache>
                <c:formatCode>0.00%</c:formatCode>
                <c:ptCount val="11"/>
                <c:pt idx="0">
                  <c:v>0</c:v>
                </c:pt>
                <c:pt idx="1">
                  <c:v>2.2000000000000002E-2</c:v>
                </c:pt>
                <c:pt idx="2">
                  <c:v>4.4000000000000004E-2</c:v>
                </c:pt>
                <c:pt idx="3">
                  <c:v>6.6000000000000003E-2</c:v>
                </c:pt>
                <c:pt idx="4">
                  <c:v>8.8000000000000009E-2</c:v>
                </c:pt>
                <c:pt idx="5">
                  <c:v>0.11</c:v>
                </c:pt>
                <c:pt idx="6">
                  <c:v>0.13200000000000001</c:v>
                </c:pt>
                <c:pt idx="7">
                  <c:v>0.154</c:v>
                </c:pt>
                <c:pt idx="8">
                  <c:v>0.17600000000000002</c:v>
                </c:pt>
                <c:pt idx="9">
                  <c:v>0.19800000000000001</c:v>
                </c:pt>
                <c:pt idx="10">
                  <c:v>0.22</c:v>
                </c:pt>
              </c:numCache>
            </c:numRef>
          </c:xVal>
          <c:yVal>
            <c:numRef>
              <c:f>'Capital Allocation'!$F$19:$F$29</c:f>
              <c:numCache>
                <c:formatCode>0.00%</c:formatCode>
                <c:ptCount val="11"/>
                <c:pt idx="0">
                  <c:v>8.6528925619834718E-2</c:v>
                </c:pt>
                <c:pt idx="1">
                  <c:v>8.7496925619834715E-2</c:v>
                </c:pt>
                <c:pt idx="2">
                  <c:v>9.0400925619834718E-2</c:v>
                </c:pt>
                <c:pt idx="3">
                  <c:v>9.5240925619834715E-2</c:v>
                </c:pt>
                <c:pt idx="4">
                  <c:v>0.10201692561983472</c:v>
                </c:pt>
                <c:pt idx="5">
                  <c:v>0.11072892561983472</c:v>
                </c:pt>
                <c:pt idx="6">
                  <c:v>0.12137692561983472</c:v>
                </c:pt>
                <c:pt idx="7">
                  <c:v>0.13396092561983472</c:v>
                </c:pt>
                <c:pt idx="8">
                  <c:v>0.14848092561983472</c:v>
                </c:pt>
                <c:pt idx="9">
                  <c:v>0.16493692561983472</c:v>
                </c:pt>
                <c:pt idx="10">
                  <c:v>0.18332892561983472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66-F149-8B11-02B70DD5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18304"/>
        <c:axId val="2087986975"/>
      </c:scatterChart>
      <c:valAx>
        <c:axId val="3621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86975"/>
        <c:crosses val="autoZero"/>
        <c:crossBetween val="midCat"/>
      </c:valAx>
      <c:valAx>
        <c:axId val="20879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'Capital Allocation'!$E$18</c:f>
              <c:strCache>
                <c:ptCount val="1"/>
                <c:pt idx="0">
                  <c:v>U=E(rc)-1/2A𝜎c^2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'Capital Allocation'!$B$19:$B$29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'Capital Allocation'!$E$19:$E$29</c:f>
              <c:numCache>
                <c:formatCode>0.00%</c:formatCode>
                <c:ptCount val="11"/>
                <c:pt idx="0">
                  <c:v>7.0000000000000007E-2</c:v>
                </c:pt>
                <c:pt idx="1">
                  <c:v>7.7032000000000017E-2</c:v>
                </c:pt>
                <c:pt idx="2">
                  <c:v>8.2128000000000007E-2</c:v>
                </c:pt>
                <c:pt idx="3">
                  <c:v>8.5288000000000003E-2</c:v>
                </c:pt>
                <c:pt idx="4">
                  <c:v>8.6512000000000006E-2</c:v>
                </c:pt>
                <c:pt idx="5">
                  <c:v>8.5800000000000001E-2</c:v>
                </c:pt>
                <c:pt idx="6">
                  <c:v>8.315199999999999E-2</c:v>
                </c:pt>
                <c:pt idx="7">
                  <c:v>7.8567999999999999E-2</c:v>
                </c:pt>
                <c:pt idx="8">
                  <c:v>7.2048000000000001E-2</c:v>
                </c:pt>
                <c:pt idx="9">
                  <c:v>6.359200000000001E-2</c:v>
                </c:pt>
                <c:pt idx="10">
                  <c:v>5.3199999999999997E-2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27-384C-900E-593ADDEE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735"/>
        <c:axId val="17376719"/>
      </c:scatterChart>
      <c:valAx>
        <c:axId val="502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719"/>
        <c:crosses val="autoZero"/>
        <c:crossBetween val="midCat"/>
      </c:valAx>
      <c:valAx>
        <c:axId val="1737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CC 0.3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RAs'!$G$14:$G$24</c:f>
              <c:numCache>
                <c:formatCode>0.00</c:formatCode>
                <c:ptCount val="11"/>
                <c:pt idx="0">
                  <c:v>20</c:v>
                </c:pt>
                <c:pt idx="1">
                  <c:v>18.39565166010707</c:v>
                </c:pt>
                <c:pt idx="2">
                  <c:v>16.876018487783192</c:v>
                </c:pt>
                <c:pt idx="3">
                  <c:v>15.466091943344964</c:v>
                </c:pt>
                <c:pt idx="4">
                  <c:v>14.198591479439079</c:v>
                </c:pt>
                <c:pt idx="5">
                  <c:v>13.114877048604001</c:v>
                </c:pt>
                <c:pt idx="6">
                  <c:v>12.263767773404714</c:v>
                </c:pt>
                <c:pt idx="7">
                  <c:v>11.696153213770756</c:v>
                </c:pt>
                <c:pt idx="8">
                  <c:v>11.454256850621084</c:v>
                </c:pt>
                <c:pt idx="9">
                  <c:v>11.558546621439913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5C-E44E-A9BD-7C0D9C4CF5F5}"/>
            </c:ext>
          </c:extLst>
        </c:ser>
        <c:ser>
          <c:idx val="1"/>
          <c:order val="1"/>
          <c:tx>
            <c:v>CC -1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'Asset Allocation w RAs'!$E$14:$E$24</c:f>
              <c:numCache>
                <c:formatCode>0.00</c:formatCode>
                <c:ptCount val="11"/>
                <c:pt idx="0">
                  <c:v>20</c:v>
                </c:pt>
                <c:pt idx="1">
                  <c:v>16.8</c:v>
                </c:pt>
                <c:pt idx="2">
                  <c:v>13.600000000000001</c:v>
                </c:pt>
                <c:pt idx="3">
                  <c:v>10.399999999999999</c:v>
                </c:pt>
                <c:pt idx="4">
                  <c:v>7.200000000000002</c:v>
                </c:pt>
                <c:pt idx="5">
                  <c:v>4</c:v>
                </c:pt>
                <c:pt idx="6">
                  <c:v>0.80000000000000038</c:v>
                </c:pt>
                <c:pt idx="7">
                  <c:v>2.3999999999999981</c:v>
                </c:pt>
                <c:pt idx="8">
                  <c:v>5.6000000000000014</c:v>
                </c:pt>
                <c:pt idx="9">
                  <c:v>8.8000000000000007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5C-E44E-A9BD-7C0D9C4CF5F5}"/>
            </c:ext>
          </c:extLst>
        </c:ser>
        <c:ser>
          <c:idx val="2"/>
          <c:order val="2"/>
          <c:tx>
            <c:v>CC 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'Asset Allocation w RAs'!$F$14:$F$24</c:f>
              <c:numCache>
                <c:formatCode>0.00</c:formatCode>
                <c:ptCount val="11"/>
                <c:pt idx="0">
                  <c:v>20</c:v>
                </c:pt>
                <c:pt idx="1">
                  <c:v>18.039955654047489</c:v>
                </c:pt>
                <c:pt idx="2">
                  <c:v>16.178998732925351</c:v>
                </c:pt>
                <c:pt idx="3">
                  <c:v>14.455448799674121</c:v>
                </c:pt>
                <c:pt idx="4">
                  <c:v>12.924395537122811</c:v>
                </c:pt>
                <c:pt idx="5">
                  <c:v>11.661903789690601</c:v>
                </c:pt>
                <c:pt idx="6">
                  <c:v>10.762899237658969</c:v>
                </c:pt>
                <c:pt idx="7">
                  <c:v>10.322790320451151</c:v>
                </c:pt>
                <c:pt idx="8">
                  <c:v>10.4</c:v>
                </c:pt>
                <c:pt idx="9">
                  <c:v>10.983624174196786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5C-E44E-A9BD-7C0D9C4CF5F5}"/>
            </c:ext>
          </c:extLst>
        </c:ser>
        <c:ser>
          <c:idx val="3"/>
          <c:order val="3"/>
          <c:tx>
            <c:v>CC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'Asset Allocation w RAs'!$H$14:$H$24</c:f>
              <c:numCache>
                <c:formatCode>0.00</c:formatCode>
                <c:ptCount val="11"/>
                <c:pt idx="0">
                  <c:v>20</c:v>
                </c:pt>
                <c:pt idx="1">
                  <c:v>19.2</c:v>
                </c:pt>
                <c:pt idx="2">
                  <c:v>18.400000000000002</c:v>
                </c:pt>
                <c:pt idx="3">
                  <c:v>17.600000000000001</c:v>
                </c:pt>
                <c:pt idx="4">
                  <c:v>16.8</c:v>
                </c:pt>
                <c:pt idx="5">
                  <c:v>16</c:v>
                </c:pt>
                <c:pt idx="6">
                  <c:v>15.200000000000001</c:v>
                </c:pt>
                <c:pt idx="7">
                  <c:v>14.4</c:v>
                </c:pt>
                <c:pt idx="8">
                  <c:v>13.600000000000001</c:v>
                </c:pt>
                <c:pt idx="9">
                  <c:v>12.8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5C-E44E-A9BD-7C0D9C4C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50976"/>
        <c:axId val="346152704"/>
      </c:scatterChart>
      <c:valAx>
        <c:axId val="3461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52704"/>
        <c:crosses val="autoZero"/>
        <c:crossBetween val="midCat"/>
      </c:valAx>
      <c:valAx>
        <c:axId val="34615270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'Asset Allocation w RAs'!$D$13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3-B24A-A5A7-9FC8726BD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49936"/>
        <c:axId val="466392800"/>
      </c:scatterChart>
      <c:valAx>
        <c:axId val="4660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in</a:t>
                </a:r>
                <a:r>
                  <a:rPr lang="en-US" baseline="0"/>
                  <a:t> stocks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92800"/>
        <c:crosses val="autoZero"/>
        <c:crossBetween val="midCat"/>
      </c:valAx>
      <c:valAx>
        <c:axId val="4663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'Asset Allocation w RAs'!$E$13</c:f>
              <c:strCache>
                <c:ptCount val="1"/>
                <c:pt idx="0">
                  <c:v>𝜎p : Portfolio Standard Deviation for Given Correlation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RAs'!$E$14:$E$24</c:f>
              <c:numCache>
                <c:formatCode>0.00</c:formatCode>
                <c:ptCount val="11"/>
                <c:pt idx="0">
                  <c:v>20</c:v>
                </c:pt>
                <c:pt idx="1">
                  <c:v>16.8</c:v>
                </c:pt>
                <c:pt idx="2">
                  <c:v>13.600000000000001</c:v>
                </c:pt>
                <c:pt idx="3">
                  <c:v>10.399999999999999</c:v>
                </c:pt>
                <c:pt idx="4">
                  <c:v>7.200000000000002</c:v>
                </c:pt>
                <c:pt idx="5">
                  <c:v>4</c:v>
                </c:pt>
                <c:pt idx="6">
                  <c:v>0.80000000000000038</c:v>
                </c:pt>
                <c:pt idx="7">
                  <c:v>2.3999999999999981</c:v>
                </c:pt>
                <c:pt idx="8">
                  <c:v>5.6000000000000014</c:v>
                </c:pt>
                <c:pt idx="9">
                  <c:v>8.8000000000000007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A8-6B44-B78E-71D47E7B4B12}"/>
            </c:ext>
          </c:extLst>
        </c:ser>
        <c:ser>
          <c:idx val="1"/>
          <c:order val="1"/>
          <c:tx>
            <c:strRef>
              <c:f>'Asset Allocation w RAs'!$F$13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RAs'!$F$14:$F$24</c:f>
              <c:numCache>
                <c:formatCode>0.00</c:formatCode>
                <c:ptCount val="11"/>
                <c:pt idx="0">
                  <c:v>20</c:v>
                </c:pt>
                <c:pt idx="1">
                  <c:v>18.039955654047489</c:v>
                </c:pt>
                <c:pt idx="2">
                  <c:v>16.178998732925351</c:v>
                </c:pt>
                <c:pt idx="3">
                  <c:v>14.455448799674121</c:v>
                </c:pt>
                <c:pt idx="4">
                  <c:v>12.924395537122811</c:v>
                </c:pt>
                <c:pt idx="5">
                  <c:v>11.661903789690601</c:v>
                </c:pt>
                <c:pt idx="6">
                  <c:v>10.762899237658969</c:v>
                </c:pt>
                <c:pt idx="7">
                  <c:v>10.322790320451151</c:v>
                </c:pt>
                <c:pt idx="8">
                  <c:v>10.4</c:v>
                </c:pt>
                <c:pt idx="9">
                  <c:v>10.983624174196786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A8-6B44-B78E-71D47E7B4B12}"/>
            </c:ext>
          </c:extLst>
        </c:ser>
        <c:ser>
          <c:idx val="2"/>
          <c:order val="2"/>
          <c:tx>
            <c:strRef>
              <c:f>'Asset Allocation w RAs'!$G$13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RAs'!$G$14:$G$24</c:f>
              <c:numCache>
                <c:formatCode>0.00</c:formatCode>
                <c:ptCount val="11"/>
                <c:pt idx="0">
                  <c:v>20</c:v>
                </c:pt>
                <c:pt idx="1">
                  <c:v>18.39565166010707</c:v>
                </c:pt>
                <c:pt idx="2">
                  <c:v>16.876018487783192</c:v>
                </c:pt>
                <c:pt idx="3">
                  <c:v>15.466091943344964</c:v>
                </c:pt>
                <c:pt idx="4">
                  <c:v>14.198591479439079</c:v>
                </c:pt>
                <c:pt idx="5">
                  <c:v>13.114877048604001</c:v>
                </c:pt>
                <c:pt idx="6">
                  <c:v>12.263767773404714</c:v>
                </c:pt>
                <c:pt idx="7">
                  <c:v>11.696153213770756</c:v>
                </c:pt>
                <c:pt idx="8">
                  <c:v>11.454256850621084</c:v>
                </c:pt>
                <c:pt idx="9">
                  <c:v>11.558546621439913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A8-6B44-B78E-71D47E7B4B12}"/>
            </c:ext>
          </c:extLst>
        </c:ser>
        <c:ser>
          <c:idx val="3"/>
          <c:order val="3"/>
          <c:tx>
            <c:strRef>
              <c:f>'Asset Allocation w RAs'!$H$13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RAs'!$H$14:$H$24</c:f>
              <c:numCache>
                <c:formatCode>0.00</c:formatCode>
                <c:ptCount val="11"/>
                <c:pt idx="0">
                  <c:v>20</c:v>
                </c:pt>
                <c:pt idx="1">
                  <c:v>19.2</c:v>
                </c:pt>
                <c:pt idx="2">
                  <c:v>18.400000000000002</c:v>
                </c:pt>
                <c:pt idx="3">
                  <c:v>17.600000000000001</c:v>
                </c:pt>
                <c:pt idx="4">
                  <c:v>16.8</c:v>
                </c:pt>
                <c:pt idx="5">
                  <c:v>16</c:v>
                </c:pt>
                <c:pt idx="6">
                  <c:v>15.200000000000001</c:v>
                </c:pt>
                <c:pt idx="7">
                  <c:v>14.4</c:v>
                </c:pt>
                <c:pt idx="8">
                  <c:v>13.600000000000001</c:v>
                </c:pt>
                <c:pt idx="9">
                  <c:v>12.8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A8-6B44-B78E-71D47E7B4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13552"/>
        <c:axId val="5306543"/>
      </c:scatterChart>
      <c:valAx>
        <c:axId val="1904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in stocks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543"/>
        <c:crosses val="autoZero"/>
        <c:crossBetween val="midCat"/>
      </c:valAx>
      <c:valAx>
        <c:axId val="530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 Risky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Rf'!$E$14:$E$24</c:f>
              <c:numCache>
                <c:formatCode>0.00000</c:formatCode>
                <c:ptCount val="11"/>
                <c:pt idx="0">
                  <c:v>0.12</c:v>
                </c:pt>
                <c:pt idx="1">
                  <c:v>0.11558546621439912</c:v>
                </c:pt>
                <c:pt idx="2">
                  <c:v>0.11454256850621083</c:v>
                </c:pt>
                <c:pt idx="3">
                  <c:v>0.11696153213770756</c:v>
                </c:pt>
                <c:pt idx="4">
                  <c:v>0.12263767773404714</c:v>
                </c:pt>
                <c:pt idx="5">
                  <c:v>0.13114877048604001</c:v>
                </c:pt>
                <c:pt idx="6">
                  <c:v>0.14198591479439079</c:v>
                </c:pt>
                <c:pt idx="7">
                  <c:v>0.15466091943344965</c:v>
                </c:pt>
                <c:pt idx="8">
                  <c:v>0.16876018487783193</c:v>
                </c:pt>
                <c:pt idx="9">
                  <c:v>0.18395651660107071</c:v>
                </c:pt>
                <c:pt idx="10">
                  <c:v>0.2</c:v>
                </c:pt>
              </c:numCache>
            </c:numRef>
          </c:xVal>
          <c:yVal>
            <c:numRef>
              <c:f>'Asset Allocation w Rf'!$D$14:$D$24</c:f>
              <c:numCache>
                <c:formatCode>0.00000</c:formatCode>
                <c:ptCount val="11"/>
                <c:pt idx="0">
                  <c:v>0.08</c:v>
                </c:pt>
                <c:pt idx="1">
                  <c:v>8.5000000000000006E-2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0.10500000000000001</c:v>
                </c:pt>
                <c:pt idx="6">
                  <c:v>0.11</c:v>
                </c:pt>
                <c:pt idx="7">
                  <c:v>0.11499999999999999</c:v>
                </c:pt>
                <c:pt idx="8">
                  <c:v>0.12000000000000001</c:v>
                </c:pt>
                <c:pt idx="9">
                  <c:v>0.125</c:v>
                </c:pt>
                <c:pt idx="10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B-0D46-852B-61ADD1261BDA}"/>
            </c:ext>
          </c:extLst>
        </c:ser>
        <c:ser>
          <c:idx val="1"/>
          <c:order val="1"/>
          <c:tx>
            <c:v>Minimum Variance Pf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Allocation w Rf'!$D$9,'Asset Allocation w Rf'!$E$28)</c:f>
              <c:numCache>
                <c:formatCode>0.00000</c:formatCode>
                <c:ptCount val="2"/>
                <c:pt idx="0" formatCode="0.00%">
                  <c:v>0</c:v>
                </c:pt>
                <c:pt idx="1">
                  <c:v>0.11447270417003348</c:v>
                </c:pt>
              </c:numCache>
            </c:numRef>
          </c:xVal>
          <c:yVal>
            <c:numRef>
              <c:f>('Asset Allocation w Rf'!$C$9,'Asset Allocation w Rf'!$D$28)</c:f>
              <c:numCache>
                <c:formatCode>0.00000</c:formatCode>
                <c:ptCount val="2"/>
                <c:pt idx="0" formatCode="0.00%">
                  <c:v>0.05</c:v>
                </c:pt>
                <c:pt idx="1">
                  <c:v>8.9000000118087036E-2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B-0D46-852B-61ADD1261BDA}"/>
            </c:ext>
          </c:extLst>
        </c:ser>
        <c:ser>
          <c:idx val="2"/>
          <c:order val="2"/>
          <c:tx>
            <c:v>Optimal Risky 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Allocation w Rf'!$D$9,'Asset Allocation w Rf'!$E$31)</c:f>
              <c:numCache>
                <c:formatCode>0.00000</c:formatCode>
                <c:ptCount val="2"/>
                <c:pt idx="0" formatCode="0.00%">
                  <c:v>0</c:v>
                </c:pt>
                <c:pt idx="1">
                  <c:v>0.14198591479439077</c:v>
                </c:pt>
              </c:numCache>
            </c:numRef>
          </c:xVal>
          <c:yVal>
            <c:numRef>
              <c:f>('Asset Allocation w Rf'!$C$9,'Asset Allocation w Rf'!$D$31)</c:f>
              <c:numCache>
                <c:formatCode>0.00000</c:formatCode>
                <c:ptCount val="2"/>
                <c:pt idx="0" formatCode="0.00%">
                  <c:v>0.05</c:v>
                </c:pt>
                <c:pt idx="1">
                  <c:v>0.10999999999999999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9B-0D46-852B-61ADD126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13072"/>
        <c:axId val="457112208"/>
      </c:scatterChart>
      <c:valAx>
        <c:axId val="3244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12208"/>
        <c:crosses val="autoZero"/>
        <c:crossBetween val="midCat"/>
      </c:valAx>
      <c:valAx>
        <c:axId val="457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1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744396</xdr:colOff>
      <xdr:row>15</xdr:row>
      <xdr:rowOff>117438</xdr:rowOff>
    </xdr:from>
    <xdr:to>
      <xdr:col>12</xdr:col>
      <xdr:colOff>285230</xdr:colOff>
      <xdr:row>30</xdr:row>
      <xdr:rowOff>52369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B4E138-6A75-A949-B0FB-590A45DA8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742608</xdr:colOff>
      <xdr:row>5</xdr:row>
      <xdr:rowOff>73411</xdr:rowOff>
    </xdr:from>
    <xdr:to>
      <xdr:col>12</xdr:col>
      <xdr:colOff>274881</xdr:colOff>
      <xdr:row>15</xdr:row>
      <xdr:rowOff>12701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AF2C82-3703-914D-88D0-3C3044347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912813</xdr:colOff>
      <xdr:row>32</xdr:row>
      <xdr:rowOff>123825</xdr:rowOff>
    </xdr:from>
    <xdr:to>
      <xdr:col>11</xdr:col>
      <xdr:colOff>409937</xdr:colOff>
      <xdr:row>51</xdr:row>
      <xdr:rowOff>169842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A5DEA9-16FE-ADAC-4079-73C5A9C82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4585" y="6815439"/>
          <a:ext cx="6538390" cy="3940416"/>
        </a:xfrm>
        <a:prstGeom prst="rect">
          <a:avLst/>
        </a:prstGeom>
      </xdr:spPr>
    </xdr:pic>
    <xdr:clientData/>
  </xdr:twoCellAnchor>
  <xdr:twoCellAnchor editAs="oneCell">
    <xdr:from>
      <xdr:col>1</xdr:col>
      <xdr:colOff>237963</xdr:colOff>
      <xdr:row>32</xdr:row>
      <xdr:rowOff>105337</xdr:rowOff>
    </xdr:from>
    <xdr:to>
      <xdr:col>3</xdr:col>
      <xdr:colOff>825580</xdr:colOff>
      <xdr:row>52</xdr:row>
      <xdr:rowOff>2788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AC2B3-AE9B-4966-4E25-7A328575A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931" y="6796951"/>
          <a:ext cx="4150771" cy="39907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362159</xdr:colOff>
      <xdr:row>25</xdr:row>
      <xdr:rowOff>43912</xdr:rowOff>
    </xdr:from>
    <xdr:to>
      <xdr:col>13</xdr:col>
      <xdr:colOff>234674</xdr:colOff>
      <xdr:row>37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FE567F-AB73-764F-A4F0-42CF2D105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359645</xdr:colOff>
      <xdr:row>14</xdr:row>
      <xdr:rowOff>123628</xdr:rowOff>
    </xdr:from>
    <xdr:to>
      <xdr:col>13</xdr:col>
      <xdr:colOff>213539</xdr:colOff>
      <xdr:row>24</xdr:row>
      <xdr:rowOff>44957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BC888C-55C9-D2E5-1C8B-58A9E6BA5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357472</xdr:colOff>
      <xdr:row>37</xdr:row>
      <xdr:rowOff>107415</xdr:rowOff>
    </xdr:from>
    <xdr:to>
      <xdr:col>13</xdr:col>
      <xdr:colOff>276087</xdr:colOff>
      <xdr:row>50</xdr:row>
      <xdr:rowOff>138042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3B121B7-973A-09C3-BD76-E5AA9E30F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449659</xdr:colOff>
      <xdr:row>34</xdr:row>
      <xdr:rowOff>59530</xdr:rowOff>
    </xdr:from>
    <xdr:to>
      <xdr:col>7</xdr:col>
      <xdr:colOff>871403</xdr:colOff>
      <xdr:row>62</xdr:row>
      <xdr:rowOff>193476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30E505-F278-EEAE-3FEA-084FE7B7A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253" y="6756796"/>
          <a:ext cx="5779556" cy="55512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170129</xdr:colOff>
      <xdr:row>12</xdr:row>
      <xdr:rowOff>108508</xdr:rowOff>
    </xdr:from>
    <xdr:to>
      <xdr:col>20</xdr:col>
      <xdr:colOff>578913</xdr:colOff>
      <xdr:row>31</xdr:row>
      <xdr:rowOff>119298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76BE30-EF64-C501-0A66-9DBC462B6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491066</xdr:colOff>
      <xdr:row>39</xdr:row>
      <xdr:rowOff>33867</xdr:rowOff>
    </xdr:from>
    <xdr:to>
      <xdr:col>7</xdr:col>
      <xdr:colOff>347133</xdr:colOff>
      <xdr:row>40</xdr:row>
      <xdr:rowOff>76201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27CCBF4-D054-F212-87B0-741CD6E8E8B3}"/>
            </a:ext>
          </a:extLst>
        </xdr:cNvPr>
        <xdr:cNvSpPr/>
      </xdr:nvSpPr>
      <xdr:spPr bwMode="auto">
        <a:xfrm>
          <a:off x="6815666" y="8128000"/>
          <a:ext cx="2421467" cy="2455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106446</xdr:colOff>
      <xdr:row>28</xdr:row>
      <xdr:rowOff>94248</xdr:rowOff>
    </xdr:from>
    <xdr:to>
      <xdr:col>10</xdr:col>
      <xdr:colOff>120316</xdr:colOff>
      <xdr:row>43</xdr:row>
      <xdr:rowOff>177151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B7D9D8-CB8D-C1FB-3356-FC72F630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6604" y="5859380"/>
          <a:ext cx="3262396" cy="3090797"/>
        </a:xfrm>
        <a:prstGeom prst="rect">
          <a:avLst/>
        </a:prstGeom>
      </xdr:spPr>
    </xdr:pic>
    <xdr:clientData/>
  </xdr:twoCellAnchor>
  <xdr:twoCellAnchor editAs="oneCell">
    <xdr:from>
      <xdr:col>6</xdr:col>
      <xdr:colOff>96101</xdr:colOff>
      <xdr:row>12</xdr:row>
      <xdr:rowOff>65125</xdr:rowOff>
    </xdr:from>
    <xdr:to>
      <xdr:col>10</xdr:col>
      <xdr:colOff>44763</xdr:colOff>
      <xdr:row>27</xdr:row>
      <xdr:rowOff>117432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068335-38F7-AE8F-2346-137B30243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341" y="2583378"/>
          <a:ext cx="3187727" cy="298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8402-061C-0047-AE67-17E660C32374}">
  <sheetPr>
    <pageSetUpPr fitToPage="1"/>
  </sheetPr>
  <dimension ref="B1:I37"/>
  <sheetViews>
    <sheetView showGridLines="0" zoomScale="91" zoomScaleNormal="100" workbookViewId="0">
      <selection activeCell="G34" sqref="G34"/>
    </sheetView>
  </sheetViews>
  <sheetFormatPr defaultColWidth="8.81640625" defaultRowHeight="15.5" x14ac:dyDescent="0.25"/>
  <cols>
    <col min="1" max="1" width="2.453125" style="4" customWidth="1"/>
    <col min="2" max="2" width="15.6328125" style="4" customWidth="1"/>
    <col min="3" max="3" width="15.6328125" style="2" customWidth="1"/>
    <col min="4" max="4" width="15.6328125" style="3" customWidth="1"/>
    <col min="5" max="9" width="15.6328125" style="4" customWidth="1"/>
    <col min="10" max="16384" width="8.81640625" style="4"/>
  </cols>
  <sheetData>
    <row r="1" spans="2:9" x14ac:dyDescent="0.25">
      <c r="B1" s="1"/>
    </row>
    <row r="2" spans="2:9" ht="20" x14ac:dyDescent="0.25">
      <c r="B2" s="5" t="s">
        <v>80</v>
      </c>
    </row>
    <row r="3" spans="2:9" s="9" customFormat="1" x14ac:dyDescent="0.35">
      <c r="B3" s="6"/>
      <c r="C3" s="7"/>
      <c r="D3" s="8"/>
    </row>
    <row r="4" spans="2:9" s="9" customFormat="1" x14ac:dyDescent="0.35">
      <c r="B4" s="10" t="s">
        <v>29</v>
      </c>
      <c r="C4" s="11"/>
      <c r="D4" s="8"/>
    </row>
    <row r="5" spans="2:9" s="9" customFormat="1" x14ac:dyDescent="0.35">
      <c r="B5" s="6" t="s">
        <v>30</v>
      </c>
      <c r="C5" s="12">
        <v>100</v>
      </c>
    </row>
    <row r="6" spans="2:9" s="9" customFormat="1" x14ac:dyDescent="0.35">
      <c r="B6" s="13" t="s">
        <v>31</v>
      </c>
      <c r="C6" s="13">
        <v>0.04</v>
      </c>
    </row>
    <row r="7" spans="2:9" ht="60" x14ac:dyDescent="0.3">
      <c r="B7" s="14" t="s">
        <v>32</v>
      </c>
      <c r="C7" s="15" t="s">
        <v>27</v>
      </c>
      <c r="D7" s="16" t="s">
        <v>33</v>
      </c>
      <c r="E7" s="16" t="s">
        <v>34</v>
      </c>
      <c r="F7" s="16" t="s">
        <v>35</v>
      </c>
      <c r="G7" s="17" t="s">
        <v>91</v>
      </c>
      <c r="H7" s="17" t="s">
        <v>108</v>
      </c>
      <c r="I7" s="17" t="s">
        <v>92</v>
      </c>
    </row>
    <row r="8" spans="2:9" x14ac:dyDescent="0.25">
      <c r="B8" s="4" t="s">
        <v>36</v>
      </c>
      <c r="C8" s="18">
        <v>0.25</v>
      </c>
      <c r="D8" s="18">
        <v>126.5</v>
      </c>
      <c r="E8" s="18">
        <v>4.5</v>
      </c>
      <c r="F8" s="19">
        <f>(D8+E8-$C$5)/$C$5</f>
        <v>0.31</v>
      </c>
      <c r="G8" s="118">
        <f>F8-$F$12</f>
        <v>0.21237499999999998</v>
      </c>
      <c r="H8" s="118">
        <f>G8^2</f>
        <v>4.5103140624999989E-2</v>
      </c>
      <c r="I8" s="118">
        <f>F8-$C$6</f>
        <v>0.27</v>
      </c>
    </row>
    <row r="9" spans="2:9" x14ac:dyDescent="0.25">
      <c r="B9" s="4" t="s">
        <v>37</v>
      </c>
      <c r="C9" s="18">
        <v>0.45</v>
      </c>
      <c r="D9" s="18">
        <v>110</v>
      </c>
      <c r="E9" s="18">
        <v>4</v>
      </c>
      <c r="F9" s="19">
        <f t="shared" ref="F9:F11" si="0">(D9+E9-$C$5)/$C$5</f>
        <v>0.14000000000000001</v>
      </c>
      <c r="G9" s="19">
        <f t="shared" ref="G9:G11" si="1">F9-$F$12</f>
        <v>4.2374999999999996E-2</v>
      </c>
      <c r="H9" s="19">
        <f t="shared" ref="H9:H11" si="2">G9^2</f>
        <v>1.7956406249999997E-3</v>
      </c>
      <c r="I9" s="19">
        <f t="shared" ref="I9:I11" si="3">F9-$C$6</f>
        <v>0.1</v>
      </c>
    </row>
    <row r="10" spans="2:9" x14ac:dyDescent="0.25">
      <c r="B10" s="4" t="s">
        <v>38</v>
      </c>
      <c r="C10" s="18">
        <v>0.25</v>
      </c>
      <c r="D10" s="18">
        <v>89.75</v>
      </c>
      <c r="E10" s="18">
        <v>3.5</v>
      </c>
      <c r="F10" s="19">
        <f t="shared" si="0"/>
        <v>-6.7500000000000004E-2</v>
      </c>
      <c r="G10" s="19">
        <f t="shared" si="1"/>
        <v>-0.16512500000000002</v>
      </c>
      <c r="H10" s="19">
        <f t="shared" si="2"/>
        <v>2.7266265625000008E-2</v>
      </c>
      <c r="I10" s="19">
        <f t="shared" si="3"/>
        <v>-0.10750000000000001</v>
      </c>
    </row>
    <row r="11" spans="2:9" x14ac:dyDescent="0.25">
      <c r="B11" s="20" t="s">
        <v>39</v>
      </c>
      <c r="C11" s="21">
        <v>0.05</v>
      </c>
      <c r="D11" s="21">
        <v>46</v>
      </c>
      <c r="E11" s="21">
        <v>2</v>
      </c>
      <c r="F11" s="22">
        <f t="shared" si="0"/>
        <v>-0.52</v>
      </c>
      <c r="G11" s="22">
        <f t="shared" si="1"/>
        <v>-0.61762500000000009</v>
      </c>
      <c r="H11" s="22">
        <f t="shared" si="2"/>
        <v>0.38146064062500012</v>
      </c>
      <c r="I11" s="22">
        <f t="shared" si="3"/>
        <v>-0.56000000000000005</v>
      </c>
    </row>
    <row r="12" spans="2:9" x14ac:dyDescent="0.25">
      <c r="B12" s="1" t="s">
        <v>40</v>
      </c>
      <c r="F12" s="23">
        <f>SUMPRODUCT(C8:C11,F8:F11)</f>
        <v>9.7625000000000017E-2</v>
      </c>
      <c r="G12" s="24"/>
      <c r="H12" s="24"/>
      <c r="I12" s="24"/>
    </row>
    <row r="13" spans="2:9" x14ac:dyDescent="0.25">
      <c r="B13" s="1" t="s">
        <v>41</v>
      </c>
      <c r="F13" s="23">
        <f>SUMPRODUCT(C8:C11,H8:H11)</f>
        <v>3.7973421875000003E-2</v>
      </c>
      <c r="G13" s="24"/>
      <c r="H13" s="24"/>
      <c r="I13" s="24"/>
    </row>
    <row r="14" spans="2:9" x14ac:dyDescent="0.25">
      <c r="B14" s="1" t="s">
        <v>42</v>
      </c>
      <c r="F14" s="23">
        <f>SQRT(F13)</f>
        <v>0.19486770351959301</v>
      </c>
      <c r="G14" s="24"/>
      <c r="H14" s="24"/>
      <c r="I14" s="24"/>
    </row>
    <row r="15" spans="2:9" x14ac:dyDescent="0.25">
      <c r="B15" s="1" t="s">
        <v>43</v>
      </c>
      <c r="F15" s="19">
        <f>SUMPRODUCT(C8:C11,I8:I11)</f>
        <v>5.7625000000000003E-2</v>
      </c>
      <c r="G15" s="24"/>
      <c r="H15" s="24"/>
      <c r="I15" s="24"/>
    </row>
    <row r="18" spans="2:7" ht="20" x14ac:dyDescent="0.25">
      <c r="B18" s="5" t="s">
        <v>81</v>
      </c>
      <c r="D18" s="25"/>
    </row>
    <row r="19" spans="2:7" x14ac:dyDescent="0.25">
      <c r="D19" s="25"/>
    </row>
    <row r="20" spans="2:7" ht="30" x14ac:dyDescent="0.3">
      <c r="B20" s="26" t="s">
        <v>44</v>
      </c>
      <c r="C20" s="27" t="s">
        <v>45</v>
      </c>
      <c r="D20" s="17" t="s">
        <v>46</v>
      </c>
      <c r="E20" s="17" t="s">
        <v>47</v>
      </c>
      <c r="F20" s="17" t="s">
        <v>48</v>
      </c>
      <c r="G20" s="17" t="s">
        <v>49</v>
      </c>
    </row>
    <row r="21" spans="2:7" x14ac:dyDescent="0.25">
      <c r="B21" s="28">
        <v>1</v>
      </c>
      <c r="C21" s="2">
        <v>0.2</v>
      </c>
      <c r="D21" s="29">
        <v>-0.11890000000000001</v>
      </c>
      <c r="E21" s="119">
        <f>(D21-$D$27)^2</f>
        <v>1.9566414400000003E-2</v>
      </c>
      <c r="F21" s="119">
        <f>1+D21</f>
        <v>0.88109999999999999</v>
      </c>
      <c r="G21" s="44">
        <f>F21</f>
        <v>0.88109999999999999</v>
      </c>
    </row>
    <row r="22" spans="2:7" x14ac:dyDescent="0.25">
      <c r="B22" s="28">
        <v>2</v>
      </c>
      <c r="C22" s="2">
        <v>0.2</v>
      </c>
      <c r="D22" s="29">
        <v>-0.221</v>
      </c>
      <c r="E22" s="120">
        <f t="shared" ref="E22:E25" si="4">(D22-$D$27)^2</f>
        <v>5.8554320399999998E-2</v>
      </c>
      <c r="F22" s="120">
        <f t="shared" ref="F22:F25" si="5">1+D22</f>
        <v>0.77900000000000003</v>
      </c>
      <c r="G22" s="121">
        <f>G21*F22</f>
        <v>0.68637690000000007</v>
      </c>
    </row>
    <row r="23" spans="2:7" x14ac:dyDescent="0.25">
      <c r="B23" s="28">
        <v>3</v>
      </c>
      <c r="C23" s="2">
        <v>0.2</v>
      </c>
      <c r="D23" s="29">
        <v>0.28689999999999999</v>
      </c>
      <c r="E23" s="120">
        <f t="shared" si="4"/>
        <v>7.0713446399999991E-2</v>
      </c>
      <c r="F23" s="120">
        <f t="shared" si="5"/>
        <v>1.2868999999999999</v>
      </c>
      <c r="G23" s="121">
        <f t="shared" ref="G23:G25" si="6">G22*F23</f>
        <v>0.88329843261000007</v>
      </c>
    </row>
    <row r="24" spans="2:7" x14ac:dyDescent="0.25">
      <c r="B24" s="28">
        <v>4</v>
      </c>
      <c r="C24" s="2">
        <v>0.2</v>
      </c>
      <c r="D24" s="29">
        <v>0.10879999999999999</v>
      </c>
      <c r="E24" s="120">
        <f t="shared" si="4"/>
        <v>7.7123524000000014E-3</v>
      </c>
      <c r="F24" s="120">
        <f t="shared" si="5"/>
        <v>1.1088</v>
      </c>
      <c r="G24" s="121">
        <f t="shared" si="6"/>
        <v>0.97940130207796805</v>
      </c>
    </row>
    <row r="25" spans="2:7" x14ac:dyDescent="0.25">
      <c r="B25" s="31">
        <v>5</v>
      </c>
      <c r="C25" s="32">
        <v>0.2</v>
      </c>
      <c r="D25" s="33">
        <v>4.9099999999999998E-2</v>
      </c>
      <c r="E25" s="34">
        <f t="shared" si="4"/>
        <v>7.9073440000000032E-4</v>
      </c>
      <c r="F25" s="34">
        <f t="shared" si="5"/>
        <v>1.0490999999999999</v>
      </c>
      <c r="G25" s="45">
        <f t="shared" si="6"/>
        <v>1.0274899060099962</v>
      </c>
    </row>
    <row r="26" spans="2:7" x14ac:dyDescent="0.25">
      <c r="B26" s="1" t="s">
        <v>50</v>
      </c>
      <c r="D26" s="30">
        <f>AVERAGE(D21:D25)</f>
        <v>2.0979999999999999E-2</v>
      </c>
      <c r="E26" s="35"/>
      <c r="F26" s="35"/>
      <c r="G26" s="35"/>
    </row>
    <row r="27" spans="2:7" x14ac:dyDescent="0.25">
      <c r="B27" s="36" t="s">
        <v>51</v>
      </c>
      <c r="C27" s="32"/>
      <c r="D27" s="34">
        <f>SUMPRODUCT(C21:C25,D21:D25)</f>
        <v>2.0979999999999992E-2</v>
      </c>
      <c r="E27" s="35"/>
      <c r="F27" s="35"/>
      <c r="G27" s="35"/>
    </row>
    <row r="28" spans="2:7" x14ac:dyDescent="0.25">
      <c r="B28" s="1" t="s">
        <v>28</v>
      </c>
      <c r="D28" s="30">
        <f>SUMPRODUCT(C21:C25,E21:E25)</f>
        <v>3.14674536E-2</v>
      </c>
      <c r="E28" s="35"/>
      <c r="F28" s="35"/>
      <c r="G28" s="35"/>
    </row>
    <row r="29" spans="2:7" x14ac:dyDescent="0.25">
      <c r="B29" s="1" t="s">
        <v>52</v>
      </c>
      <c r="D29" s="30">
        <f>_xlfn.VAR.P(D21:D25)</f>
        <v>3.1467453600000007E-2</v>
      </c>
      <c r="E29" s="35"/>
      <c r="F29" s="35"/>
      <c r="G29" s="35"/>
    </row>
    <row r="30" spans="2:7" x14ac:dyDescent="0.25">
      <c r="B30" s="1" t="s">
        <v>53</v>
      </c>
      <c r="D30" s="30">
        <f>_xlfn.VAR.S(D21:D25)</f>
        <v>3.9334317000000008E-2</v>
      </c>
      <c r="E30" s="35"/>
      <c r="F30" s="35"/>
      <c r="G30" s="35"/>
    </row>
    <row r="31" spans="2:7" x14ac:dyDescent="0.25">
      <c r="B31" s="1" t="s">
        <v>54</v>
      </c>
      <c r="D31" s="30">
        <f>D29*5/4</f>
        <v>3.9334317000000008E-2</v>
      </c>
      <c r="E31" s="35"/>
      <c r="F31" s="35"/>
      <c r="G31" s="35"/>
    </row>
    <row r="32" spans="2:7" x14ac:dyDescent="0.25">
      <c r="B32" s="1" t="s">
        <v>11</v>
      </c>
      <c r="D32" s="30">
        <f>SQRT(D28)</f>
        <v>0.17739068070222855</v>
      </c>
      <c r="E32" s="35"/>
      <c r="F32" s="35"/>
      <c r="G32" s="35"/>
    </row>
    <row r="33" spans="2:7" x14ac:dyDescent="0.25">
      <c r="B33" s="1" t="s">
        <v>55</v>
      </c>
      <c r="D33" s="30">
        <f>_xlfn.STDEV.P(D21:D25)</f>
        <v>0.17739068070222858</v>
      </c>
      <c r="E33" s="35"/>
      <c r="F33" s="35"/>
      <c r="G33" s="35"/>
    </row>
    <row r="34" spans="2:7" x14ac:dyDescent="0.25">
      <c r="B34" s="1" t="s">
        <v>56</v>
      </c>
      <c r="D34" s="30">
        <f>_xlfn.STDEV.S(D21:D25)</f>
        <v>0.1983288103125716</v>
      </c>
      <c r="E34" s="35"/>
      <c r="F34" s="35"/>
      <c r="G34" s="35"/>
    </row>
    <row r="35" spans="2:7" x14ac:dyDescent="0.25">
      <c r="B35" s="36" t="s">
        <v>57</v>
      </c>
      <c r="C35" s="32"/>
      <c r="D35" s="34">
        <f>SQRT(D29*5/4)</f>
        <v>0.1983288103125716</v>
      </c>
      <c r="E35" s="35"/>
      <c r="F35" s="35"/>
      <c r="G35" s="35"/>
    </row>
    <row r="36" spans="2:7" x14ac:dyDescent="0.25">
      <c r="B36" s="1" t="s">
        <v>109</v>
      </c>
      <c r="D36" s="37">
        <f>G25^(1/5)-1</f>
        <v>5.4385039627222742E-3</v>
      </c>
      <c r="E36" s="35"/>
      <c r="F36" s="35"/>
      <c r="G36" s="35"/>
    </row>
    <row r="37" spans="2:7" x14ac:dyDescent="0.25">
      <c r="D37" s="28"/>
    </row>
  </sheetData>
  <printOptions headings="1" gridLines="1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F3C3-CAC2-644B-BCA4-F470785FF00E}">
  <sheetPr>
    <pageSetUpPr fitToPage="1"/>
  </sheetPr>
  <dimension ref="A2:G46"/>
  <sheetViews>
    <sheetView showGridLines="0" topLeftCell="A12" zoomScale="91" workbookViewId="0">
      <selection activeCell="O57" sqref="O57"/>
    </sheetView>
  </sheetViews>
  <sheetFormatPr defaultColWidth="10.81640625" defaultRowHeight="15.5" x14ac:dyDescent="0.25"/>
  <cols>
    <col min="1" max="1" width="3" style="40" customWidth="1"/>
    <col min="2" max="2" width="38.36328125" style="40" customWidth="1"/>
    <col min="3" max="3" width="12.6328125" style="40" customWidth="1"/>
    <col min="4" max="4" width="13.1796875" style="40" customWidth="1"/>
    <col min="5" max="5" width="20.1796875" style="40" customWidth="1"/>
    <col min="6" max="6" width="13.81640625" style="42" customWidth="1"/>
    <col min="7" max="16384" width="10.81640625" style="40"/>
  </cols>
  <sheetData>
    <row r="2" spans="1:4" ht="22.5" x14ac:dyDescent="0.25">
      <c r="B2" s="53" t="s">
        <v>96</v>
      </c>
    </row>
    <row r="3" spans="1:4" ht="17.5" x14ac:dyDescent="0.25">
      <c r="B3" s="98" t="s">
        <v>93</v>
      </c>
    </row>
    <row r="5" spans="1:4" x14ac:dyDescent="0.25">
      <c r="B5" s="55" t="s">
        <v>68</v>
      </c>
      <c r="C5" s="41"/>
    </row>
    <row r="6" spans="1:4" x14ac:dyDescent="0.25">
      <c r="B6" s="42" t="s">
        <v>64</v>
      </c>
      <c r="C6" s="117">
        <v>7.0000000000000007E-2</v>
      </c>
    </row>
    <row r="7" spans="1:4" x14ac:dyDescent="0.25">
      <c r="B7" s="42" t="s">
        <v>63</v>
      </c>
      <c r="C7" s="117">
        <v>0.15</v>
      </c>
    </row>
    <row r="8" spans="1:4" x14ac:dyDescent="0.25">
      <c r="B8" s="42" t="s">
        <v>65</v>
      </c>
      <c r="C8" s="117">
        <v>0.22</v>
      </c>
    </row>
    <row r="9" spans="1:4" x14ac:dyDescent="0.25">
      <c r="B9" s="56" t="s">
        <v>69</v>
      </c>
      <c r="C9" s="52"/>
    </row>
    <row r="10" spans="1:4" x14ac:dyDescent="0.25">
      <c r="A10" s="43"/>
      <c r="B10" s="42" t="s">
        <v>72</v>
      </c>
      <c r="C10" s="47">
        <v>0</v>
      </c>
      <c r="D10" s="77" t="s">
        <v>110</v>
      </c>
    </row>
    <row r="11" spans="1:4" x14ac:dyDescent="0.25">
      <c r="B11" s="42" t="s">
        <v>62</v>
      </c>
      <c r="C11" s="57">
        <f>1-C10</f>
        <v>1</v>
      </c>
    </row>
    <row r="12" spans="1:4" x14ac:dyDescent="0.25">
      <c r="B12" s="42" t="s">
        <v>70</v>
      </c>
      <c r="C12" s="46">
        <f>C10*C7+C11*C6</f>
        <v>7.0000000000000007E-2</v>
      </c>
    </row>
    <row r="13" spans="1:4" x14ac:dyDescent="0.25">
      <c r="B13" s="42" t="s">
        <v>71</v>
      </c>
      <c r="C13" s="46">
        <f>C10*C8</f>
        <v>0</v>
      </c>
    </row>
    <row r="14" spans="1:4" x14ac:dyDescent="0.25">
      <c r="B14" s="42" t="s">
        <v>66</v>
      </c>
      <c r="C14" s="47">
        <f>(C7-C6)/C8</f>
        <v>0.36363636363636359</v>
      </c>
    </row>
    <row r="15" spans="1:4" x14ac:dyDescent="0.25">
      <c r="B15" s="42" t="s">
        <v>67</v>
      </c>
      <c r="C15" s="48">
        <f>C12-1/2*4*C13^2</f>
        <v>7.0000000000000007E-2</v>
      </c>
    </row>
    <row r="16" spans="1:4" ht="19" customHeight="1" thickBot="1" x14ac:dyDescent="0.3">
      <c r="C16" s="77" t="s">
        <v>95</v>
      </c>
    </row>
    <row r="17" spans="2:7" ht="16" thickBot="1" x14ac:dyDescent="0.3">
      <c r="B17" s="41"/>
      <c r="C17" s="41"/>
      <c r="D17" s="41"/>
      <c r="E17" s="99" t="s">
        <v>61</v>
      </c>
      <c r="F17" s="58">
        <v>8.6528925619834718E-2</v>
      </c>
      <c r="G17" s="77"/>
    </row>
    <row r="18" spans="2:7" x14ac:dyDescent="0.25">
      <c r="B18" s="51" t="s">
        <v>73</v>
      </c>
      <c r="C18" s="51" t="s">
        <v>58</v>
      </c>
      <c r="D18" s="51" t="s">
        <v>59</v>
      </c>
      <c r="E18" s="51" t="s">
        <v>60</v>
      </c>
      <c r="F18" s="51" t="s">
        <v>58</v>
      </c>
    </row>
    <row r="19" spans="2:7" x14ac:dyDescent="0.25">
      <c r="B19" s="38">
        <v>0</v>
      </c>
      <c r="C19" s="49">
        <f>C12</f>
        <v>7.0000000000000007E-2</v>
      </c>
      <c r="D19" s="49">
        <f>C13</f>
        <v>0</v>
      </c>
      <c r="E19" s="49">
        <f>C15</f>
        <v>7.0000000000000007E-2</v>
      </c>
      <c r="F19" s="49">
        <f>$F$17+1/2*4*D19^2</f>
        <v>8.6528925619834718E-2</v>
      </c>
    </row>
    <row r="20" spans="2:7" x14ac:dyDescent="0.25">
      <c r="B20" s="38">
        <v>0.1</v>
      </c>
      <c r="C20" s="50">
        <f t="dataTable" ref="C20:E29" dt2D="0" dtr="0" r1="C10"/>
        <v>7.8000000000000014E-2</v>
      </c>
      <c r="D20" s="50">
        <v>2.2000000000000002E-2</v>
      </c>
      <c r="E20" s="50">
        <v>7.7032000000000017E-2</v>
      </c>
      <c r="F20" s="49">
        <f t="shared" ref="F20:F29" si="0">$F$17+1/2*4*D20^2</f>
        <v>8.7496925619834715E-2</v>
      </c>
    </row>
    <row r="21" spans="2:7" x14ac:dyDescent="0.25">
      <c r="B21" s="38">
        <v>0.2</v>
      </c>
      <c r="C21" s="50">
        <v>8.6000000000000007E-2</v>
      </c>
      <c r="D21" s="50">
        <v>4.4000000000000004E-2</v>
      </c>
      <c r="E21" s="50">
        <v>8.2128000000000007E-2</v>
      </c>
      <c r="F21" s="49">
        <f t="shared" si="0"/>
        <v>9.0400925619834718E-2</v>
      </c>
    </row>
    <row r="22" spans="2:7" x14ac:dyDescent="0.25">
      <c r="B22" s="38">
        <v>0.3</v>
      </c>
      <c r="C22" s="50">
        <v>9.4E-2</v>
      </c>
      <c r="D22" s="50">
        <v>6.6000000000000003E-2</v>
      </c>
      <c r="E22" s="50">
        <v>8.5288000000000003E-2</v>
      </c>
      <c r="F22" s="49">
        <f t="shared" si="0"/>
        <v>9.5240925619834715E-2</v>
      </c>
    </row>
    <row r="23" spans="2:7" x14ac:dyDescent="0.25">
      <c r="B23" s="100">
        <v>0.4</v>
      </c>
      <c r="C23" s="101">
        <v>0.10200000000000001</v>
      </c>
      <c r="D23" s="101">
        <v>8.8000000000000009E-2</v>
      </c>
      <c r="E23" s="101">
        <v>8.6512000000000006E-2</v>
      </c>
      <c r="F23" s="102">
        <f t="shared" si="0"/>
        <v>0.10201692561983472</v>
      </c>
    </row>
    <row r="24" spans="2:7" x14ac:dyDescent="0.25">
      <c r="B24" s="38">
        <v>0.5</v>
      </c>
      <c r="C24" s="50">
        <v>0.11</v>
      </c>
      <c r="D24" s="50">
        <v>0.11</v>
      </c>
      <c r="E24" s="50">
        <v>8.5800000000000001E-2</v>
      </c>
      <c r="F24" s="49">
        <f t="shared" si="0"/>
        <v>0.11072892561983472</v>
      </c>
    </row>
    <row r="25" spans="2:7" x14ac:dyDescent="0.25">
      <c r="B25" s="38">
        <v>0.6</v>
      </c>
      <c r="C25" s="50">
        <v>0.11799999999999999</v>
      </c>
      <c r="D25" s="50">
        <v>0.13200000000000001</v>
      </c>
      <c r="E25" s="50">
        <v>8.315199999999999E-2</v>
      </c>
      <c r="F25" s="49">
        <f t="shared" si="0"/>
        <v>0.12137692561983472</v>
      </c>
    </row>
    <row r="26" spans="2:7" x14ac:dyDescent="0.25">
      <c r="B26" s="38">
        <v>0.7</v>
      </c>
      <c r="C26" s="50">
        <v>0.126</v>
      </c>
      <c r="D26" s="50">
        <v>0.154</v>
      </c>
      <c r="E26" s="50">
        <v>7.8567999999999999E-2</v>
      </c>
      <c r="F26" s="49">
        <f t="shared" si="0"/>
        <v>0.13396092561983472</v>
      </c>
    </row>
    <row r="27" spans="2:7" x14ac:dyDescent="0.25">
      <c r="B27" s="38">
        <v>0.8</v>
      </c>
      <c r="C27" s="50">
        <v>0.13400000000000001</v>
      </c>
      <c r="D27" s="50">
        <v>0.17600000000000002</v>
      </c>
      <c r="E27" s="50">
        <v>7.2048000000000001E-2</v>
      </c>
      <c r="F27" s="49">
        <f t="shared" si="0"/>
        <v>0.14848092561983472</v>
      </c>
    </row>
    <row r="28" spans="2:7" x14ac:dyDescent="0.25">
      <c r="B28" s="38">
        <v>0.9</v>
      </c>
      <c r="C28" s="50">
        <v>0.14200000000000002</v>
      </c>
      <c r="D28" s="50">
        <v>0.19800000000000001</v>
      </c>
      <c r="E28" s="50">
        <v>6.359200000000001E-2</v>
      </c>
      <c r="F28" s="49">
        <f t="shared" si="0"/>
        <v>0.16493692561983472</v>
      </c>
    </row>
    <row r="29" spans="2:7" x14ac:dyDescent="0.25">
      <c r="B29" s="39">
        <v>1</v>
      </c>
      <c r="C29" s="50">
        <v>0.15</v>
      </c>
      <c r="D29" s="50">
        <v>0.22</v>
      </c>
      <c r="E29" s="50">
        <v>5.3199999999999997E-2</v>
      </c>
      <c r="F29" s="49">
        <f t="shared" si="0"/>
        <v>0.18332892561983472</v>
      </c>
    </row>
    <row r="30" spans="2:7" x14ac:dyDescent="0.25">
      <c r="F30" s="40"/>
    </row>
    <row r="31" spans="2:7" x14ac:dyDescent="0.25">
      <c r="B31" s="38" t="s">
        <v>94</v>
      </c>
      <c r="C31" s="38" t="str">
        <f ca="1">_xlfn.FORMULATEXT(C19)</f>
        <v>=C12</v>
      </c>
      <c r="D31" s="38" t="str">
        <f ca="1">_xlfn.FORMULATEXT(D19)</f>
        <v>=C13</v>
      </c>
      <c r="E31" s="38" t="str">
        <f ca="1">_xlfn.FORMULATEXT(E19)</f>
        <v>=C15</v>
      </c>
    </row>
    <row r="32" spans="2:7" x14ac:dyDescent="0.25">
      <c r="B32" s="38"/>
      <c r="D32" s="42"/>
    </row>
    <row r="33" spans="2:4" x14ac:dyDescent="0.25">
      <c r="B33" s="38"/>
      <c r="D33" s="42"/>
    </row>
    <row r="34" spans="2:4" x14ac:dyDescent="0.25">
      <c r="B34" s="38"/>
      <c r="D34" s="42"/>
    </row>
    <row r="35" spans="2:4" x14ac:dyDescent="0.25">
      <c r="B35" s="38"/>
      <c r="D35" s="42"/>
    </row>
    <row r="36" spans="2:4" x14ac:dyDescent="0.25">
      <c r="B36" s="38"/>
      <c r="D36" s="42"/>
    </row>
    <row r="37" spans="2:4" x14ac:dyDescent="0.25">
      <c r="B37" s="38"/>
      <c r="D37" s="42"/>
    </row>
    <row r="38" spans="2:4" x14ac:dyDescent="0.25">
      <c r="B38" s="38"/>
      <c r="D38" s="42"/>
    </row>
    <row r="39" spans="2:4" x14ac:dyDescent="0.25">
      <c r="B39" s="38"/>
      <c r="D39" s="42"/>
    </row>
    <row r="40" spans="2:4" x14ac:dyDescent="0.25">
      <c r="B40" s="38"/>
      <c r="D40" s="42"/>
    </row>
    <row r="41" spans="2:4" x14ac:dyDescent="0.25">
      <c r="B41" s="38"/>
      <c r="D41" s="42"/>
    </row>
    <row r="42" spans="2:4" x14ac:dyDescent="0.25">
      <c r="B42" s="39"/>
      <c r="D42" s="42"/>
    </row>
    <row r="43" spans="2:4" x14ac:dyDescent="0.25">
      <c r="D43" s="42"/>
    </row>
    <row r="44" spans="2:4" x14ac:dyDescent="0.25">
      <c r="D44" s="42"/>
    </row>
    <row r="45" spans="2:4" x14ac:dyDescent="0.25">
      <c r="D45" s="42"/>
    </row>
    <row r="46" spans="2:4" x14ac:dyDescent="0.25">
      <c r="D46" s="42"/>
    </row>
  </sheetData>
  <pageMargins left="0.7" right="0.7" top="0.75" bottom="0.75" header="0.3" footer="0.3"/>
  <pageSetup scale="4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2352-42AD-1944-BE66-51171C79DBD8}">
  <sheetPr>
    <pageSetUpPr fitToPage="1"/>
  </sheetPr>
  <dimension ref="A2:O35"/>
  <sheetViews>
    <sheetView showGridLines="0" zoomScale="64" zoomScaleNormal="100" workbookViewId="0">
      <selection activeCell="L63" sqref="L63"/>
    </sheetView>
  </sheetViews>
  <sheetFormatPr defaultColWidth="10.81640625" defaultRowHeight="15.5" x14ac:dyDescent="0.25"/>
  <cols>
    <col min="1" max="1" width="2.453125" style="40" customWidth="1"/>
    <col min="2" max="8" width="12.81640625" style="40" customWidth="1"/>
    <col min="9" max="16384" width="10.81640625" style="40"/>
  </cols>
  <sheetData>
    <row r="2" spans="2:15" ht="22.5" x14ac:dyDescent="0.25">
      <c r="B2" s="53" t="s">
        <v>97</v>
      </c>
    </row>
    <row r="3" spans="2:15" ht="17.5" x14ac:dyDescent="0.25">
      <c r="B3" s="98" t="s">
        <v>93</v>
      </c>
      <c r="F3" s="42"/>
    </row>
    <row r="5" spans="2:15" x14ac:dyDescent="0.25">
      <c r="B5" s="54" t="s">
        <v>18</v>
      </c>
      <c r="C5" s="54"/>
      <c r="D5" s="68"/>
      <c r="E5" s="69" t="s">
        <v>82</v>
      </c>
      <c r="F5" s="69" t="s">
        <v>21</v>
      </c>
    </row>
    <row r="6" spans="2:15" x14ac:dyDescent="0.25">
      <c r="B6" s="40" t="s">
        <v>20</v>
      </c>
      <c r="D6" s="60"/>
      <c r="E6" s="61">
        <v>8</v>
      </c>
      <c r="F6" s="62">
        <v>13</v>
      </c>
      <c r="L6" s="40" t="s">
        <v>107</v>
      </c>
      <c r="O6" s="40" t="s">
        <v>107</v>
      </c>
    </row>
    <row r="7" spans="2:15" x14ac:dyDescent="0.25">
      <c r="B7" s="40" t="s">
        <v>19</v>
      </c>
      <c r="D7" s="60"/>
      <c r="E7" s="62">
        <v>12</v>
      </c>
      <c r="F7" s="62">
        <v>20</v>
      </c>
    </row>
    <row r="8" spans="2:15" x14ac:dyDescent="0.25">
      <c r="B8" s="41" t="s">
        <v>74</v>
      </c>
      <c r="C8" s="41"/>
      <c r="D8" s="59"/>
      <c r="E8" s="134">
        <v>0.3</v>
      </c>
      <c r="F8" s="134"/>
    </row>
    <row r="9" spans="2:15" x14ac:dyDescent="0.25">
      <c r="B9" s="40" t="s">
        <v>75</v>
      </c>
      <c r="D9" s="60"/>
      <c r="E9" s="135">
        <f>E7*F7*E8</f>
        <v>72</v>
      </c>
      <c r="F9" s="135"/>
    </row>
    <row r="10" spans="2:15" x14ac:dyDescent="0.25">
      <c r="B10" s="41" t="s">
        <v>107</v>
      </c>
      <c r="C10" s="41"/>
      <c r="D10" s="41"/>
      <c r="E10" s="41"/>
      <c r="F10" s="41"/>
      <c r="G10" s="41"/>
      <c r="H10" s="41"/>
    </row>
    <row r="11" spans="2:15" x14ac:dyDescent="0.25">
      <c r="B11" s="40" t="s">
        <v>22</v>
      </c>
      <c r="D11" s="63"/>
      <c r="E11" s="136" t="s">
        <v>74</v>
      </c>
      <c r="F11" s="136"/>
      <c r="G11" s="136"/>
      <c r="H11" s="136"/>
    </row>
    <row r="12" spans="2:15" x14ac:dyDescent="0.25">
      <c r="B12" s="41" t="s">
        <v>23</v>
      </c>
      <c r="C12" s="41"/>
      <c r="D12" s="59"/>
      <c r="E12" s="41">
        <v>-1</v>
      </c>
      <c r="F12" s="41">
        <v>0</v>
      </c>
      <c r="G12" s="41">
        <v>0.3</v>
      </c>
      <c r="H12" s="41">
        <v>1</v>
      </c>
    </row>
    <row r="13" spans="2:15" x14ac:dyDescent="0.25">
      <c r="B13" s="51" t="s">
        <v>76</v>
      </c>
      <c r="C13" s="51" t="s">
        <v>77</v>
      </c>
      <c r="D13" s="70" t="s">
        <v>78</v>
      </c>
      <c r="E13" s="132" t="s">
        <v>79</v>
      </c>
      <c r="F13" s="133"/>
      <c r="G13" s="133"/>
      <c r="H13" s="133"/>
    </row>
    <row r="14" spans="2:15" x14ac:dyDescent="0.25">
      <c r="B14" s="64">
        <v>0</v>
      </c>
      <c r="C14" s="64">
        <v>1</v>
      </c>
      <c r="D14" s="122">
        <f>B14*$E$6+C14*$F$6</f>
        <v>13</v>
      </c>
      <c r="E14" s="123">
        <f>SQRT($B14^2*$E$7^2+$C14^2*$F$7^2+2*$E$7*$F$7*E$12*$B14*$C14)</f>
        <v>20</v>
      </c>
      <c r="F14" s="124">
        <f t="shared" ref="F14:H14" si="0">SQRT($B14^2*$E$7^2+$C14^2*$F$7^2+2*$E$7*$F$7*F$12*$B14*$C14)</f>
        <v>20</v>
      </c>
      <c r="G14" s="124">
        <f t="shared" si="0"/>
        <v>20</v>
      </c>
      <c r="H14" s="124">
        <f t="shared" si="0"/>
        <v>20</v>
      </c>
    </row>
    <row r="15" spans="2:15" x14ac:dyDescent="0.25">
      <c r="B15" s="64">
        <v>0.1</v>
      </c>
      <c r="C15" s="64">
        <v>0.9</v>
      </c>
      <c r="D15" s="65">
        <f t="shared" ref="D15:D24" si="1">B15*$E$6+C15*$F$6</f>
        <v>12.500000000000002</v>
      </c>
      <c r="E15" s="125">
        <f t="shared" ref="E15:H24" si="2">SQRT($B15^2*$E$7^2+$C15^2*$F$7^2+2*$E$7*$F$7*E$12*$B15*$C15)</f>
        <v>16.8</v>
      </c>
      <c r="F15" s="67">
        <f t="shared" si="2"/>
        <v>18.039955654047489</v>
      </c>
      <c r="G15" s="67">
        <f t="shared" si="2"/>
        <v>18.39565166010707</v>
      </c>
      <c r="H15" s="67">
        <f t="shared" si="2"/>
        <v>19.2</v>
      </c>
    </row>
    <row r="16" spans="2:15" x14ac:dyDescent="0.25">
      <c r="B16" s="64">
        <v>0.2</v>
      </c>
      <c r="C16" s="64">
        <v>0.8</v>
      </c>
      <c r="D16" s="65">
        <f t="shared" si="1"/>
        <v>12</v>
      </c>
      <c r="E16" s="125">
        <f t="shared" si="2"/>
        <v>13.600000000000001</v>
      </c>
      <c r="F16" s="67">
        <f t="shared" si="2"/>
        <v>16.178998732925351</v>
      </c>
      <c r="G16" s="67">
        <f t="shared" si="2"/>
        <v>16.876018487783192</v>
      </c>
      <c r="H16" s="67">
        <f t="shared" si="2"/>
        <v>18.400000000000002</v>
      </c>
    </row>
    <row r="17" spans="1:10" x14ac:dyDescent="0.25">
      <c r="B17" s="64">
        <v>0.3</v>
      </c>
      <c r="C17" s="64">
        <v>0.7</v>
      </c>
      <c r="D17" s="65">
        <f t="shared" si="1"/>
        <v>11.5</v>
      </c>
      <c r="E17" s="125">
        <f t="shared" si="2"/>
        <v>10.399999999999999</v>
      </c>
      <c r="F17" s="67">
        <f t="shared" si="2"/>
        <v>14.455448799674121</v>
      </c>
      <c r="G17" s="67">
        <f t="shared" si="2"/>
        <v>15.466091943344964</v>
      </c>
      <c r="H17" s="67">
        <f t="shared" si="2"/>
        <v>17.600000000000001</v>
      </c>
    </row>
    <row r="18" spans="1:10" x14ac:dyDescent="0.25">
      <c r="B18" s="64">
        <v>0.4</v>
      </c>
      <c r="C18" s="64">
        <v>0.6</v>
      </c>
      <c r="D18" s="65">
        <f t="shared" si="1"/>
        <v>11</v>
      </c>
      <c r="E18" s="125">
        <f t="shared" si="2"/>
        <v>7.200000000000002</v>
      </c>
      <c r="F18" s="67">
        <f t="shared" si="2"/>
        <v>12.924395537122811</v>
      </c>
      <c r="G18" s="67">
        <f t="shared" si="2"/>
        <v>14.198591479439079</v>
      </c>
      <c r="H18" s="67">
        <f t="shared" si="2"/>
        <v>16.8</v>
      </c>
    </row>
    <row r="19" spans="1:10" x14ac:dyDescent="0.25">
      <c r="B19" s="64">
        <v>0.5</v>
      </c>
      <c r="C19" s="64">
        <v>0.5</v>
      </c>
      <c r="D19" s="65">
        <f t="shared" si="1"/>
        <v>10.5</v>
      </c>
      <c r="E19" s="125">
        <f t="shared" si="2"/>
        <v>4</v>
      </c>
      <c r="F19" s="67">
        <f t="shared" si="2"/>
        <v>11.661903789690601</v>
      </c>
      <c r="G19" s="67">
        <f t="shared" si="2"/>
        <v>13.114877048604001</v>
      </c>
      <c r="H19" s="67">
        <f t="shared" si="2"/>
        <v>16</v>
      </c>
    </row>
    <row r="20" spans="1:10" x14ac:dyDescent="0.25">
      <c r="B20" s="64">
        <v>0.6</v>
      </c>
      <c r="C20" s="64">
        <v>0.4</v>
      </c>
      <c r="D20" s="65">
        <f t="shared" si="1"/>
        <v>10</v>
      </c>
      <c r="E20" s="125">
        <f t="shared" si="2"/>
        <v>0.80000000000000038</v>
      </c>
      <c r="F20" s="67">
        <f t="shared" si="2"/>
        <v>10.762899237658969</v>
      </c>
      <c r="G20" s="67">
        <f t="shared" si="2"/>
        <v>12.263767773404714</v>
      </c>
      <c r="H20" s="67">
        <f t="shared" si="2"/>
        <v>15.200000000000001</v>
      </c>
    </row>
    <row r="21" spans="1:10" x14ac:dyDescent="0.25">
      <c r="B21" s="64">
        <v>0.7</v>
      </c>
      <c r="C21" s="64">
        <v>0.3</v>
      </c>
      <c r="D21" s="65">
        <f t="shared" si="1"/>
        <v>9.5</v>
      </c>
      <c r="E21" s="125">
        <f t="shared" si="2"/>
        <v>2.3999999999999981</v>
      </c>
      <c r="F21" s="67">
        <f t="shared" si="2"/>
        <v>10.322790320451151</v>
      </c>
      <c r="G21" s="67">
        <f t="shared" si="2"/>
        <v>11.696153213770756</v>
      </c>
      <c r="H21" s="67">
        <f t="shared" si="2"/>
        <v>14.4</v>
      </c>
    </row>
    <row r="22" spans="1:10" x14ac:dyDescent="0.25">
      <c r="B22" s="64">
        <v>0.8</v>
      </c>
      <c r="C22" s="64">
        <v>0.2</v>
      </c>
      <c r="D22" s="65">
        <f t="shared" si="1"/>
        <v>9</v>
      </c>
      <c r="E22" s="125">
        <f t="shared" si="2"/>
        <v>5.6000000000000014</v>
      </c>
      <c r="F22" s="67">
        <f t="shared" si="2"/>
        <v>10.4</v>
      </c>
      <c r="G22" s="67">
        <f t="shared" si="2"/>
        <v>11.454256850621084</v>
      </c>
      <c r="H22" s="67">
        <f t="shared" si="2"/>
        <v>13.600000000000001</v>
      </c>
    </row>
    <row r="23" spans="1:10" x14ac:dyDescent="0.25">
      <c r="B23" s="66">
        <v>0.9</v>
      </c>
      <c r="C23" s="66">
        <v>0.1</v>
      </c>
      <c r="D23" s="65">
        <f t="shared" si="1"/>
        <v>8.5</v>
      </c>
      <c r="E23" s="125">
        <f t="shared" si="2"/>
        <v>8.8000000000000007</v>
      </c>
      <c r="F23" s="67">
        <f t="shared" si="2"/>
        <v>10.983624174196786</v>
      </c>
      <c r="G23" s="67">
        <f t="shared" si="2"/>
        <v>11.558546621439913</v>
      </c>
      <c r="H23" s="67">
        <f t="shared" si="2"/>
        <v>12.8</v>
      </c>
    </row>
    <row r="24" spans="1:10" x14ac:dyDescent="0.25">
      <c r="B24" s="71">
        <v>1</v>
      </c>
      <c r="C24" s="71">
        <v>0</v>
      </c>
      <c r="D24" s="72">
        <f t="shared" si="1"/>
        <v>8</v>
      </c>
      <c r="E24" s="103">
        <f t="shared" si="2"/>
        <v>12</v>
      </c>
      <c r="F24" s="73">
        <f t="shared" si="2"/>
        <v>12</v>
      </c>
      <c r="G24" s="73">
        <f t="shared" si="2"/>
        <v>12</v>
      </c>
      <c r="H24" s="73">
        <f t="shared" si="2"/>
        <v>12</v>
      </c>
    </row>
    <row r="25" spans="1:10" x14ac:dyDescent="0.25">
      <c r="B25" s="130" t="s">
        <v>90</v>
      </c>
      <c r="C25" s="130"/>
      <c r="D25" s="131"/>
      <c r="E25" s="41">
        <v>-1</v>
      </c>
      <c r="F25" s="41">
        <v>0</v>
      </c>
      <c r="G25" s="41">
        <v>0.3</v>
      </c>
      <c r="H25" s="41">
        <v>1</v>
      </c>
    </row>
    <row r="26" spans="1:10" x14ac:dyDescent="0.25">
      <c r="B26" s="51" t="s">
        <v>76</v>
      </c>
      <c r="C26" s="51" t="s">
        <v>77</v>
      </c>
      <c r="D26" s="70" t="s">
        <v>78</v>
      </c>
      <c r="E26" s="132" t="s">
        <v>79</v>
      </c>
      <c r="F26" s="133"/>
      <c r="G26" s="133"/>
      <c r="H26" s="133"/>
      <c r="J26" s="77"/>
    </row>
    <row r="27" spans="1:10" x14ac:dyDescent="0.25">
      <c r="B27" s="113">
        <v>0.625</v>
      </c>
      <c r="C27" s="67">
        <f>1-B27</f>
        <v>0.375</v>
      </c>
      <c r="D27" s="74">
        <f>B27*$E$6+C27*$F$6</f>
        <v>9.875</v>
      </c>
      <c r="E27" s="114">
        <f>SQRT($E$7^2*$B27^2+$F$7^2*$C27^2+2*$E$7*$F$7*E$12*$B27*$C27)</f>
        <v>0</v>
      </c>
      <c r="F27" s="77" t="s">
        <v>86</v>
      </c>
    </row>
    <row r="28" spans="1:10" x14ac:dyDescent="0.25">
      <c r="A28" s="77"/>
      <c r="B28" s="113">
        <f>($F$7^2-F$12*$E$7*$F$7)/($E$7^2+$F$7^2-2*F$12*$E$7*$F$7)</f>
        <v>0.73529411764705888</v>
      </c>
      <c r="C28" s="67">
        <f t="shared" ref="C28:C30" si="3">1-B28</f>
        <v>0.26470588235294112</v>
      </c>
      <c r="D28" s="74">
        <f t="shared" ref="D28:D30" si="4">B28*$E$6+C28*$F$6</f>
        <v>9.3235294117647065</v>
      </c>
      <c r="F28" s="115">
        <f>SQRT($E$7^2*B$28^2+$F$7^2*C$28^2+2*$E$7*$F$7*F$12*B$28*C$28)</f>
        <v>10.289915108550531</v>
      </c>
    </row>
    <row r="29" spans="1:10" x14ac:dyDescent="0.25">
      <c r="A29" s="77"/>
      <c r="B29" s="113">
        <f>($F$7^2-G$12*$E$7*$F$7)/($E$7^2+$F$7^2-2*G$12*$E$7*$F$7)</f>
        <v>0.82</v>
      </c>
      <c r="C29" s="67">
        <f t="shared" si="3"/>
        <v>0.18000000000000005</v>
      </c>
      <c r="D29" s="74">
        <f t="shared" si="4"/>
        <v>8.9</v>
      </c>
      <c r="E29" s="76"/>
      <c r="F29" s="76"/>
      <c r="G29" s="116">
        <f>SQRT($E$7^2*B$29^2+$F$7^2*C$29^2+2*$E$7*$F$7*G$12*B$29*C$29)</f>
        <v>11.447270417003347</v>
      </c>
    </row>
    <row r="30" spans="1:10" x14ac:dyDescent="0.25">
      <c r="B30" s="113">
        <f>($F$7^2-H$12*$E$7*$F$7)/($E$7^2+$F$7^2-2*H$12*$E$7*$F$7)</f>
        <v>2.5</v>
      </c>
      <c r="C30" s="67">
        <f t="shared" si="3"/>
        <v>-1.5</v>
      </c>
      <c r="D30" s="74">
        <f t="shared" si="4"/>
        <v>0.5</v>
      </c>
      <c r="H30" s="115">
        <f>SQRT($E$7^2*B$30^2+$F$7^2*C$30^2+2*$E$7*$F$7*H$12*B$30*C$30)</f>
        <v>0</v>
      </c>
    </row>
    <row r="31" spans="1:10" x14ac:dyDescent="0.25">
      <c r="B31" s="77" t="s">
        <v>88</v>
      </c>
    </row>
    <row r="32" spans="1:10" x14ac:dyDescent="0.25">
      <c r="D32" s="38"/>
    </row>
    <row r="33" spans="4:4" x14ac:dyDescent="0.25">
      <c r="D33" s="38"/>
    </row>
    <row r="34" spans="4:4" x14ac:dyDescent="0.25">
      <c r="D34" s="38"/>
    </row>
    <row r="35" spans="4:4" x14ac:dyDescent="0.25">
      <c r="D35" s="38"/>
    </row>
  </sheetData>
  <mergeCells count="6">
    <mergeCell ref="B25:D25"/>
    <mergeCell ref="E26:H26"/>
    <mergeCell ref="E8:F8"/>
    <mergeCell ref="E9:F9"/>
    <mergeCell ref="E11:H11"/>
    <mergeCell ref="E13:H13"/>
  </mergeCells>
  <pageMargins left="0.7" right="0.7" top="0.75" bottom="0.75" header="0.3" footer="0.3"/>
  <pageSetup scale="57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49A-2EB2-2C47-AC44-4ACE2CB5A05A}">
  <sheetPr>
    <pageSetUpPr fitToPage="1"/>
  </sheetPr>
  <dimension ref="A2:G52"/>
  <sheetViews>
    <sheetView showGridLines="0" tabSelected="1" zoomScale="95" zoomScaleNormal="25" workbookViewId="0">
      <selection activeCell="M43" sqref="M43"/>
    </sheetView>
  </sheetViews>
  <sheetFormatPr defaultColWidth="8.81640625" defaultRowHeight="15.5" x14ac:dyDescent="0.25"/>
  <cols>
    <col min="1" max="1" width="2.36328125" style="40" customWidth="1"/>
    <col min="2" max="2" width="23.6328125" style="40" customWidth="1"/>
    <col min="3" max="3" width="26" style="40" customWidth="1"/>
    <col min="4" max="6" width="19.36328125" style="40" customWidth="1"/>
    <col min="7" max="8" width="14.36328125" style="40" customWidth="1"/>
    <col min="9" max="16384" width="8.81640625" style="40"/>
  </cols>
  <sheetData>
    <row r="2" spans="2:7" ht="25" x14ac:dyDescent="0.25">
      <c r="B2" s="97" t="s">
        <v>98</v>
      </c>
    </row>
    <row r="3" spans="2:7" ht="17.5" x14ac:dyDescent="0.25">
      <c r="B3" s="98" t="s">
        <v>93</v>
      </c>
    </row>
    <row r="4" spans="2:7" ht="17.5" x14ac:dyDescent="0.25">
      <c r="B4" s="98"/>
    </row>
    <row r="5" spans="2:7" x14ac:dyDescent="0.25">
      <c r="C5" s="78" t="s">
        <v>0</v>
      </c>
      <c r="D5" s="78" t="s">
        <v>1</v>
      </c>
      <c r="E5" s="78" t="s">
        <v>7</v>
      </c>
      <c r="F5" s="75"/>
    </row>
    <row r="6" spans="2:7" x14ac:dyDescent="0.25">
      <c r="B6" s="51" t="s">
        <v>15</v>
      </c>
      <c r="C6" s="51" t="s">
        <v>2</v>
      </c>
      <c r="D6" s="51" t="s">
        <v>3</v>
      </c>
      <c r="E6" s="51" t="s">
        <v>14</v>
      </c>
      <c r="F6" s="51" t="s">
        <v>13</v>
      </c>
    </row>
    <row r="7" spans="2:7" x14ac:dyDescent="0.25">
      <c r="B7" s="78" t="s">
        <v>83</v>
      </c>
      <c r="C7" s="79">
        <v>0.08</v>
      </c>
      <c r="D7" s="79">
        <v>0.12</v>
      </c>
      <c r="E7" s="80">
        <v>0.3</v>
      </c>
      <c r="F7" s="81">
        <f>D7*D8*E7</f>
        <v>7.1999999999999998E-3</v>
      </c>
      <c r="G7" s="40" t="str">
        <f ca="1">_xlfn.FORMULATEXT(F7)</f>
        <v>=D7*D8*E7</v>
      </c>
    </row>
    <row r="8" spans="2:7" x14ac:dyDescent="0.25">
      <c r="B8" s="78" t="s">
        <v>21</v>
      </c>
      <c r="C8" s="79">
        <v>0.13</v>
      </c>
      <c r="D8" s="79">
        <v>0.2</v>
      </c>
      <c r="E8" s="80"/>
    </row>
    <row r="9" spans="2:7" x14ac:dyDescent="0.25">
      <c r="B9" s="78" t="s">
        <v>4</v>
      </c>
      <c r="C9" s="79">
        <v>0.05</v>
      </c>
      <c r="D9" s="79">
        <v>0</v>
      </c>
      <c r="E9" s="80"/>
    </row>
    <row r="10" spans="2:7" x14ac:dyDescent="0.25">
      <c r="B10" s="78"/>
      <c r="C10" s="79"/>
      <c r="D10" s="79"/>
      <c r="E10" s="80"/>
    </row>
    <row r="11" spans="2:7" x14ac:dyDescent="0.25">
      <c r="B11" s="54" t="s">
        <v>24</v>
      </c>
      <c r="C11" s="41"/>
      <c r="D11" s="41"/>
      <c r="E11" s="41"/>
      <c r="F11" s="107" t="s">
        <v>85</v>
      </c>
    </row>
    <row r="12" spans="2:7" x14ac:dyDescent="0.25">
      <c r="B12" s="89" t="s">
        <v>5</v>
      </c>
      <c r="C12" s="90" t="s">
        <v>5</v>
      </c>
      <c r="D12" s="78" t="s">
        <v>8</v>
      </c>
      <c r="E12" s="78" t="s">
        <v>1</v>
      </c>
      <c r="F12" s="78" t="s">
        <v>6</v>
      </c>
    </row>
    <row r="13" spans="2:7" x14ac:dyDescent="0.25">
      <c r="B13" s="51" t="s">
        <v>83</v>
      </c>
      <c r="C13" s="70" t="s">
        <v>21</v>
      </c>
      <c r="D13" s="51" t="s">
        <v>2</v>
      </c>
      <c r="E13" s="51" t="s">
        <v>3</v>
      </c>
      <c r="F13" s="51" t="s">
        <v>111</v>
      </c>
    </row>
    <row r="14" spans="2:7" x14ac:dyDescent="0.25">
      <c r="B14" s="39">
        <v>1</v>
      </c>
      <c r="C14" s="91">
        <v>0</v>
      </c>
      <c r="D14" s="126">
        <f>$B14*C$7+$C14*C$8</f>
        <v>0.08</v>
      </c>
      <c r="E14" s="82">
        <f>(B14^2*$D$7^2+C14^2*$D$8^2+2*B14*C14*$F$7)^0.5</f>
        <v>0.12</v>
      </c>
      <c r="F14" s="127">
        <f>(D14-$C$9)/E14</f>
        <v>0.25</v>
      </c>
    </row>
    <row r="15" spans="2:7" x14ac:dyDescent="0.25">
      <c r="B15" s="39">
        <v>0.9</v>
      </c>
      <c r="C15" s="91">
        <v>0.1</v>
      </c>
      <c r="D15" s="128">
        <f t="shared" ref="D15:D24" si="0">$B15*C$7+$C15*C$8</f>
        <v>8.5000000000000006E-2</v>
      </c>
      <c r="E15" s="82">
        <f t="shared" ref="E15:E24" si="1">(B15^2*$D$7^2+C15^2*$D$8^2+2*B15*C15*$F$7)^0.5</f>
        <v>0.11558546621439912</v>
      </c>
      <c r="F15" s="82">
        <f t="shared" ref="F15:F24" si="2">(D15-$C$9)/E15</f>
        <v>0.3028062363401175</v>
      </c>
    </row>
    <row r="16" spans="2:7" x14ac:dyDescent="0.25">
      <c r="B16" s="39">
        <v>0.8</v>
      </c>
      <c r="C16" s="91">
        <v>0.2</v>
      </c>
      <c r="D16" s="128">
        <f t="shared" si="0"/>
        <v>0.09</v>
      </c>
      <c r="E16" s="82">
        <f t="shared" si="1"/>
        <v>0.11454256850621083</v>
      </c>
      <c r="F16" s="82">
        <f t="shared" si="2"/>
        <v>0.34921514788478902</v>
      </c>
    </row>
    <row r="17" spans="1:7" x14ac:dyDescent="0.25">
      <c r="B17" s="39">
        <v>0.7</v>
      </c>
      <c r="C17" s="91">
        <v>0.3</v>
      </c>
      <c r="D17" s="128">
        <f t="shared" si="0"/>
        <v>9.5000000000000001E-2</v>
      </c>
      <c r="E17" s="82">
        <f t="shared" si="1"/>
        <v>0.11696153213770756</v>
      </c>
      <c r="F17" s="82">
        <f t="shared" si="2"/>
        <v>0.38474188203193277</v>
      </c>
    </row>
    <row r="18" spans="1:7" x14ac:dyDescent="0.25">
      <c r="B18" s="39">
        <v>0.6</v>
      </c>
      <c r="C18" s="91">
        <v>0.4</v>
      </c>
      <c r="D18" s="128">
        <f t="shared" si="0"/>
        <v>0.1</v>
      </c>
      <c r="E18" s="82">
        <f t="shared" si="1"/>
        <v>0.12263767773404714</v>
      </c>
      <c r="F18" s="82">
        <f t="shared" si="2"/>
        <v>0.40770504565840138</v>
      </c>
    </row>
    <row r="19" spans="1:7" x14ac:dyDescent="0.25">
      <c r="B19" s="39">
        <v>0.5</v>
      </c>
      <c r="C19" s="91">
        <v>0.5</v>
      </c>
      <c r="D19" s="128">
        <f t="shared" si="0"/>
        <v>0.10500000000000001</v>
      </c>
      <c r="E19" s="82">
        <f t="shared" si="1"/>
        <v>0.13114877048604001</v>
      </c>
      <c r="F19" s="82">
        <f t="shared" si="2"/>
        <v>0.41937106841466287</v>
      </c>
    </row>
    <row r="20" spans="1:7" x14ac:dyDescent="0.25">
      <c r="B20" s="39">
        <v>0.4</v>
      </c>
      <c r="C20" s="91">
        <v>0.6</v>
      </c>
      <c r="D20" s="128">
        <f t="shared" si="0"/>
        <v>0.11</v>
      </c>
      <c r="E20" s="82">
        <f t="shared" si="1"/>
        <v>0.14198591479439079</v>
      </c>
      <c r="F20" s="82">
        <f t="shared" si="2"/>
        <v>0.42257712736425823</v>
      </c>
    </row>
    <row r="21" spans="1:7" x14ac:dyDescent="0.25">
      <c r="B21" s="39">
        <v>0.3</v>
      </c>
      <c r="C21" s="91">
        <v>0.7</v>
      </c>
      <c r="D21" s="128">
        <f t="shared" si="0"/>
        <v>0.11499999999999999</v>
      </c>
      <c r="E21" s="82">
        <f t="shared" si="1"/>
        <v>0.15466091943344965</v>
      </c>
      <c r="F21" s="82">
        <f t="shared" si="2"/>
        <v>0.42027423759089566</v>
      </c>
    </row>
    <row r="22" spans="1:7" x14ac:dyDescent="0.25">
      <c r="B22" s="39">
        <v>0.2</v>
      </c>
      <c r="C22" s="91">
        <v>0.8</v>
      </c>
      <c r="D22" s="128">
        <f t="shared" si="0"/>
        <v>0.12000000000000001</v>
      </c>
      <c r="E22" s="82">
        <f t="shared" si="1"/>
        <v>0.16876018487783193</v>
      </c>
      <c r="F22" s="82">
        <f t="shared" si="2"/>
        <v>0.41478978024748003</v>
      </c>
    </row>
    <row r="23" spans="1:7" x14ac:dyDescent="0.25">
      <c r="B23" s="39">
        <v>0.1</v>
      </c>
      <c r="C23" s="91">
        <v>0.9</v>
      </c>
      <c r="D23" s="128">
        <f t="shared" si="0"/>
        <v>0.125</v>
      </c>
      <c r="E23" s="82">
        <f t="shared" si="1"/>
        <v>0.18395651660107071</v>
      </c>
      <c r="F23" s="82">
        <f t="shared" si="2"/>
        <v>0.40770504565840132</v>
      </c>
    </row>
    <row r="24" spans="1:7" x14ac:dyDescent="0.25">
      <c r="B24" s="83">
        <v>0</v>
      </c>
      <c r="C24" s="92">
        <v>1</v>
      </c>
      <c r="D24" s="129">
        <f t="shared" si="0"/>
        <v>0.13</v>
      </c>
      <c r="E24" s="84">
        <f t="shared" si="1"/>
        <v>0.2</v>
      </c>
      <c r="F24" s="84">
        <f t="shared" si="2"/>
        <v>0.39999999999999997</v>
      </c>
    </row>
    <row r="25" spans="1:7" x14ac:dyDescent="0.25">
      <c r="B25" s="75" t="s">
        <v>104</v>
      </c>
      <c r="C25" s="60"/>
      <c r="D25" s="78" t="s">
        <v>8</v>
      </c>
      <c r="E25" s="111" t="s">
        <v>1</v>
      </c>
      <c r="F25" s="78" t="s">
        <v>6</v>
      </c>
    </row>
    <row r="26" spans="1:7" x14ac:dyDescent="0.25">
      <c r="B26" s="51" t="s">
        <v>84</v>
      </c>
      <c r="C26" s="70" t="s">
        <v>89</v>
      </c>
      <c r="D26" s="51" t="s">
        <v>2</v>
      </c>
      <c r="E26" s="112" t="s">
        <v>112</v>
      </c>
      <c r="F26" s="51" t="s">
        <v>111</v>
      </c>
    </row>
    <row r="27" spans="1:7" x14ac:dyDescent="0.25">
      <c r="A27" s="78"/>
      <c r="B27" s="109">
        <v>0.81999999763825926</v>
      </c>
      <c r="C27" s="94">
        <f>1-$B$27</f>
        <v>0.18000000236174074</v>
      </c>
      <c r="D27" s="82">
        <f>(($C$7*B27)+($C$8*C27))</f>
        <v>8.9000000118087036E-2</v>
      </c>
      <c r="E27" s="110">
        <f>((($B$27^2)*($D$7^2))+(($C$27^2)*($D$8^2))+(2*$B$27*$C$27*$F$7))^0.5</f>
        <v>0.11447270417003348</v>
      </c>
      <c r="F27" s="82">
        <f>(D27-$C$9)/E27</f>
        <v>0.34069257296619715</v>
      </c>
      <c r="G27" s="85"/>
    </row>
    <row r="28" spans="1:7" x14ac:dyDescent="0.25">
      <c r="A28" s="78"/>
      <c r="B28" s="93">
        <f>IF(B27&gt;1,1,B27)</f>
        <v>0.81999999763825926</v>
      </c>
      <c r="C28" s="94">
        <f>1-B28</f>
        <v>0.18000000236174074</v>
      </c>
      <c r="D28" s="82">
        <f>(($C$7*B28)+($C$8*C28))</f>
        <v>8.9000000118087036E-2</v>
      </c>
      <c r="E28" s="82">
        <f>((($B$28^2)*($D$7^2))+(($C$28^2)*($D$8^2))+(2*$B$28*$C$28*$F$7))^0.5</f>
        <v>0.11447270417003348</v>
      </c>
      <c r="F28" s="82">
        <f>(D28-$C$9)/E28</f>
        <v>0.34069257296619715</v>
      </c>
      <c r="G28" s="85"/>
    </row>
    <row r="29" spans="1:7" x14ac:dyDescent="0.25">
      <c r="A29" s="77"/>
      <c r="B29" s="75" t="s">
        <v>105</v>
      </c>
      <c r="C29" s="60"/>
      <c r="F29" s="88" t="s">
        <v>87</v>
      </c>
      <c r="G29" s="42"/>
    </row>
    <row r="30" spans="1:7" x14ac:dyDescent="0.25">
      <c r="A30" s="77"/>
      <c r="B30" s="108">
        <v>0.40000000000000008</v>
      </c>
      <c r="C30" s="95">
        <f>(1-$B$30)</f>
        <v>0.59999999999999987</v>
      </c>
      <c r="D30" s="82">
        <f>(($B$30*$C$7)+($C$30*$C$8))</f>
        <v>0.10999999999999999</v>
      </c>
      <c r="E30" s="82">
        <f>((($B$30^2)*($D$7^2))+(($C$30^2)*($D$8^2))+(2*$B$30*$C$30*$F$7))^0.5</f>
        <v>0.14198591479439077</v>
      </c>
      <c r="F30" s="110">
        <f>(($D$30-$C$9)/$E$30)</f>
        <v>0.42257712736425823</v>
      </c>
      <c r="G30" s="85"/>
    </row>
    <row r="31" spans="1:7" x14ac:dyDescent="0.25">
      <c r="A31" s="77"/>
      <c r="B31" s="96">
        <f>IF(B30&gt;1,1,IF(B30&lt;0,0,B30))</f>
        <v>0.40000000000000008</v>
      </c>
      <c r="C31" s="95">
        <f>1-B31</f>
        <v>0.59999999999999987</v>
      </c>
      <c r="D31" s="82">
        <f>(($B$31*$C$7)+($C$31*$C$8))</f>
        <v>0.10999999999999999</v>
      </c>
      <c r="E31" s="82">
        <f>((($B$31^2)*($D$7^2))+(($C$31^2)*($D$8^2))+(2*$B$31*$C$31*$F$7))^0.5</f>
        <v>0.14198591479439077</v>
      </c>
      <c r="F31" s="82">
        <f>(($D$31-$C$9)/$E$31)</f>
        <v>0.42257712736425823</v>
      </c>
      <c r="G31" s="85"/>
    </row>
    <row r="32" spans="1:7" x14ac:dyDescent="0.25">
      <c r="B32" s="77" t="s">
        <v>110</v>
      </c>
    </row>
    <row r="36" spans="2:6" x14ac:dyDescent="0.25">
      <c r="B36" s="54" t="s">
        <v>106</v>
      </c>
      <c r="C36" s="54"/>
      <c r="D36" s="51" t="s">
        <v>16</v>
      </c>
    </row>
    <row r="37" spans="2:6" x14ac:dyDescent="0.25">
      <c r="C37" s="38" t="s">
        <v>100</v>
      </c>
      <c r="D37" s="104">
        <f>(D31-C9)/(4*E31^2)</f>
        <v>0.74404761904761907</v>
      </c>
    </row>
    <row r="38" spans="2:6" x14ac:dyDescent="0.25">
      <c r="C38" s="38" t="s">
        <v>101</v>
      </c>
      <c r="D38" s="104">
        <f>1-D37</f>
        <v>0.25595238095238093</v>
      </c>
    </row>
    <row r="39" spans="2:6" x14ac:dyDescent="0.25">
      <c r="C39" s="38" t="s">
        <v>70</v>
      </c>
      <c r="D39" s="104">
        <f>D37*D31+D38*C9</f>
        <v>9.4642857142857126E-2</v>
      </c>
    </row>
    <row r="40" spans="2:6" x14ac:dyDescent="0.25">
      <c r="C40" s="38" t="s">
        <v>71</v>
      </c>
      <c r="D40" s="104">
        <f>D37*E31</f>
        <v>0.10564428184106456</v>
      </c>
    </row>
    <row r="41" spans="2:6" x14ac:dyDescent="0.25">
      <c r="C41" s="38" t="s">
        <v>102</v>
      </c>
      <c r="D41" s="82">
        <f>(D39-C9)/D40</f>
        <v>0.42257712736425818</v>
      </c>
    </row>
    <row r="42" spans="2:6" x14ac:dyDescent="0.25">
      <c r="C42" s="38" t="s">
        <v>84</v>
      </c>
      <c r="D42" s="82">
        <f>D37*B31</f>
        <v>0.29761904761904767</v>
      </c>
    </row>
    <row r="43" spans="2:6" x14ac:dyDescent="0.25">
      <c r="C43" s="38" t="s">
        <v>89</v>
      </c>
      <c r="D43" s="82">
        <f>D37*C31</f>
        <v>0.44642857142857134</v>
      </c>
    </row>
    <row r="45" spans="2:6" x14ac:dyDescent="0.25">
      <c r="C45" s="40" t="s">
        <v>107</v>
      </c>
    </row>
    <row r="46" spans="2:6" ht="17.5" x14ac:dyDescent="0.25">
      <c r="B46" s="106" t="s">
        <v>103</v>
      </c>
      <c r="C46" s="38"/>
      <c r="D46" s="105"/>
    </row>
    <row r="47" spans="2:6" ht="16" thickBot="1" x14ac:dyDescent="0.3">
      <c r="B47" s="54" t="s">
        <v>26</v>
      </c>
      <c r="C47" s="41"/>
      <c r="D47" s="78" t="s">
        <v>16</v>
      </c>
      <c r="E47" s="41"/>
      <c r="F47" s="78" t="s">
        <v>17</v>
      </c>
    </row>
    <row r="48" spans="2:6" ht="16" thickBot="1" x14ac:dyDescent="0.3">
      <c r="C48" s="38" t="s">
        <v>9</v>
      </c>
      <c r="D48" s="86">
        <v>0.12</v>
      </c>
      <c r="E48" s="38" t="s">
        <v>9</v>
      </c>
      <c r="F48" s="86">
        <v>0.12</v>
      </c>
    </row>
    <row r="49" spans="3:6" x14ac:dyDescent="0.25">
      <c r="C49" s="87" t="s">
        <v>25</v>
      </c>
      <c r="D49" s="82">
        <f>(($D$48-$C$9)/($D$30-$C$9))</f>
        <v>1.166666666666667</v>
      </c>
      <c r="E49" s="38" t="s">
        <v>99</v>
      </c>
      <c r="F49" s="82">
        <f>($F$48-$C$8)/($C$7-$C$8)</f>
        <v>0.20000000000000018</v>
      </c>
    </row>
    <row r="50" spans="3:6" x14ac:dyDescent="0.25">
      <c r="C50" s="87" t="s">
        <v>12</v>
      </c>
      <c r="D50" s="82">
        <f>(1-$D$49)</f>
        <v>-0.16666666666666696</v>
      </c>
      <c r="E50" s="87" t="s">
        <v>21</v>
      </c>
      <c r="F50" s="82">
        <f>(1-$F$49)</f>
        <v>0.79999999999999982</v>
      </c>
    </row>
    <row r="51" spans="3:6" x14ac:dyDescent="0.25">
      <c r="C51" s="38" t="s">
        <v>10</v>
      </c>
      <c r="D51" s="82">
        <f>(($D$49*$D$30)+($D$50*$C$9))</f>
        <v>0.12000000000000001</v>
      </c>
      <c r="E51" s="38" t="s">
        <v>10</v>
      </c>
      <c r="F51" s="82">
        <f>(($F$49*$C$7)+($F$50*$C$8))</f>
        <v>0.12</v>
      </c>
    </row>
    <row r="52" spans="3:6" x14ac:dyDescent="0.25">
      <c r="C52" s="38" t="s">
        <v>11</v>
      </c>
      <c r="D52" s="82">
        <f>(($D$49*$E$30)+($D$50*$D$9))</f>
        <v>0.16565023392678926</v>
      </c>
      <c r="E52" s="38" t="s">
        <v>11</v>
      </c>
      <c r="F52" s="82">
        <f>((($F$49^2)*($D$7^2))+(($F$50^2)*($D$8^2))+(2*$F$49*$F$50*$F$7))^0.5</f>
        <v>0.16876018487783187</v>
      </c>
    </row>
  </sheetData>
  <printOptions headings="1" gridLines="1"/>
  <pageMargins left="0.75" right="0.75" top="1" bottom="1" header="0.5" footer="0.5"/>
  <pageSetup scale="51" orientation="landscape" horizontalDpi="300" verticalDpi="300" r:id="rId1"/>
  <headerFooter alignWithMargins="0"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Risk &amp; Return basic</vt:lpstr>
      <vt:lpstr>Capital Allocation</vt:lpstr>
      <vt:lpstr>Asset Allocation w RAs</vt:lpstr>
      <vt:lpstr>Asset Allocation w Rf</vt:lpstr>
      <vt:lpstr>'Asset Allocation w Rf'!Print_Area</vt:lpstr>
      <vt:lpstr>'Risk &amp; Return basic'!Print_Area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Johnson</dc:creator>
  <cp:lastModifiedBy>Chloë Bouton</cp:lastModifiedBy>
  <cp:lastPrinted>2023-03-07T16:56:56Z</cp:lastPrinted>
  <dcterms:created xsi:type="dcterms:W3CDTF">2001-01-10T21:41:22Z</dcterms:created>
  <dcterms:modified xsi:type="dcterms:W3CDTF">2025-02-20T19:57:18Z</dcterms:modified>
</cp:coreProperties>
</file>