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outo\Downloads\"/>
    </mc:Choice>
  </mc:AlternateContent>
  <xr:revisionPtr revIDLastSave="0" documentId="13_ncr:1_{9A305E9E-7CAB-41A8-A4F5-0AE0C5A912D4}" xr6:coauthVersionLast="47" xr6:coauthVersionMax="47" xr10:uidLastSave="{00000000-0000-0000-0000-000000000000}"/>
  <bookViews>
    <workbookView xWindow="-110" yWindow="-110" windowWidth="19420" windowHeight="10300" tabRatio="714" activeTab="3" xr2:uid="{00000000-000D-0000-FFFF-FFFF00000000}"/>
  </bookViews>
  <sheets>
    <sheet name="Growth rate &amp; AFN" sheetId="12" r:id="rId1"/>
    <sheet name="FCFF vs. FCFE" sheetId="8" r:id="rId2"/>
    <sheet name="Equity Beta &amp; CAPM " sheetId="14" r:id="rId3"/>
    <sheet name="Equity Valuation. AFN" sheetId="11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Div1">#REF!</definedName>
    <definedName name="_Div2">#REF!</definedName>
    <definedName name="_Div3">#REF!</definedName>
    <definedName name="_Div4">#REF!</definedName>
    <definedName name="_Regression_Int">1</definedName>
    <definedName name="g_firm">'FCFF vs. FCFE'!#REF!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42436.8542824074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k">#REF!</definedName>
    <definedName name="k_eq">#REF!</definedName>
    <definedName name="Price4">#REF!</definedName>
    <definedName name="_xlnm.Print_Area">#REF!</definedName>
    <definedName name="Print_Area_MI">#REF!</definedName>
    <definedName name="rdebt">'FCFF vs. FCFE'!#REF!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lling_Price">'[1]Base Case'!$B$11</definedName>
    <definedName name="tax_rate">'FCFF vs. FCFE'!#REF!</definedName>
    <definedName name="taxtable" localSheetId="2">#REF!</definedName>
    <definedName name="taxtable">#REF!</definedName>
    <definedName name="term_g">#REF!</definedName>
    <definedName name="Variable_Cost_per_unit">'[1]Base Case'!$B$12</definedName>
    <definedName name="WACC_5">'FCFF vs. FCFE'!$H$28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0" i="11" l="1"/>
  <c r="D88" i="11"/>
  <c r="F86" i="11"/>
  <c r="G86" i="11"/>
  <c r="H86" i="11"/>
  <c r="I86" i="11"/>
  <c r="I85" i="11"/>
  <c r="F79" i="11"/>
  <c r="G79" i="11"/>
  <c r="H79" i="11"/>
  <c r="I79" i="11"/>
  <c r="F80" i="11"/>
  <c r="G80" i="11"/>
  <c r="H80" i="11"/>
  <c r="I80" i="11"/>
  <c r="F81" i="11"/>
  <c r="G81" i="11"/>
  <c r="H81" i="11"/>
  <c r="I81" i="11"/>
  <c r="F82" i="11"/>
  <c r="G82" i="11"/>
  <c r="G84" i="11" s="1"/>
  <c r="H82" i="11"/>
  <c r="I82" i="11"/>
  <c r="F83" i="11"/>
  <c r="G83" i="11"/>
  <c r="H83" i="11"/>
  <c r="I83" i="11"/>
  <c r="F84" i="11"/>
  <c r="H84" i="11"/>
  <c r="I84" i="11"/>
  <c r="E86" i="11"/>
  <c r="E84" i="11"/>
  <c r="E83" i="11"/>
  <c r="E82" i="11"/>
  <c r="E81" i="11"/>
  <c r="E80" i="11"/>
  <c r="E79" i="11"/>
  <c r="F56" i="11"/>
  <c r="G56" i="11"/>
  <c r="H56" i="11"/>
  <c r="I56" i="11"/>
  <c r="F57" i="11"/>
  <c r="F62" i="11" s="1"/>
  <c r="G57" i="11"/>
  <c r="G62" i="11" s="1"/>
  <c r="H57" i="11"/>
  <c r="I57" i="11"/>
  <c r="F58" i="11"/>
  <c r="G58" i="11"/>
  <c r="H58" i="11"/>
  <c r="I58" i="11"/>
  <c r="F59" i="11"/>
  <c r="G59" i="11"/>
  <c r="H59" i="11"/>
  <c r="I59" i="11"/>
  <c r="F60" i="11"/>
  <c r="G60" i="11"/>
  <c r="H60" i="11"/>
  <c r="I60" i="11"/>
  <c r="F61" i="11"/>
  <c r="G61" i="11"/>
  <c r="H61" i="11"/>
  <c r="I61" i="11"/>
  <c r="H62" i="11"/>
  <c r="H70" i="11" s="1"/>
  <c r="I62" i="11"/>
  <c r="I70" i="11" s="1"/>
  <c r="F63" i="11"/>
  <c r="F64" i="11" s="1"/>
  <c r="G63" i="11"/>
  <c r="G64" i="11" s="1"/>
  <c r="H63" i="11"/>
  <c r="I63" i="11"/>
  <c r="H64" i="11"/>
  <c r="I64" i="11"/>
  <c r="F65" i="11"/>
  <c r="F68" i="11" s="1"/>
  <c r="G65" i="11"/>
  <c r="G68" i="11" s="1"/>
  <c r="H65" i="11"/>
  <c r="I65" i="11"/>
  <c r="F66" i="11"/>
  <c r="G66" i="11"/>
  <c r="H66" i="11"/>
  <c r="I66" i="11"/>
  <c r="F67" i="11"/>
  <c r="G67" i="11"/>
  <c r="H67" i="11"/>
  <c r="I67" i="11"/>
  <c r="H68" i="11"/>
  <c r="I68" i="11"/>
  <c r="F71" i="11"/>
  <c r="E73" i="11"/>
  <c r="E72" i="11"/>
  <c r="E71" i="11"/>
  <c r="E70" i="11"/>
  <c r="D70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I53" i="11"/>
  <c r="I44" i="11" s="1"/>
  <c r="I37" i="11" s="1"/>
  <c r="I52" i="11"/>
  <c r="I49" i="11"/>
  <c r="H37" i="11"/>
  <c r="H44" i="11"/>
  <c r="H53" i="11"/>
  <c r="H52" i="11"/>
  <c r="H49" i="11"/>
  <c r="G37" i="11"/>
  <c r="G44" i="11"/>
  <c r="G53" i="11"/>
  <c r="G52" i="11"/>
  <c r="G49" i="11"/>
  <c r="G50" i="11"/>
  <c r="H50" i="11" s="1"/>
  <c r="I50" i="11" s="1"/>
  <c r="G51" i="11"/>
  <c r="F50" i="11"/>
  <c r="F51" i="11"/>
  <c r="H51" i="11" s="1"/>
  <c r="I51" i="11" s="1"/>
  <c r="F53" i="11"/>
  <c r="F49" i="11" s="1"/>
  <c r="F52" i="11" s="1"/>
  <c r="E49" i="11"/>
  <c r="G70" i="11" l="1"/>
  <c r="F70" i="11"/>
  <c r="F72" i="11" s="1"/>
  <c r="G72" i="11" l="1"/>
  <c r="G71" i="11"/>
  <c r="F73" i="11"/>
  <c r="G73" i="11" l="1"/>
  <c r="H71" i="11"/>
  <c r="H72" i="11" s="1"/>
  <c r="H73" i="11" l="1"/>
  <c r="I71" i="11"/>
  <c r="I72" i="11" s="1"/>
  <c r="I73" i="11" s="1"/>
  <c r="E52" i="11" l="1"/>
  <c r="E53" i="11"/>
  <c r="E50" i="11"/>
  <c r="E51" i="11"/>
  <c r="D51" i="11"/>
  <c r="F48" i="11"/>
  <c r="G48" i="11"/>
  <c r="H48" i="11"/>
  <c r="I48" i="11"/>
  <c r="E48" i="11"/>
  <c r="F45" i="11"/>
  <c r="G45" i="11"/>
  <c r="H45" i="11"/>
  <c r="I45" i="11"/>
  <c r="F46" i="11"/>
  <c r="G46" i="11"/>
  <c r="H46" i="11"/>
  <c r="I46" i="11"/>
  <c r="E46" i="11"/>
  <c r="E45" i="11"/>
  <c r="F44" i="11"/>
  <c r="E44" i="11"/>
  <c r="D44" i="11"/>
  <c r="F41" i="11"/>
  <c r="G41" i="11"/>
  <c r="H41" i="11"/>
  <c r="I41" i="11"/>
  <c r="E41" i="11"/>
  <c r="F42" i="11"/>
  <c r="G42" i="11" s="1"/>
  <c r="H42" i="11" s="1"/>
  <c r="I42" i="11" s="1"/>
  <c r="E42" i="11"/>
  <c r="F30" i="11"/>
  <c r="G30" i="11"/>
  <c r="H30" i="11"/>
  <c r="I30" i="11"/>
  <c r="E30" i="11"/>
  <c r="D28" i="11"/>
  <c r="D57" i="11" s="1"/>
  <c r="D40" i="11"/>
  <c r="C43" i="11"/>
  <c r="E24" i="11"/>
  <c r="F21" i="11"/>
  <c r="F24" i="11" s="1"/>
  <c r="G21" i="11"/>
  <c r="H21" i="11" s="1"/>
  <c r="I21" i="11" s="1"/>
  <c r="I24" i="11" s="1"/>
  <c r="E21" i="11"/>
  <c r="C35" i="14"/>
  <c r="C34" i="14"/>
  <c r="C33" i="14"/>
  <c r="C29" i="14"/>
  <c r="C28" i="14"/>
  <c r="C27" i="14"/>
  <c r="C25" i="14"/>
  <c r="C24" i="14"/>
  <c r="C23" i="14"/>
  <c r="H17" i="14"/>
  <c r="H16" i="14"/>
  <c r="H15" i="14"/>
  <c r="H14" i="14"/>
  <c r="F10" i="14"/>
  <c r="G10" i="14"/>
  <c r="H10" i="14"/>
  <c r="I10" i="14"/>
  <c r="J10" i="14"/>
  <c r="K10" i="14"/>
  <c r="L10" i="14"/>
  <c r="M10" i="14"/>
  <c r="N10" i="14"/>
  <c r="O10" i="14"/>
  <c r="E10" i="14"/>
  <c r="G45" i="8"/>
  <c r="G44" i="8"/>
  <c r="E45" i="8"/>
  <c r="E44" i="8"/>
  <c r="D45" i="8"/>
  <c r="D44" i="8"/>
  <c r="C45" i="8"/>
  <c r="C44" i="8"/>
  <c r="D40" i="8"/>
  <c r="E40" i="8"/>
  <c r="F40" i="8"/>
  <c r="G40" i="8"/>
  <c r="H40" i="8"/>
  <c r="I40" i="8"/>
  <c r="I39" i="8"/>
  <c r="H39" i="8"/>
  <c r="G39" i="8"/>
  <c r="F39" i="8"/>
  <c r="E39" i="8"/>
  <c r="D39" i="8"/>
  <c r="I38" i="8"/>
  <c r="E38" i="8"/>
  <c r="F38" i="8"/>
  <c r="G38" i="8"/>
  <c r="H38" i="8"/>
  <c r="D38" i="8"/>
  <c r="I37" i="8"/>
  <c r="D28" i="8"/>
  <c r="E28" i="8"/>
  <c r="F28" i="8"/>
  <c r="G28" i="8"/>
  <c r="H28" i="8"/>
  <c r="C28" i="8"/>
  <c r="D27" i="8"/>
  <c r="E27" i="8"/>
  <c r="F27" i="8"/>
  <c r="G27" i="8"/>
  <c r="H27" i="8"/>
  <c r="D24" i="8"/>
  <c r="D25" i="8" s="1"/>
  <c r="E24" i="8"/>
  <c r="E26" i="8" s="1"/>
  <c r="F24" i="8"/>
  <c r="F26" i="8" s="1"/>
  <c r="G24" i="8"/>
  <c r="H24" i="8"/>
  <c r="H26" i="8" s="1"/>
  <c r="G25" i="8"/>
  <c r="H25" i="8"/>
  <c r="D26" i="8"/>
  <c r="G26" i="8"/>
  <c r="C26" i="8"/>
  <c r="C27" i="8" s="1"/>
  <c r="C25" i="8"/>
  <c r="C24" i="8"/>
  <c r="E37" i="8"/>
  <c r="F37" i="8"/>
  <c r="G37" i="8"/>
  <c r="H37" i="8"/>
  <c r="D37" i="8"/>
  <c r="E36" i="8"/>
  <c r="F36" i="8"/>
  <c r="G36" i="8"/>
  <c r="H36" i="8"/>
  <c r="D36" i="8"/>
  <c r="E35" i="8"/>
  <c r="F35" i="8"/>
  <c r="G35" i="8"/>
  <c r="H35" i="8"/>
  <c r="D35" i="8"/>
  <c r="F34" i="8"/>
  <c r="G34" i="8"/>
  <c r="H34" i="8"/>
  <c r="E34" i="8"/>
  <c r="E33" i="8"/>
  <c r="F33" i="8"/>
  <c r="G33" i="8" s="1"/>
  <c r="F32" i="8"/>
  <c r="G32" i="8" s="1"/>
  <c r="E32" i="8"/>
  <c r="C6" i="8"/>
  <c r="G20" i="8"/>
  <c r="G19" i="8"/>
  <c r="G18" i="8"/>
  <c r="G17" i="8"/>
  <c r="G16" i="8"/>
  <c r="F16" i="8"/>
  <c r="F17" i="8"/>
  <c r="F18" i="8"/>
  <c r="F19" i="8"/>
  <c r="F20" i="8"/>
  <c r="E16" i="8"/>
  <c r="E17" i="8"/>
  <c r="E18" i="8"/>
  <c r="E19" i="8"/>
  <c r="E20" i="8"/>
  <c r="E15" i="8"/>
  <c r="G15" i="8"/>
  <c r="F15" i="8"/>
  <c r="C55" i="12"/>
  <c r="C62" i="12" s="1"/>
  <c r="C43" i="12"/>
  <c r="C37" i="12"/>
  <c r="D23" i="12"/>
  <c r="D24" i="12" s="1"/>
  <c r="D71" i="11"/>
  <c r="D67" i="11"/>
  <c r="D66" i="11"/>
  <c r="D65" i="11"/>
  <c r="D63" i="11"/>
  <c r="D64" i="11" s="1"/>
  <c r="D61" i="11"/>
  <c r="D60" i="11"/>
  <c r="D59" i="11"/>
  <c r="D58" i="11"/>
  <c r="D48" i="11"/>
  <c r="D30" i="11"/>
  <c r="D24" i="11"/>
  <c r="C46" i="11" s="1"/>
  <c r="D34" i="8"/>
  <c r="C34" i="8"/>
  <c r="F45" i="8"/>
  <c r="C56" i="12" l="1"/>
  <c r="I43" i="11"/>
  <c r="I28" i="11" s="1"/>
  <c r="I38" i="11"/>
  <c r="I36" i="11"/>
  <c r="F43" i="11"/>
  <c r="F28" i="11" s="1"/>
  <c r="F38" i="11"/>
  <c r="F37" i="11"/>
  <c r="F25" i="11"/>
  <c r="F26" i="11" s="1"/>
  <c r="E43" i="11"/>
  <c r="E28" i="11" s="1"/>
  <c r="H24" i="11"/>
  <c r="E26" i="11"/>
  <c r="E37" i="11"/>
  <c r="G24" i="11"/>
  <c r="C25" i="11"/>
  <c r="E25" i="11" s="1"/>
  <c r="C36" i="11"/>
  <c r="E36" i="11" s="1"/>
  <c r="F25" i="8"/>
  <c r="E25" i="8"/>
  <c r="C24" i="11"/>
  <c r="D68" i="11"/>
  <c r="C45" i="11"/>
  <c r="C27" i="11"/>
  <c r="E27" i="11" s="1"/>
  <c r="C38" i="11"/>
  <c r="E38" i="11" s="1"/>
  <c r="D26" i="11"/>
  <c r="C39" i="11"/>
  <c r="I39" i="11" s="1"/>
  <c r="C61" i="12" l="1"/>
  <c r="C60" i="12"/>
  <c r="C63" i="12" s="1"/>
  <c r="F29" i="11"/>
  <c r="F31" i="11" s="1"/>
  <c r="G43" i="11"/>
  <c r="G28" i="11" s="1"/>
  <c r="G38" i="11"/>
  <c r="G27" i="11"/>
  <c r="G36" i="11"/>
  <c r="G40" i="11" s="1"/>
  <c r="G25" i="11"/>
  <c r="G26" i="11" s="1"/>
  <c r="G29" i="11" s="1"/>
  <c r="G31" i="11" s="1"/>
  <c r="G39" i="11"/>
  <c r="I27" i="11"/>
  <c r="E39" i="11"/>
  <c r="E40" i="11" s="1"/>
  <c r="F39" i="11"/>
  <c r="F27" i="11"/>
  <c r="F36" i="11"/>
  <c r="F40" i="11" s="1"/>
  <c r="H39" i="11"/>
  <c r="H43" i="11"/>
  <c r="H28" i="11" s="1"/>
  <c r="H26" i="11"/>
  <c r="H29" i="11" s="1"/>
  <c r="H31" i="11" s="1"/>
  <c r="H38" i="11"/>
  <c r="H27" i="11"/>
  <c r="H36" i="11"/>
  <c r="H25" i="11"/>
  <c r="I25" i="11"/>
  <c r="I26" i="11" s="1"/>
  <c r="I29" i="11" s="1"/>
  <c r="I31" i="11" s="1"/>
  <c r="I40" i="11"/>
  <c r="E29" i="11"/>
  <c r="E31" i="11" s="1"/>
  <c r="C26" i="11"/>
  <c r="D29" i="11"/>
  <c r="D31" i="11" s="1"/>
  <c r="D32" i="11" s="1"/>
  <c r="G32" i="11" l="1"/>
  <c r="G33" i="11" s="1"/>
  <c r="H32" i="11"/>
  <c r="H33" i="11" s="1"/>
  <c r="I32" i="11"/>
  <c r="I33" i="11"/>
  <c r="H40" i="11"/>
  <c r="E32" i="11"/>
  <c r="E33" i="11" s="1"/>
  <c r="F32" i="11"/>
  <c r="F33" i="11" s="1"/>
  <c r="D33" i="11"/>
  <c r="D56" i="11" l="1"/>
  <c r="D62" i="11" s="1"/>
  <c r="D72" i="11" s="1"/>
  <c r="D73" i="11" s="1"/>
  <c r="D52" i="11" l="1"/>
  <c r="D53" i="11" s="1"/>
</calcChain>
</file>

<file path=xl/sharedStrings.xml><?xml version="1.0" encoding="utf-8"?>
<sst xmlns="http://schemas.openxmlformats.org/spreadsheetml/2006/main" count="265" uniqueCount="238">
  <si>
    <t>P/E</t>
  </si>
  <si>
    <t>EPS</t>
  </si>
  <si>
    <t>Working Capital</t>
  </si>
  <si>
    <t>Current beta</t>
  </si>
  <si>
    <t>Unlevered beta</t>
  </si>
  <si>
    <t>terminal growth</t>
  </si>
  <si>
    <t>tax_rate</t>
  </si>
  <si>
    <t>r_debt</t>
  </si>
  <si>
    <t>risk-free rate</t>
  </si>
  <si>
    <t>market risk prem</t>
  </si>
  <si>
    <t>MV equity</t>
  </si>
  <si>
    <t>Debt/Value</t>
  </si>
  <si>
    <t>Levered beta</t>
  </si>
  <si>
    <t>LT Debt ($M)</t>
  </si>
  <si>
    <t>Shares (million)</t>
  </si>
  <si>
    <t>Interest ($M, after tax)</t>
  </si>
  <si>
    <t>Chg Working Cap ($M)</t>
  </si>
  <si>
    <t>Depreciation ($M)</t>
  </si>
  <si>
    <t>Cap spending/share</t>
  </si>
  <si>
    <t>Capex Spending ($M)</t>
  </si>
  <si>
    <t>PV(FCFF) Firm</t>
  </si>
  <si>
    <t>PV(FCFE) Equity</t>
  </si>
  <si>
    <t>Equity (by FCFF)</t>
  </si>
  <si>
    <t>Equity (by FCFE)</t>
  </si>
  <si>
    <t>FY2023</t>
  </si>
  <si>
    <t>FY2024</t>
  </si>
  <si>
    <t>FY2025</t>
  </si>
  <si>
    <t>FY2026</t>
  </si>
  <si>
    <t>C. Discount rate</t>
  </si>
  <si>
    <t>PY2022</t>
  </si>
  <si>
    <t>Terminal Target</t>
  </si>
  <si>
    <t>Expected return</t>
  </si>
  <si>
    <t>Buy/Hold/Sell</t>
  </si>
  <si>
    <t>Terminal CFs</t>
  </si>
  <si>
    <t>Terminal rates</t>
  </si>
  <si>
    <t>Market price/shr</t>
  </si>
  <si>
    <t>Equity/shr</t>
  </si>
  <si>
    <t>Intrinsic Value</t>
  </si>
  <si>
    <t>A. Discount rate Inputs</t>
  </si>
  <si>
    <t>B. Cash Flows Input data</t>
  </si>
  <si>
    <t>D. Cash flow calculations</t>
  </si>
  <si>
    <t>E. Equity Present values</t>
  </si>
  <si>
    <t>Net Income ($M, after tax)</t>
  </si>
  <si>
    <t xml:space="preserve"> = FCFE ($M)</t>
  </si>
  <si>
    <t xml:space="preserve"> = FCFF ($M)</t>
  </si>
  <si>
    <t xml:space="preserve"> = k_equity</t>
  </si>
  <si>
    <t xml:space="preserve"> = WACC</t>
  </si>
  <si>
    <t>Required Cash</t>
  </si>
  <si>
    <t>Inventories</t>
  </si>
  <si>
    <t>Sales price per unit is expected to remain at $20/unit througout the projected years. Based on the productivity of the fixed assets and the research on customer demand</t>
  </si>
  <si>
    <t xml:space="preserve">Individual asset accounts are expected to grow at the same rate as sales. </t>
  </si>
  <si>
    <t>Depreciation can be forecasted 8% of net fixed assets since net fixed assets are expected to grow at the same rate as sales growth.</t>
  </si>
  <si>
    <t>Interest rate of the bank loan is 10% annually and the loan balance would not change throught the project years.</t>
  </si>
  <si>
    <t>Part I. Projected Financial Statement (5 years)</t>
  </si>
  <si>
    <t>Sales Projection</t>
  </si>
  <si>
    <t>Projected Sales growth (%)</t>
  </si>
  <si>
    <t>Sales Price/unit ($)</t>
  </si>
  <si>
    <t>Units sold (# thousand)</t>
  </si>
  <si>
    <t xml:space="preserve">BIOMETRIX, INC. </t>
  </si>
  <si>
    <t>Income Statements ($ in thousand)</t>
  </si>
  <si>
    <t>Sales</t>
  </si>
  <si>
    <t>(Cost of goods sold)</t>
  </si>
  <si>
    <t>(Operating expenses)</t>
  </si>
  <si>
    <t>(Depreciation)</t>
  </si>
  <si>
    <t>8% of net fixed assets</t>
  </si>
  <si>
    <t>(Interest, 10%)</t>
  </si>
  <si>
    <t>(Taxes, 40%)</t>
  </si>
  <si>
    <t>Net income</t>
  </si>
  <si>
    <t>Balance Sheets ($ in thousand)</t>
  </si>
  <si>
    <t>Excess cash</t>
  </si>
  <si>
    <t>Accounts receivable</t>
  </si>
  <si>
    <t xml:space="preserve">  Total current assets</t>
  </si>
  <si>
    <t>Gross fixed assets</t>
  </si>
  <si>
    <t>Accumulated depreciation</t>
  </si>
  <si>
    <t>Net fixed assets</t>
  </si>
  <si>
    <t xml:space="preserve">  Total assets</t>
  </si>
  <si>
    <t xml:space="preserve">Accounts payable </t>
  </si>
  <si>
    <t>Accrued liabilities</t>
  </si>
  <si>
    <t xml:space="preserve">  Total current liabilities</t>
  </si>
  <si>
    <t>AFN (New Common stock issued)</t>
  </si>
  <si>
    <t>Common stock</t>
  </si>
  <si>
    <t>Retained earnings</t>
  </si>
  <si>
    <t xml:space="preserve">  Total equity</t>
  </si>
  <si>
    <t xml:space="preserve">  Total liabilities &amp; equity</t>
  </si>
  <si>
    <t>Statements of Cash Flows ($ in thousand)</t>
  </si>
  <si>
    <t>Depreciation</t>
  </si>
  <si>
    <t>Change in accts receivable</t>
  </si>
  <si>
    <t>Change in inventories</t>
  </si>
  <si>
    <t>Change in accts payable</t>
  </si>
  <si>
    <t>Change in accrued liabilities</t>
  </si>
  <si>
    <t xml:space="preserve">  CF from operations</t>
  </si>
  <si>
    <t>Change in gross fixed assets</t>
  </si>
  <si>
    <t xml:space="preserve">  CF from investments</t>
  </si>
  <si>
    <t>Change in new common stock (AFN)</t>
  </si>
  <si>
    <t>Change in common stock</t>
  </si>
  <si>
    <t xml:space="preserve">  CF from financing</t>
  </si>
  <si>
    <t>Net change in cash</t>
  </si>
  <si>
    <t>Beginning cash</t>
  </si>
  <si>
    <t>Ending cash</t>
  </si>
  <si>
    <t>Difference from Cash on Balance Sheet</t>
  </si>
  <si>
    <t>FCFE Model ($ in thousand)</t>
  </si>
  <si>
    <t xml:space="preserve"> + Depreciation</t>
  </si>
  <si>
    <t xml:space="preserve"> - Increase in NWC</t>
  </si>
  <si>
    <t xml:space="preserve"> - Increase in CAPEX</t>
  </si>
  <si>
    <t xml:space="preserve"> + Increase in net Debt issued</t>
  </si>
  <si>
    <t>Annual change in free CF</t>
  </si>
  <si>
    <t>Total free cash flows to equity</t>
  </si>
  <si>
    <t>Number of shares outstanding (# in thousand)</t>
  </si>
  <si>
    <t xml:space="preserve">Per Share Value </t>
  </si>
  <si>
    <t xml:space="preserve">Case Study: Pedal Provider Inc, Grwoth rate and AFN. </t>
  </si>
  <si>
    <t>1. Sales Growth Rates &amp; Sales</t>
  </si>
  <si>
    <t>Revenues were $1 million with net profit of $50,000 last year when the first “mega” Petal Providers floral outlet was opened.</t>
  </si>
  <si>
    <t xml:space="preserve">Management estimates the probability of each scenario occurring to be:  rapid growth (.30); average growth (.50), and slow growth (.20).  </t>
  </si>
  <si>
    <t>Petal Providers net profit margins are also expected to vary with the level of economic activity next year.</t>
  </si>
  <si>
    <t xml:space="preserve">If slow grow occurs, the net profit margin is expected to be 5 percent.  </t>
  </si>
  <si>
    <t>Net profit margins of 7 percent and 10 percent are expected for average and rapid growth scenarios, respectively.</t>
  </si>
  <si>
    <t>Probability</t>
  </si>
  <si>
    <t>Expected growth</t>
  </si>
  <si>
    <t xml:space="preserve">Sales with rapid growth </t>
  </si>
  <si>
    <t xml:space="preserve">Sales with average growth </t>
  </si>
  <si>
    <t xml:space="preserve">Sales with slow growth </t>
  </si>
  <si>
    <t>Average sales growth rate</t>
  </si>
  <si>
    <t xml:space="preserve">Expected value sales </t>
  </si>
  <si>
    <t>2. Sustainable Sales Growth Rates</t>
  </si>
  <si>
    <t>Petal Providers Corporation, described in Problem 1, is interested in estimating its sustainable sales growth rate.</t>
  </si>
  <si>
    <t xml:space="preserve">Last year revenues were $1 million, the net profit was $50,000, the investment in assets was $750,000, payables and accruals were $100,000, </t>
  </si>
  <si>
    <t xml:space="preserve">and equity at the end of the year was $450,000 (i.e., beginning of year equity of $400,000 plus retained profits of $50,000).  </t>
  </si>
  <si>
    <t>The venture did not pay out any dividends and does not expect to pay dividends for the foreseeable future.</t>
  </si>
  <si>
    <t>Using Equity information</t>
  </si>
  <si>
    <t>($,%)</t>
  </si>
  <si>
    <t>Beginning Equity</t>
  </si>
  <si>
    <t>Ending Equity</t>
  </si>
  <si>
    <t>Sustainable sales growth rate</t>
  </si>
  <si>
    <t>Using Retention rate</t>
  </si>
  <si>
    <t>Net Income</t>
  </si>
  <si>
    <t>Retention Rate</t>
  </si>
  <si>
    <t>3. Additional Funds Needed</t>
  </si>
  <si>
    <t xml:space="preserve">Petal Providers Corporation, described in Problem 1, is interested in estimating its additional financing needs to support a rapid increase in sales next year.  </t>
  </si>
  <si>
    <t>AP and Accrued Liabilities last year</t>
  </si>
  <si>
    <t>Equity at the end of the year</t>
  </si>
  <si>
    <t>Required Increase in Assets</t>
  </si>
  <si>
    <t>Spontaneously Generated Funds</t>
  </si>
  <si>
    <t>Increase in Retained Earnings</t>
  </si>
  <si>
    <t>AFN</t>
  </si>
  <si>
    <t xml:space="preserve"> = Net income</t>
  </si>
  <si>
    <t>Cost of Equity (fixed)</t>
  </si>
  <si>
    <t>If the economy grows rapidly next year, Petal Providers expects its sales to growth by 30 percent.</t>
  </si>
  <si>
    <t xml:space="preserve">However, if the economy exhibits average growth, Petal Providers expects a sales growth of 15 percent.  </t>
  </si>
  <si>
    <t xml:space="preserve">For a slow economic growth scenario, sales are expected to grow next year at a 5 percent rate.  </t>
  </si>
  <si>
    <t>Stock Valuation. Free Cash Flow of Equity (FCFE) Model with AFN &amp; Excess Cash</t>
  </si>
  <si>
    <t xml:space="preserve">Part II. Stock Valuation by FCFE Model. </t>
  </si>
  <si>
    <t>FY2027</t>
  </si>
  <si>
    <t xml:space="preserve">The idea behind the super store concept is to model the U.S. floral industry after its European counterparts </t>
  </si>
  <si>
    <t>whose flower markets generally have larger selections at lower prices.</t>
  </si>
  <si>
    <t>The company did not pay out any dividends and does not expect to pay dividends for the foreseeable future.</t>
  </si>
  <si>
    <t xml:space="preserve">and equity at the end of the year was $450,000. </t>
  </si>
  <si>
    <t>Equity Valuation Model. Free Cash Flow of Firm (FCFF) vs. Free Cash Flow of Equity (FCFF)</t>
  </si>
  <si>
    <t>Accounts payable and accrued liabilities are also expected to grow with sales. Assume the Additional Financing Needed will be covered by new equity financing.</t>
  </si>
  <si>
    <t xml:space="preserve">the projected units sold are expected to grow 40%, 30%, 20%, 10%, 5% for each of the next five years and thereafter to a permanent growth rate of 5 percent annually. </t>
  </si>
  <si>
    <t>The Biometrix Corporation has been in operation for one full year (2022). Financial statements follow.</t>
  </si>
  <si>
    <t xml:space="preserve">Biometrix’s management is interested in determining the value of the venture as of the end of 2022, in order to sell more shares to investors. </t>
  </si>
  <si>
    <t xml:space="preserve">Biometrix’s management is interested in determining the equity value of the firm as of the end of 2022. </t>
  </si>
  <si>
    <t xml:space="preserve">The cost of goods sold and operating expenses are expected to vary with sales but will maintain with the same % of sales at 2022. </t>
  </si>
  <si>
    <t>Actual, 2022</t>
  </si>
  <si>
    <t>% of 2022 Sales</t>
  </si>
  <si>
    <t>Intrinsic Value of the Equity ($ in thousand)</t>
  </si>
  <si>
    <t>Horizon cash flow (2027)</t>
  </si>
  <si>
    <t>At that time it estimates a fixed cost of equity capital of around 15 percent. One million shares of common stock are outstanding.</t>
  </si>
  <si>
    <t>Total Asset invested (TA)</t>
  </si>
  <si>
    <t>Net Sales last year (NSo)</t>
  </si>
  <si>
    <t>Forecasted Sales (NS1)</t>
  </si>
  <si>
    <t>Change in net sales (𝛥NS)</t>
  </si>
  <si>
    <t>Net Income (NIo)</t>
  </si>
  <si>
    <t>Equity Value</t>
  </si>
  <si>
    <t xml:space="preserve"> = Gross profit</t>
  </si>
  <si>
    <t xml:space="preserve"> = EBIT</t>
  </si>
  <si>
    <t xml:space="preserve"> = EBT</t>
  </si>
  <si>
    <t>10% of Debt</t>
  </si>
  <si>
    <t>Loan payable</t>
  </si>
  <si>
    <t>Change in loan payable</t>
  </si>
  <si>
    <t>Comparables</t>
  </si>
  <si>
    <t>Simbols.</t>
  </si>
  <si>
    <t xml:space="preserve">Market Cap </t>
  </si>
  <si>
    <t>Enterprise Value</t>
  </si>
  <si>
    <t>Levered 
Beta</t>
  </si>
  <si>
    <t>Debt/Equtiy</t>
  </si>
  <si>
    <t>Tax rate</t>
  </si>
  <si>
    <t>P/E (trailing)</t>
  </si>
  <si>
    <t>P/E (forward)</t>
  </si>
  <si>
    <t>PEG ratio (5ys)</t>
  </si>
  <si>
    <t>P/S</t>
  </si>
  <si>
    <t>P/B</t>
  </si>
  <si>
    <t>EV/EBITDA</t>
  </si>
  <si>
    <t>General Electric Company</t>
  </si>
  <si>
    <t>GE</t>
  </si>
  <si>
    <t>Gamesa Corporacion</t>
  </si>
  <si>
    <t>GCTAF</t>
  </si>
  <si>
    <t>Vestas wind system</t>
  </si>
  <si>
    <t>VWDRY</t>
  </si>
  <si>
    <t>American Superconductor</t>
  </si>
  <si>
    <t>AMSC</t>
  </si>
  <si>
    <t>Nordex SE</t>
  </si>
  <si>
    <t>NRDXF</t>
  </si>
  <si>
    <t>Weighted Avg. by Market Cap</t>
  </si>
  <si>
    <t>($ million)</t>
  </si>
  <si>
    <t>Equity Value by P/S multiple</t>
  </si>
  <si>
    <t>Book Value</t>
  </si>
  <si>
    <t>Equity Value by P/B multiple</t>
  </si>
  <si>
    <t>Earnings</t>
  </si>
  <si>
    <t>Equity Value by P/E multiple (trailing)</t>
  </si>
  <si>
    <t>EBITDA</t>
  </si>
  <si>
    <t>Equity Value by EV/ EBITDA multiple</t>
  </si>
  <si>
    <t>input variables :</t>
  </si>
  <si>
    <t>The recent rate for the debt</t>
  </si>
  <si>
    <t>Target Tax rate of the firm</t>
  </si>
  <si>
    <t>Tax rate of the comparables</t>
  </si>
  <si>
    <t>Debt / Equity, the firm Target (40%/60%)</t>
  </si>
  <si>
    <t>Debt / Equity, comparables</t>
  </si>
  <si>
    <t>Beta calculation :</t>
  </si>
  <si>
    <t>Levered Beta, comparables</t>
  </si>
  <si>
    <t>Unlevered Beta of comps and the firm</t>
  </si>
  <si>
    <t>Risk free rate</t>
  </si>
  <si>
    <t>Market Rate (NYSE)</t>
  </si>
  <si>
    <t>Market Risk Premium (NYSE)</t>
  </si>
  <si>
    <t>Equity Risk Premium (ERP)</t>
  </si>
  <si>
    <t>Average T-Bill, the recent 20 years. Source.</t>
  </si>
  <si>
    <t>Equity Value  of th Firm at targeted Exit year by multiple</t>
  </si>
  <si>
    <t>The Firm at targeted year</t>
  </si>
  <si>
    <t>Cost of capital. Equity Firm</t>
  </si>
  <si>
    <t>Levered Beta of the firm with the target debt</t>
  </si>
  <si>
    <t>CAPM. Cost of  Equity:</t>
  </si>
  <si>
    <t>Equity Valuation with Relative Methods &amp; Cost of Equity.</t>
  </si>
  <si>
    <t>Cost of Equity for the firm</t>
  </si>
  <si>
    <t>Buy</t>
  </si>
  <si>
    <t>Assuming that the firm will move towards its optimal debt ratio.</t>
  </si>
  <si>
    <t>Estimate of the additional funds needed next year to support a 30 percent increase in sales</t>
  </si>
  <si>
    <t>Sustainable sales growth rate for Petal Providers based on the information provided in this problem</t>
  </si>
  <si>
    <t>Average sales growth rate and dollar amount of sales for Petal Providers for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</si>
</sst>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(* #,##0_);_(* \(#,##0\);_(* &quot;-&quot;??_);_(@_)"/>
    <numFmt numFmtId="168" formatCode="0.0%"/>
    <numFmt numFmtId="169" formatCode="_(* #,##0.0000_);_(* \(#,##0.0000\);_(* &quot;-&quot;??_);_(@_)"/>
    <numFmt numFmtId="170" formatCode="0.0000%"/>
    <numFmt numFmtId="171" formatCode="_-* #,##0.0000\ _€_-;\-* #,##0.0000\ _€_-;_-* &quot;-&quot;????\ _€_-;_-@_-"/>
    <numFmt numFmtId="172" formatCode="_(* #,##0.0_);_(* \(#,##0.0\);_(* &quot;-&quot;??_);_(@_)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  <font>
      <sz val="12"/>
      <color theme="1"/>
      <name val="Calibri"/>
      <family val="2"/>
      <scheme val="minor"/>
    </font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-Light"/>
      <family val="2"/>
    </font>
    <font>
      <b/>
      <i/>
      <sz val="14"/>
      <color theme="1"/>
      <name val="Times New Roman"/>
      <family val="1"/>
    </font>
    <font>
      <u/>
      <sz val="12"/>
      <name val="Times New Roman"/>
      <family val="1"/>
    </font>
    <font>
      <u/>
      <sz val="12"/>
      <color theme="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u val="singleAccounting"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8"/>
      <color theme="4" tint="-0.499984740745262"/>
      <name val="Times New Roman"/>
      <family val="1"/>
    </font>
    <font>
      <sz val="12"/>
      <color theme="6" tint="-0.499984740745262"/>
      <name val="Times New Roman"/>
      <family val="1"/>
    </font>
    <font>
      <b/>
      <sz val="18"/>
      <color theme="6" tint="-0.499984740745262"/>
      <name val="Times New Roman"/>
      <family val="1"/>
    </font>
    <font>
      <b/>
      <sz val="12"/>
      <color rgb="FFC00000"/>
      <name val="Times New Roman"/>
      <family val="1"/>
    </font>
    <font>
      <sz val="12"/>
      <color theme="9" tint="-0.499984740745262"/>
      <name val="Times New Roman"/>
      <family val="1"/>
    </font>
    <font>
      <b/>
      <sz val="18"/>
      <color theme="9" tint="-0.499984740745262"/>
      <name val="Times New Roman"/>
      <family val="1"/>
    </font>
    <font>
      <sz val="13"/>
      <color rgb="FF000000"/>
      <name val="Times New Roman"/>
      <family val="1"/>
    </font>
    <font>
      <sz val="12"/>
      <color theme="9" tint="0.79998168889431442"/>
      <name val="Times New Roman"/>
      <family val="1"/>
    </font>
    <font>
      <b/>
      <sz val="18"/>
      <color theme="5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/>
    <xf numFmtId="0" fontId="1" fillId="0" borderId="0"/>
    <xf numFmtId="0" fontId="3" fillId="0" borderId="0"/>
    <xf numFmtId="0" fontId="4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4">
    <xf numFmtId="0" fontId="0" fillId="0" borderId="0" xfId="0"/>
    <xf numFmtId="0" fontId="6" fillId="0" borderId="0" xfId="0" applyFont="1"/>
    <xf numFmtId="1" fontId="6" fillId="0" borderId="0" xfId="0" applyNumberFormat="1" applyFont="1"/>
    <xf numFmtId="1" fontId="6" fillId="0" borderId="0" xfId="0" quotePrefix="1" applyNumberFormat="1" applyFont="1"/>
    <xf numFmtId="0" fontId="7" fillId="0" borderId="0" xfId="0" applyFont="1"/>
    <xf numFmtId="165" fontId="6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166" fontId="9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1" fontId="9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1" fontId="8" fillId="0" borderId="1" xfId="0" applyNumberFormat="1" applyFont="1" applyBorder="1" applyAlignment="1">
      <alignment vertical="center"/>
    </xf>
    <xf numFmtId="1" fontId="9" fillId="0" borderId="0" xfId="0" quotePrefix="1" applyNumberFormat="1" applyFont="1" applyAlignment="1">
      <alignment vertical="center"/>
    </xf>
    <xf numFmtId="1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165" fontId="9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/>
    </xf>
    <xf numFmtId="165" fontId="11" fillId="0" borderId="0" xfId="0" applyNumberFormat="1" applyFont="1" applyAlignment="1">
      <alignment vertical="center"/>
    </xf>
    <xf numFmtId="167" fontId="9" fillId="0" borderId="0" xfId="4" applyNumberFormat="1" applyFont="1" applyAlignment="1">
      <alignment vertical="center"/>
    </xf>
    <xf numFmtId="166" fontId="8" fillId="0" borderId="1" xfId="0" applyNumberFormat="1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10" fontId="9" fillId="0" borderId="0" xfId="5" applyNumberFormat="1" applyFont="1" applyAlignment="1">
      <alignment vertical="center"/>
    </xf>
    <xf numFmtId="2" fontId="9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167" fontId="9" fillId="0" borderId="1" xfId="4" applyNumberFormat="1" applyFont="1" applyBorder="1" applyAlignment="1">
      <alignment vertical="center"/>
    </xf>
    <xf numFmtId="164" fontId="9" fillId="0" borderId="0" xfId="4" applyFont="1" applyAlignment="1">
      <alignment vertical="center"/>
    </xf>
    <xf numFmtId="167" fontId="9" fillId="2" borderId="0" xfId="4" applyNumberFormat="1" applyFont="1" applyFill="1" applyAlignment="1">
      <alignment vertical="center"/>
    </xf>
    <xf numFmtId="167" fontId="9" fillId="2" borderId="1" xfId="4" applyNumberFormat="1" applyFont="1" applyFill="1" applyBorder="1" applyAlignment="1">
      <alignment vertical="center"/>
    </xf>
    <xf numFmtId="167" fontId="11" fillId="0" borderId="1" xfId="4" applyNumberFormat="1" applyFont="1" applyBorder="1" applyAlignment="1">
      <alignment vertical="center"/>
    </xf>
    <xf numFmtId="2" fontId="11" fillId="0" borderId="0" xfId="0" applyNumberFormat="1" applyFont="1" applyAlignment="1">
      <alignment vertical="center"/>
    </xf>
    <xf numFmtId="167" fontId="9" fillId="2" borderId="0" xfId="4" applyNumberFormat="1" applyFont="1" applyFill="1" applyAlignment="1">
      <alignment horizontal="right" vertical="center"/>
    </xf>
    <xf numFmtId="167" fontId="9" fillId="2" borderId="1" xfId="4" applyNumberFormat="1" applyFont="1" applyFill="1" applyBorder="1" applyAlignment="1">
      <alignment horizontal="right" vertical="center"/>
    </xf>
    <xf numFmtId="166" fontId="8" fillId="0" borderId="2" xfId="0" applyNumberFormat="1" applyFont="1" applyBorder="1" applyAlignment="1">
      <alignment horizontal="right" vertical="center"/>
    </xf>
    <xf numFmtId="164" fontId="9" fillId="2" borderId="3" xfId="4" applyFont="1" applyFill="1" applyBorder="1" applyAlignment="1">
      <alignment vertical="center"/>
    </xf>
    <xf numFmtId="164" fontId="9" fillId="2" borderId="4" xfId="4" applyFont="1" applyFill="1" applyBorder="1" applyAlignment="1">
      <alignment vertical="center"/>
    </xf>
    <xf numFmtId="0" fontId="11" fillId="0" borderId="2" xfId="0" applyFont="1" applyBorder="1" applyAlignment="1">
      <alignment horizontal="right" vertical="center"/>
    </xf>
    <xf numFmtId="167" fontId="9" fillId="0" borderId="3" xfId="4" applyNumberFormat="1" applyFont="1" applyBorder="1" applyAlignment="1">
      <alignment vertical="center"/>
    </xf>
    <xf numFmtId="167" fontId="9" fillId="0" borderId="4" xfId="4" applyNumberFormat="1" applyFont="1" applyBorder="1" applyAlignment="1">
      <alignment vertical="center"/>
    </xf>
    <xf numFmtId="10" fontId="9" fillId="2" borderId="3" xfId="5" applyNumberFormat="1" applyFont="1" applyFill="1" applyBorder="1" applyAlignment="1">
      <alignment vertical="center"/>
    </xf>
    <xf numFmtId="10" fontId="9" fillId="2" borderId="4" xfId="5" applyNumberFormat="1" applyFont="1" applyFill="1" applyBorder="1" applyAlignment="1">
      <alignment vertical="center"/>
    </xf>
    <xf numFmtId="0" fontId="9" fillId="2" borderId="3" xfId="0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right" vertical="center"/>
    </xf>
    <xf numFmtId="0" fontId="9" fillId="0" borderId="0" xfId="7" applyFont="1"/>
    <xf numFmtId="169" fontId="9" fillId="0" borderId="0" xfId="4" applyNumberFormat="1" applyFont="1" applyAlignment="1">
      <alignment vertical="center"/>
    </xf>
    <xf numFmtId="169" fontId="9" fillId="2" borderId="0" xfId="4" applyNumberFormat="1" applyFont="1" applyFill="1" applyAlignment="1">
      <alignment vertical="center"/>
    </xf>
    <xf numFmtId="169" fontId="9" fillId="2" borderId="1" xfId="4" applyNumberFormat="1" applyFont="1" applyFill="1" applyBorder="1" applyAlignment="1">
      <alignment vertical="center"/>
    </xf>
    <xf numFmtId="167" fontId="11" fillId="0" borderId="0" xfId="6" applyNumberFormat="1" applyFont="1" applyAlignment="1">
      <alignment vertical="center"/>
    </xf>
    <xf numFmtId="167" fontId="11" fillId="0" borderId="1" xfId="6" applyNumberFormat="1" applyFont="1" applyBorder="1" applyAlignment="1">
      <alignment horizontal="right" vertical="center"/>
    </xf>
    <xf numFmtId="167" fontId="13" fillId="0" borderId="0" xfId="6" applyNumberFormat="1" applyFont="1" applyAlignment="1">
      <alignment vertical="center"/>
    </xf>
    <xf numFmtId="167" fontId="11" fillId="0" borderId="1" xfId="6" applyNumberFormat="1" applyFont="1" applyBorder="1" applyAlignment="1">
      <alignment vertical="center"/>
    </xf>
    <xf numFmtId="167" fontId="9" fillId="0" borderId="1" xfId="6" applyNumberFormat="1" applyFont="1" applyBorder="1" applyAlignment="1">
      <alignment vertical="center"/>
    </xf>
    <xf numFmtId="9" fontId="9" fillId="4" borderId="1" xfId="8" applyFont="1" applyFill="1" applyBorder="1" applyAlignment="1">
      <alignment vertical="center"/>
    </xf>
    <xf numFmtId="167" fontId="9" fillId="4" borderId="1" xfId="6" applyNumberFormat="1" applyFont="1" applyFill="1" applyBorder="1" applyAlignment="1">
      <alignment vertical="center"/>
    </xf>
    <xf numFmtId="167" fontId="18" fillId="0" borderId="0" xfId="6" applyNumberFormat="1" applyFont="1" applyAlignment="1">
      <alignment vertical="center"/>
    </xf>
    <xf numFmtId="167" fontId="18" fillId="4" borderId="0" xfId="6" applyNumberFormat="1" applyFont="1" applyFill="1" applyAlignment="1">
      <alignment vertical="center"/>
    </xf>
    <xf numFmtId="0" fontId="9" fillId="0" borderId="0" xfId="7" applyFont="1" applyAlignment="1">
      <alignment vertical="center"/>
    </xf>
    <xf numFmtId="0" fontId="10" fillId="0" borderId="0" xfId="7" applyFont="1" applyAlignment="1">
      <alignment horizontal="right" vertical="center"/>
    </xf>
    <xf numFmtId="0" fontId="9" fillId="0" borderId="0" xfId="7" applyFont="1" applyAlignment="1">
      <alignment horizontal="right" vertical="center"/>
    </xf>
    <xf numFmtId="167" fontId="9" fillId="0" borderId="0" xfId="6" applyNumberFormat="1" applyFont="1" applyAlignment="1">
      <alignment horizontal="right" vertical="center"/>
    </xf>
    <xf numFmtId="0" fontId="13" fillId="0" borderId="1" xfId="7" applyFont="1" applyBorder="1" applyAlignment="1">
      <alignment vertical="center"/>
    </xf>
    <xf numFmtId="0" fontId="9" fillId="0" borderId="1" xfId="7" applyFont="1" applyBorder="1" applyAlignment="1">
      <alignment horizontal="right" vertical="center"/>
    </xf>
    <xf numFmtId="167" fontId="9" fillId="0" borderId="1" xfId="6" applyNumberFormat="1" applyFont="1" applyBorder="1" applyAlignment="1">
      <alignment horizontal="right" vertical="center"/>
    </xf>
    <xf numFmtId="0" fontId="13" fillId="0" borderId="0" xfId="7" applyFont="1" applyAlignment="1">
      <alignment vertical="center"/>
    </xf>
    <xf numFmtId="167" fontId="9" fillId="0" borderId="0" xfId="6" applyNumberFormat="1" applyFont="1" applyBorder="1" applyAlignment="1">
      <alignment horizontal="right" vertical="center"/>
    </xf>
    <xf numFmtId="0" fontId="8" fillId="0" borderId="0" xfId="7" applyFont="1" applyAlignment="1">
      <alignment vertical="center"/>
    </xf>
    <xf numFmtId="0" fontId="8" fillId="0" borderId="1" xfId="7" applyFont="1" applyBorder="1" applyAlignment="1">
      <alignment horizontal="right" vertical="center"/>
    </xf>
    <xf numFmtId="0" fontId="10" fillId="0" borderId="1" xfId="7" applyFont="1" applyBorder="1" applyAlignment="1">
      <alignment horizontal="right" vertical="center"/>
    </xf>
    <xf numFmtId="0" fontId="16" fillId="0" borderId="0" xfId="7" applyFont="1" applyAlignment="1">
      <alignment vertical="center"/>
    </xf>
    <xf numFmtId="167" fontId="10" fillId="0" borderId="0" xfId="6" applyNumberFormat="1" applyFont="1" applyFill="1" applyBorder="1" applyAlignment="1">
      <alignment horizontal="right" vertical="center"/>
    </xf>
    <xf numFmtId="167" fontId="9" fillId="0" borderId="0" xfId="6" applyNumberFormat="1" applyFont="1" applyFill="1" applyBorder="1" applyAlignment="1">
      <alignment horizontal="right" vertical="center"/>
    </xf>
    <xf numFmtId="0" fontId="16" fillId="0" borderId="1" xfId="7" applyFont="1" applyBorder="1" applyAlignment="1">
      <alignment vertical="center"/>
    </xf>
    <xf numFmtId="167" fontId="9" fillId="0" borderId="0" xfId="6" applyNumberFormat="1" applyFont="1" applyFill="1" applyAlignment="1">
      <alignment horizontal="right" vertical="center"/>
    </xf>
    <xf numFmtId="0" fontId="15" fillId="0" borderId="0" xfId="7" applyFont="1" applyAlignment="1">
      <alignment vertical="center"/>
    </xf>
    <xf numFmtId="167" fontId="14" fillId="0" borderId="0" xfId="6" applyNumberFormat="1" applyFont="1" applyFill="1" applyAlignment="1">
      <alignment horizontal="right" vertical="center"/>
    </xf>
    <xf numFmtId="0" fontId="15" fillId="0" borderId="0" xfId="7" applyFont="1" applyAlignment="1">
      <alignment horizontal="right" vertical="center"/>
    </xf>
    <xf numFmtId="0" fontId="17" fillId="0" borderId="0" xfId="7" applyFont="1" applyAlignment="1">
      <alignment vertical="center"/>
    </xf>
    <xf numFmtId="168" fontId="9" fillId="0" borderId="0" xfId="8" applyNumberFormat="1" applyFont="1" applyFill="1" applyAlignment="1">
      <alignment horizontal="right" vertical="center"/>
    </xf>
    <xf numFmtId="168" fontId="15" fillId="0" borderId="0" xfId="8" applyNumberFormat="1" applyFont="1" applyFill="1" applyAlignment="1">
      <alignment horizontal="right" vertical="center"/>
    </xf>
    <xf numFmtId="168" fontId="8" fillId="0" borderId="0" xfId="8" applyNumberFormat="1" applyFont="1" applyFill="1" applyAlignment="1">
      <alignment horizontal="right" vertical="center"/>
    </xf>
    <xf numFmtId="167" fontId="8" fillId="0" borderId="0" xfId="6" applyNumberFormat="1" applyFont="1" applyFill="1" applyAlignment="1">
      <alignment horizontal="right" vertical="center"/>
    </xf>
    <xf numFmtId="0" fontId="8" fillId="0" borderId="0" xfId="7" applyFont="1" applyAlignment="1">
      <alignment horizontal="right" vertical="center"/>
    </xf>
    <xf numFmtId="167" fontId="15" fillId="0" borderId="0" xfId="6" applyNumberFormat="1" applyFont="1" applyFill="1" applyAlignment="1">
      <alignment horizontal="right" vertical="center"/>
    </xf>
    <xf numFmtId="0" fontId="11" fillId="0" borderId="0" xfId="7" applyFont="1" applyAlignment="1">
      <alignment vertical="center"/>
    </xf>
    <xf numFmtId="0" fontId="11" fillId="0" borderId="0" xfId="7" applyFont="1" applyAlignment="1">
      <alignment horizontal="right" vertical="center"/>
    </xf>
    <xf numFmtId="167" fontId="11" fillId="0" borderId="0" xfId="6" applyNumberFormat="1" applyFont="1" applyFill="1" applyAlignment="1">
      <alignment horizontal="right" vertical="center"/>
    </xf>
    <xf numFmtId="0" fontId="19" fillId="0" borderId="0" xfId="7" applyFont="1" applyAlignment="1">
      <alignment vertical="center"/>
    </xf>
    <xf numFmtId="0" fontId="19" fillId="0" borderId="0" xfId="7" applyFont="1" applyAlignment="1">
      <alignment horizontal="right" vertical="center"/>
    </xf>
    <xf numFmtId="167" fontId="19" fillId="0" borderId="0" xfId="6" applyNumberFormat="1" applyFont="1" applyFill="1" applyAlignment="1">
      <alignment horizontal="right" vertical="center"/>
    </xf>
    <xf numFmtId="167" fontId="9" fillId="0" borderId="1" xfId="6" applyNumberFormat="1" applyFont="1" applyFill="1" applyBorder="1" applyAlignment="1">
      <alignment horizontal="right" vertical="center"/>
    </xf>
    <xf numFmtId="0" fontId="9" fillId="0" borderId="1" xfId="7" applyFont="1" applyBorder="1" applyAlignment="1">
      <alignment vertical="center"/>
    </xf>
    <xf numFmtId="167" fontId="11" fillId="0" borderId="0" xfId="6" applyNumberFormat="1" applyFont="1" applyBorder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1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7" fillId="0" borderId="1" xfId="2" applyFont="1" applyBorder="1" applyAlignment="1">
      <alignment vertical="center"/>
    </xf>
    <xf numFmtId="0" fontId="22" fillId="0" borderId="0" xfId="0" applyFont="1" applyAlignment="1">
      <alignment vertical="center"/>
    </xf>
    <xf numFmtId="167" fontId="9" fillId="3" borderId="0" xfId="6" applyNumberFormat="1" applyFont="1" applyFill="1" applyAlignment="1">
      <alignment horizontal="right" vertical="center"/>
    </xf>
    <xf numFmtId="167" fontId="15" fillId="3" borderId="0" xfId="6" applyNumberFormat="1" applyFont="1" applyFill="1" applyAlignment="1">
      <alignment horizontal="right" vertical="center"/>
    </xf>
    <xf numFmtId="167" fontId="9" fillId="3" borderId="1" xfId="6" applyNumberFormat="1" applyFont="1" applyFill="1" applyBorder="1" applyAlignment="1">
      <alignment horizontal="right" vertical="center"/>
    </xf>
    <xf numFmtId="167" fontId="11" fillId="3" borderId="0" xfId="6" applyNumberFormat="1" applyFont="1" applyFill="1" applyBorder="1" applyAlignment="1">
      <alignment horizontal="right" vertical="center"/>
    </xf>
    <xf numFmtId="9" fontId="11" fillId="3" borderId="0" xfId="8" applyFont="1" applyFill="1" applyAlignment="1">
      <alignment horizontal="right" vertical="center"/>
    </xf>
    <xf numFmtId="167" fontId="8" fillId="3" borderId="0" xfId="6" applyNumberFormat="1" applyFont="1" applyFill="1" applyBorder="1" applyAlignment="1">
      <alignment horizontal="right" vertical="center"/>
    </xf>
    <xf numFmtId="164" fontId="8" fillId="3" borderId="0" xfId="6" applyFont="1" applyFill="1" applyBorder="1" applyAlignment="1">
      <alignment horizontal="right" vertical="center"/>
    </xf>
    <xf numFmtId="167" fontId="11" fillId="3" borderId="0" xfId="6" applyNumberFormat="1" applyFont="1" applyFill="1" applyAlignment="1">
      <alignment horizontal="right" vertical="center"/>
    </xf>
    <xf numFmtId="167" fontId="19" fillId="3" borderId="0" xfId="6" applyNumberFormat="1" applyFont="1" applyFill="1" applyAlignment="1">
      <alignment horizontal="right" vertical="center"/>
    </xf>
    <xf numFmtId="167" fontId="8" fillId="3" borderId="0" xfId="6" applyNumberFormat="1" applyFont="1" applyFill="1" applyAlignment="1">
      <alignment horizontal="right" vertical="center"/>
    </xf>
    <xf numFmtId="167" fontId="14" fillId="3" borderId="0" xfId="6" applyNumberFormat="1" applyFont="1" applyFill="1" applyAlignment="1">
      <alignment horizontal="right" vertical="center"/>
    </xf>
    <xf numFmtId="168" fontId="9" fillId="3" borderId="0" xfId="7" applyNumberFormat="1" applyFont="1" applyFill="1" applyAlignment="1">
      <alignment horizontal="right" vertical="center"/>
    </xf>
    <xf numFmtId="168" fontId="9" fillId="3" borderId="0" xfId="8" applyNumberFormat="1" applyFont="1" applyFill="1" applyAlignment="1">
      <alignment horizontal="right" vertical="center"/>
    </xf>
    <xf numFmtId="168" fontId="15" fillId="3" borderId="0" xfId="8" applyNumberFormat="1" applyFont="1" applyFill="1" applyAlignment="1">
      <alignment horizontal="right" vertical="center"/>
    </xf>
    <xf numFmtId="168" fontId="9" fillId="3" borderId="1" xfId="7" applyNumberFormat="1" applyFont="1" applyFill="1" applyBorder="1" applyAlignment="1">
      <alignment horizontal="right" vertical="center"/>
    </xf>
    <xf numFmtId="9" fontId="9" fillId="3" borderId="1" xfId="7" applyNumberFormat="1" applyFont="1" applyFill="1" applyBorder="1" applyAlignment="1">
      <alignment horizontal="right" vertical="center"/>
    </xf>
    <xf numFmtId="167" fontId="10" fillId="3" borderId="0" xfId="6" applyNumberFormat="1" applyFont="1" applyFill="1" applyBorder="1" applyAlignment="1">
      <alignment horizontal="right" vertical="center"/>
    </xf>
    <xf numFmtId="167" fontId="9" fillId="3" borderId="0" xfId="6" applyNumberFormat="1" applyFont="1" applyFill="1" applyBorder="1" applyAlignment="1">
      <alignment horizontal="right" vertical="center"/>
    </xf>
    <xf numFmtId="0" fontId="23" fillId="0" borderId="0" xfId="7" applyFont="1" applyAlignment="1">
      <alignment vertical="center"/>
    </xf>
    <xf numFmtId="0" fontId="24" fillId="0" borderId="0" xfId="7" applyFont="1" applyAlignment="1">
      <alignment vertical="center"/>
    </xf>
    <xf numFmtId="0" fontId="24" fillId="0" borderId="0" xfId="7" applyFont="1" applyAlignment="1">
      <alignment horizontal="right" vertical="center"/>
    </xf>
    <xf numFmtId="0" fontId="25" fillId="0" borderId="1" xfId="0" applyFont="1" applyBorder="1" applyAlignment="1">
      <alignment horizontal="right" vertical="center"/>
    </xf>
    <xf numFmtId="1" fontId="25" fillId="0" borderId="1" xfId="0" applyNumberFormat="1" applyFont="1" applyBorder="1" applyAlignment="1">
      <alignment horizontal="right" vertical="center"/>
    </xf>
    <xf numFmtId="170" fontId="11" fillId="2" borderId="0" xfId="5" applyNumberFormat="1" applyFont="1" applyFill="1" applyAlignment="1">
      <alignment vertical="center"/>
    </xf>
    <xf numFmtId="167" fontId="26" fillId="0" borderId="0" xfId="6" applyNumberFormat="1" applyFont="1" applyFill="1" applyAlignment="1">
      <alignment vertical="center"/>
    </xf>
    <xf numFmtId="167" fontId="9" fillId="0" borderId="0" xfId="6" applyNumberFormat="1" applyFont="1" applyAlignment="1">
      <alignment vertical="center"/>
    </xf>
    <xf numFmtId="167" fontId="9" fillId="0" borderId="0" xfId="6" applyNumberFormat="1" applyFont="1" applyBorder="1" applyAlignment="1">
      <alignment vertical="center"/>
    </xf>
    <xf numFmtId="9" fontId="9" fillId="4" borderId="0" xfId="8" applyFont="1" applyFill="1" applyAlignment="1">
      <alignment vertical="center"/>
    </xf>
    <xf numFmtId="167" fontId="9" fillId="4" borderId="0" xfId="6" applyNumberFormat="1" applyFont="1" applyFill="1" applyAlignment="1">
      <alignment vertical="center"/>
    </xf>
    <xf numFmtId="10" fontId="9" fillId="4" borderId="0" xfId="8" applyNumberFormat="1" applyFont="1" applyFill="1" applyAlignment="1">
      <alignment vertical="center"/>
    </xf>
    <xf numFmtId="167" fontId="9" fillId="4" borderId="0" xfId="6" applyNumberFormat="1" applyFont="1" applyFill="1" applyBorder="1" applyAlignment="1">
      <alignment vertical="center"/>
    </xf>
    <xf numFmtId="167" fontId="11" fillId="4" borderId="0" xfId="6" applyNumberFormat="1" applyFont="1" applyFill="1" applyAlignment="1">
      <alignment vertical="center"/>
    </xf>
    <xf numFmtId="167" fontId="11" fillId="4" borderId="1" xfId="6" applyNumberFormat="1" applyFont="1" applyFill="1" applyBorder="1" applyAlignment="1">
      <alignment vertical="center"/>
    </xf>
    <xf numFmtId="167" fontId="27" fillId="0" borderId="0" xfId="6" applyNumberFormat="1" applyFont="1" applyFill="1" applyAlignment="1">
      <alignment vertical="center"/>
    </xf>
    <xf numFmtId="0" fontId="9" fillId="0" borderId="0" xfId="0" applyFont="1"/>
    <xf numFmtId="164" fontId="9" fillId="2" borderId="0" xfId="4" applyFont="1" applyFill="1" applyAlignment="1">
      <alignment vertical="center"/>
    </xf>
    <xf numFmtId="0" fontId="9" fillId="0" borderId="0" xfId="0" applyFont="1" applyAlignment="1">
      <alignment horizontal="left" vertical="center"/>
    </xf>
    <xf numFmtId="1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left" vertical="center"/>
    </xf>
    <xf numFmtId="167" fontId="9" fillId="0" borderId="0" xfId="4" applyNumberFormat="1" applyFont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17" fillId="0" borderId="0" xfId="7" applyFont="1" applyAlignment="1">
      <alignment horizontal="right" vertical="center"/>
    </xf>
    <xf numFmtId="167" fontId="17" fillId="0" borderId="0" xfId="6" applyNumberFormat="1" applyFont="1" applyFill="1" applyAlignment="1">
      <alignment horizontal="right" vertical="center"/>
    </xf>
    <xf numFmtId="167" fontId="17" fillId="3" borderId="0" xfId="6" applyNumberFormat="1" applyFont="1" applyFill="1" applyAlignment="1">
      <alignment horizontal="right" vertical="center"/>
    </xf>
    <xf numFmtId="0" fontId="20" fillId="0" borderId="0" xfId="7" applyFont="1" applyAlignment="1">
      <alignment vertical="center"/>
    </xf>
    <xf numFmtId="0" fontId="20" fillId="0" borderId="0" xfId="7" applyFont="1" applyAlignment="1">
      <alignment horizontal="right" vertical="center"/>
    </xf>
    <xf numFmtId="167" fontId="20" fillId="0" borderId="0" xfId="6" applyNumberFormat="1" applyFont="1" applyFill="1" applyAlignment="1">
      <alignment horizontal="right" vertical="center"/>
    </xf>
    <xf numFmtId="167" fontId="20" fillId="3" borderId="0" xfId="6" applyNumberFormat="1" applyFont="1" applyFill="1" applyAlignment="1">
      <alignment horizontal="right" vertical="center"/>
    </xf>
    <xf numFmtId="0" fontId="9" fillId="0" borderId="0" xfId="7" applyFont="1" applyAlignment="1">
      <alignment horizontal="left" vertical="center"/>
    </xf>
    <xf numFmtId="167" fontId="9" fillId="0" borderId="0" xfId="6" applyNumberFormat="1" applyFont="1" applyAlignment="1">
      <alignment horizontal="left" vertical="center"/>
    </xf>
    <xf numFmtId="168" fontId="17" fillId="0" borderId="0" xfId="8" applyNumberFormat="1" applyFont="1" applyFill="1" applyAlignment="1">
      <alignment horizontal="right" vertical="center"/>
    </xf>
    <xf numFmtId="0" fontId="17" fillId="0" borderId="0" xfId="2" applyFont="1" applyAlignment="1">
      <alignment wrapText="1"/>
    </xf>
    <xf numFmtId="0" fontId="9" fillId="0" borderId="8" xfId="2" applyFont="1" applyBorder="1" applyAlignment="1">
      <alignment vertical="center"/>
    </xf>
    <xf numFmtId="43" fontId="9" fillId="0" borderId="8" xfId="12" applyFont="1" applyBorder="1" applyAlignment="1">
      <alignment vertical="center"/>
    </xf>
    <xf numFmtId="9" fontId="9" fillId="0" borderId="8" xfId="2" applyNumberFormat="1" applyFont="1" applyBorder="1" applyAlignment="1">
      <alignment vertical="center"/>
    </xf>
    <xf numFmtId="0" fontId="21" fillId="0" borderId="0" xfId="2" applyFont="1" applyAlignment="1">
      <alignment vertical="center"/>
    </xf>
    <xf numFmtId="43" fontId="9" fillId="0" borderId="0" xfId="12" applyFont="1" applyBorder="1" applyAlignment="1">
      <alignment vertical="center"/>
    </xf>
    <xf numFmtId="9" fontId="9" fillId="0" borderId="0" xfId="2" applyNumberFormat="1" applyFont="1" applyAlignment="1">
      <alignment vertical="center"/>
    </xf>
    <xf numFmtId="0" fontId="28" fillId="0" borderId="0" xfId="2" applyFont="1" applyAlignment="1">
      <alignment vertical="center"/>
    </xf>
    <xf numFmtId="43" fontId="9" fillId="0" borderId="1" xfId="12" applyFont="1" applyBorder="1" applyAlignment="1">
      <alignment vertical="center"/>
    </xf>
    <xf numFmtId="9" fontId="9" fillId="0" borderId="1" xfId="2" applyNumberFormat="1" applyFont="1" applyBorder="1" applyAlignment="1">
      <alignment vertical="center"/>
    </xf>
    <xf numFmtId="0" fontId="11" fillId="0" borderId="0" xfId="2" applyFont="1" applyAlignment="1">
      <alignment vertical="center"/>
    </xf>
    <xf numFmtId="2" fontId="11" fillId="0" borderId="0" xfId="2" applyNumberFormat="1" applyFont="1" applyAlignment="1">
      <alignment vertical="center"/>
    </xf>
    <xf numFmtId="2" fontId="11" fillId="4" borderId="0" xfId="2" applyNumberFormat="1" applyFont="1" applyFill="1" applyAlignment="1">
      <alignment vertical="center"/>
    </xf>
    <xf numFmtId="168" fontId="11" fillId="4" borderId="0" xfId="11" applyNumberFormat="1" applyFont="1" applyFill="1" applyBorder="1" applyAlignment="1">
      <alignment vertical="center"/>
    </xf>
    <xf numFmtId="0" fontId="9" fillId="0" borderId="6" xfId="2" applyFont="1" applyBorder="1" applyAlignment="1">
      <alignment horizontal="right" vertical="center"/>
    </xf>
    <xf numFmtId="0" fontId="9" fillId="0" borderId="1" xfId="2" applyFont="1" applyBorder="1" applyAlignment="1">
      <alignment horizontal="right" vertical="center"/>
    </xf>
    <xf numFmtId="164" fontId="9" fillId="0" borderId="5" xfId="9" applyFont="1" applyFill="1" applyBorder="1" applyAlignment="1">
      <alignment vertical="center"/>
    </xf>
    <xf numFmtId="164" fontId="9" fillId="4" borderId="0" xfId="9" applyFont="1" applyFill="1" applyBorder="1" applyAlignment="1">
      <alignment vertical="center"/>
    </xf>
    <xf numFmtId="164" fontId="9" fillId="4" borderId="0" xfId="2" applyNumberFormat="1" applyFont="1" applyFill="1" applyAlignment="1">
      <alignment vertical="center"/>
    </xf>
    <xf numFmtId="0" fontId="17" fillId="0" borderId="0" xfId="2" applyFont="1" applyAlignment="1">
      <alignment vertical="center"/>
    </xf>
    <xf numFmtId="0" fontId="16" fillId="0" borderId="0" xfId="1" applyFont="1"/>
    <xf numFmtId="168" fontId="9" fillId="0" borderId="0" xfId="2" applyNumberFormat="1" applyFont="1" applyAlignment="1">
      <alignment vertical="center"/>
    </xf>
    <xf numFmtId="168" fontId="9" fillId="4" borderId="0" xfId="2" applyNumberFormat="1" applyFont="1" applyFill="1" applyAlignment="1">
      <alignment vertical="center"/>
    </xf>
    <xf numFmtId="0" fontId="10" fillId="0" borderId="0" xfId="1" applyFont="1"/>
    <xf numFmtId="0" fontId="9" fillId="0" borderId="0" xfId="2" applyFont="1" applyAlignment="1">
      <alignment vertical="center" wrapText="1"/>
    </xf>
    <xf numFmtId="0" fontId="9" fillId="0" borderId="1" xfId="2" applyFont="1" applyBorder="1" applyAlignment="1">
      <alignment vertical="center" wrapText="1"/>
    </xf>
    <xf numFmtId="164" fontId="9" fillId="4" borderId="1" xfId="9" applyFont="1" applyFill="1" applyBorder="1" applyAlignment="1">
      <alignment vertical="center"/>
    </xf>
    <xf numFmtId="0" fontId="17" fillId="0" borderId="0" xfId="2" applyFont="1" applyAlignment="1">
      <alignment vertical="center" wrapText="1"/>
    </xf>
    <xf numFmtId="168" fontId="9" fillId="0" borderId="0" xfId="11" applyNumberFormat="1" applyFont="1" applyFill="1" applyBorder="1" applyAlignment="1">
      <alignment vertical="center"/>
    </xf>
    <xf numFmtId="3" fontId="9" fillId="0" borderId="0" xfId="2" applyNumberFormat="1" applyFont="1" applyAlignment="1">
      <alignment vertical="center"/>
    </xf>
    <xf numFmtId="0" fontId="29" fillId="0" borderId="0" xfId="2" applyFont="1" applyAlignment="1">
      <alignment vertical="center"/>
    </xf>
    <xf numFmtId="168" fontId="9" fillId="4" borderId="0" xfId="11" applyNumberFormat="1" applyFont="1" applyFill="1" applyBorder="1" applyAlignment="1">
      <alignment vertical="center"/>
    </xf>
    <xf numFmtId="0" fontId="11" fillId="0" borderId="1" xfId="2" applyFont="1" applyBorder="1" applyAlignment="1">
      <alignment wrapText="1"/>
    </xf>
    <xf numFmtId="0" fontId="11" fillId="0" borderId="1" xfId="2" applyFont="1" applyBorder="1" applyAlignment="1">
      <alignment horizontal="right" wrapText="1"/>
    </xf>
    <xf numFmtId="0" fontId="30" fillId="0" borderId="0" xfId="2" applyFont="1" applyAlignment="1">
      <alignment vertical="center"/>
    </xf>
    <xf numFmtId="168" fontId="9" fillId="4" borderId="1" xfId="11" applyNumberFormat="1" applyFont="1" applyFill="1" applyBorder="1" applyAlignment="1">
      <alignment vertical="center"/>
    </xf>
    <xf numFmtId="172" fontId="9" fillId="2" borderId="0" xfId="4" applyNumberFormat="1" applyFont="1" applyFill="1" applyAlignment="1">
      <alignment vertical="center"/>
    </xf>
    <xf numFmtId="171" fontId="9" fillId="2" borderId="7" xfId="4" applyNumberFormat="1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67" fontId="18" fillId="3" borderId="0" xfId="6" applyNumberFormat="1" applyFont="1" applyFill="1" applyAlignment="1">
      <alignment horizontal="right" vertical="center"/>
    </xf>
    <xf numFmtId="167" fontId="17" fillId="4" borderId="0" xfId="6" applyNumberFormat="1" applyFont="1" applyFill="1" applyAlignment="1">
      <alignment vertical="center"/>
    </xf>
  </cellXfs>
  <cellStyles count="13">
    <cellStyle name="Comma" xfId="4" builtinId="3"/>
    <cellStyle name="Comma 2" xfId="12" xr:uid="{0CF23DA2-BAE4-4C43-98A5-272008012155}"/>
    <cellStyle name="Comma 2 2" xfId="9" xr:uid="{477EF9AC-D1C6-5A45-9B13-EBA2DA1D9FE0}"/>
    <cellStyle name="Comma 4" xfId="6" xr:uid="{29338AE4-30A0-F546-9CE8-1E79531B3824}"/>
    <cellStyle name="Normal" xfId="0" builtinId="0"/>
    <cellStyle name="Normal 2" xfId="1" xr:uid="{00000000-0005-0000-0000-000002000000}"/>
    <cellStyle name="Normal 3" xfId="2" xr:uid="{A2C5715F-29D7-48BA-8D33-885D4C1B96EB}"/>
    <cellStyle name="Normal 4" xfId="3" xr:uid="{22F1BDBD-4408-432C-9A30-34B980F6DDE9}"/>
    <cellStyle name="Normal 4 2" xfId="7" xr:uid="{9BB1A880-F77D-764A-8235-A9BED05EF44F}"/>
    <cellStyle name="Percent" xfId="5" builtinId="5"/>
    <cellStyle name="Percent 2" xfId="8" xr:uid="{88DDA9E5-D522-694F-BF9D-53FA1D3BE328}"/>
    <cellStyle name="Percent 2 2" xfId="10" xr:uid="{A89A8652-EAF4-E54A-A8E7-9B51510CE9D3}"/>
    <cellStyle name="Percent 2 2 2" xfId="11" xr:uid="{89937E7E-95DC-EE45-B807-5072353E2171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ahn/Desktop/Accounting%20TA/Performance%20Management/C:/Users/John/Accounting%20HULT%20My%20Files/accounting%20hult%20team%20files/Managerial%20Accounting/Chapter%202/C-V-P%20Graph%20for%20Class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C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809B-1E1B-144E-8A37-D3BA0CDB7B42}">
  <sheetPr>
    <pageSetUpPr fitToPage="1"/>
  </sheetPr>
  <dimension ref="B2:J63"/>
  <sheetViews>
    <sheetView showGridLines="0" zoomScale="89" workbookViewId="0">
      <selection activeCell="G61" sqref="G61"/>
    </sheetView>
  </sheetViews>
  <sheetFormatPr defaultColWidth="10.81640625" defaultRowHeight="15.5"/>
  <cols>
    <col min="1" max="1" width="3.36328125" style="127" customWidth="1"/>
    <col min="2" max="2" width="32.81640625" style="127" customWidth="1"/>
    <col min="3" max="3" width="15.6328125" style="127" customWidth="1"/>
    <col min="4" max="4" width="16.453125" style="127" customWidth="1"/>
    <col min="5" max="16384" width="10.81640625" style="127"/>
  </cols>
  <sheetData>
    <row r="2" spans="2:10" ht="22.5">
      <c r="B2" s="135" t="s">
        <v>109</v>
      </c>
      <c r="C2" s="126"/>
      <c r="D2" s="126"/>
      <c r="E2" s="126"/>
      <c r="F2" s="126"/>
      <c r="G2" s="126"/>
      <c r="H2" s="126"/>
      <c r="I2" s="126"/>
      <c r="J2" s="126"/>
    </row>
    <row r="4" spans="2:10" ht="17.5">
      <c r="B4" s="54" t="s">
        <v>110</v>
      </c>
    </row>
    <row r="5" spans="2:10">
      <c r="B5" s="127" t="s">
        <v>152</v>
      </c>
    </row>
    <row r="6" spans="2:10">
      <c r="B6" s="127" t="s">
        <v>153</v>
      </c>
    </row>
    <row r="7" spans="2:10">
      <c r="B7" s="127" t="s">
        <v>111</v>
      </c>
    </row>
    <row r="8" spans="2:10">
      <c r="B8" s="127" t="s">
        <v>146</v>
      </c>
    </row>
    <row r="9" spans="2:10">
      <c r="B9" s="127" t="s">
        <v>147</v>
      </c>
    </row>
    <row r="10" spans="2:10">
      <c r="B10" s="127" t="s">
        <v>148</v>
      </c>
    </row>
    <row r="12" spans="2:10">
      <c r="B12" s="127" t="s">
        <v>112</v>
      </c>
    </row>
    <row r="13" spans="2:10">
      <c r="B13" s="127" t="s">
        <v>113</v>
      </c>
    </row>
    <row r="14" spans="2:10">
      <c r="B14" s="127" t="s">
        <v>114</v>
      </c>
    </row>
    <row r="15" spans="2:10">
      <c r="B15" s="127" t="s">
        <v>115</v>
      </c>
    </row>
    <row r="17" spans="2:7">
      <c r="B17" s="193" t="s">
        <v>237</v>
      </c>
      <c r="C17" s="130"/>
      <c r="D17" s="130"/>
      <c r="E17" s="130"/>
      <c r="F17" s="130"/>
    </row>
    <row r="18" spans="2:7">
      <c r="B18" s="128"/>
      <c r="C18" s="128"/>
      <c r="D18" s="128"/>
    </row>
    <row r="19" spans="2:7">
      <c r="B19" s="55" t="s">
        <v>60</v>
      </c>
      <c r="C19" s="53" t="s">
        <v>116</v>
      </c>
      <c r="D19" s="53" t="s">
        <v>117</v>
      </c>
    </row>
    <row r="20" spans="2:7">
      <c r="B20" s="127" t="s">
        <v>118</v>
      </c>
      <c r="C20" s="129">
        <v>0.3</v>
      </c>
      <c r="D20" s="129">
        <v>0.3</v>
      </c>
    </row>
    <row r="21" spans="2:7">
      <c r="B21" s="127" t="s">
        <v>119</v>
      </c>
      <c r="C21" s="129">
        <v>0.5</v>
      </c>
      <c r="D21" s="129">
        <v>0.15</v>
      </c>
    </row>
    <row r="22" spans="2:7">
      <c r="B22" s="56" t="s">
        <v>120</v>
      </c>
      <c r="C22" s="57">
        <v>0.2</v>
      </c>
      <c r="D22" s="57">
        <v>0.05</v>
      </c>
    </row>
    <row r="23" spans="2:7">
      <c r="B23" s="127" t="s">
        <v>121</v>
      </c>
      <c r="D23" s="129">
        <f>SUMPRODUCT(C20:C22,D20:D22)</f>
        <v>0.17499999999999999</v>
      </c>
    </row>
    <row r="24" spans="2:7">
      <c r="B24" s="127" t="s">
        <v>122</v>
      </c>
      <c r="D24" s="130">
        <f>1000000*(1+D23)</f>
        <v>1175000</v>
      </c>
    </row>
    <row r="25" spans="2:7" ht="26" customHeight="1"/>
    <row r="26" spans="2:7" ht="17.5">
      <c r="B26" s="54" t="s">
        <v>123</v>
      </c>
    </row>
    <row r="27" spans="2:7">
      <c r="B27" s="127" t="s">
        <v>124</v>
      </c>
    </row>
    <row r="28" spans="2:7">
      <c r="B28" s="127" t="s">
        <v>125</v>
      </c>
    </row>
    <row r="29" spans="2:7">
      <c r="B29" s="127" t="s">
        <v>126</v>
      </c>
    </row>
    <row r="30" spans="2:7">
      <c r="B30" s="127" t="s">
        <v>127</v>
      </c>
    </row>
    <row r="32" spans="2:7">
      <c r="B32" s="193" t="s">
        <v>236</v>
      </c>
      <c r="C32" s="130"/>
      <c r="D32" s="130"/>
      <c r="E32" s="130"/>
      <c r="F32" s="130"/>
      <c r="G32" s="130"/>
    </row>
    <row r="34" spans="2:3">
      <c r="B34" s="55" t="s">
        <v>128</v>
      </c>
      <c r="C34" s="53" t="s">
        <v>129</v>
      </c>
    </row>
    <row r="35" spans="2:3">
      <c r="B35" s="127" t="s">
        <v>130</v>
      </c>
      <c r="C35" s="130">
        <v>400000</v>
      </c>
    </row>
    <row r="36" spans="2:3">
      <c r="B36" s="56" t="s">
        <v>131</v>
      </c>
      <c r="C36" s="58">
        <v>450000</v>
      </c>
    </row>
    <row r="37" spans="2:3">
      <c r="B37" s="127" t="s">
        <v>132</v>
      </c>
      <c r="C37" s="131">
        <f>(C36-C35)/C35</f>
        <v>0.125</v>
      </c>
    </row>
    <row r="39" spans="2:3">
      <c r="B39" s="55" t="s">
        <v>133</v>
      </c>
      <c r="C39" s="53" t="s">
        <v>129</v>
      </c>
    </row>
    <row r="40" spans="2:3">
      <c r="B40" s="127" t="s">
        <v>134</v>
      </c>
      <c r="C40" s="130">
        <v>50000</v>
      </c>
    </row>
    <row r="41" spans="2:3">
      <c r="B41" s="127" t="s">
        <v>130</v>
      </c>
      <c r="C41" s="130">
        <v>400000</v>
      </c>
    </row>
    <row r="42" spans="2:3">
      <c r="B42" s="56" t="s">
        <v>135</v>
      </c>
      <c r="C42" s="57">
        <v>1</v>
      </c>
    </row>
    <row r="43" spans="2:3">
      <c r="B43" s="127" t="s">
        <v>132</v>
      </c>
      <c r="C43" s="131">
        <f>C40/C41*C42</f>
        <v>0.125</v>
      </c>
    </row>
    <row r="44" spans="2:3" ht="29" customHeight="1"/>
    <row r="45" spans="2:3" ht="17.5">
      <c r="B45" s="54" t="s">
        <v>136</v>
      </c>
    </row>
    <row r="46" spans="2:3">
      <c r="B46" s="127" t="s">
        <v>137</v>
      </c>
    </row>
    <row r="47" spans="2:3">
      <c r="B47" s="127" t="s">
        <v>125</v>
      </c>
    </row>
    <row r="48" spans="2:3">
      <c r="B48" s="127" t="s">
        <v>155</v>
      </c>
    </row>
    <row r="49" spans="2:6">
      <c r="B49" s="127" t="s">
        <v>154</v>
      </c>
    </row>
    <row r="51" spans="2:6">
      <c r="B51" s="193" t="s">
        <v>235</v>
      </c>
      <c r="C51" s="130"/>
      <c r="D51" s="130"/>
      <c r="E51" s="130"/>
      <c r="F51" s="130"/>
    </row>
    <row r="52" spans="2:6">
      <c r="B52" s="56"/>
      <c r="C52" s="56"/>
      <c r="D52" s="48"/>
    </row>
    <row r="53" spans="2:6">
      <c r="B53" s="127" t="s">
        <v>168</v>
      </c>
      <c r="C53" s="130">
        <v>750000</v>
      </c>
    </row>
    <row r="54" spans="2:6">
      <c r="B54" s="127" t="s">
        <v>169</v>
      </c>
      <c r="C54" s="130">
        <v>1000000</v>
      </c>
    </row>
    <row r="55" spans="2:6">
      <c r="B55" s="127" t="s">
        <v>170</v>
      </c>
      <c r="C55" s="130">
        <f>C54*1.3</f>
        <v>1300000</v>
      </c>
    </row>
    <row r="56" spans="2:6">
      <c r="B56" s="128" t="s">
        <v>171</v>
      </c>
      <c r="C56" s="132">
        <f>C55-C54</f>
        <v>300000</v>
      </c>
    </row>
    <row r="57" spans="2:6">
      <c r="B57" s="128" t="s">
        <v>138</v>
      </c>
      <c r="C57" s="132">
        <v>100000</v>
      </c>
    </row>
    <row r="58" spans="2:6">
      <c r="B58" s="127" t="s">
        <v>139</v>
      </c>
      <c r="C58" s="130">
        <v>450000</v>
      </c>
    </row>
    <row r="59" spans="2:6" ht="17">
      <c r="B59" s="59" t="s">
        <v>172</v>
      </c>
      <c r="C59" s="60">
        <v>50000</v>
      </c>
    </row>
    <row r="60" spans="2:6">
      <c r="B60" s="52" t="s">
        <v>140</v>
      </c>
      <c r="C60" s="133">
        <f>C53/C54*C56</f>
        <v>225000</v>
      </c>
    </row>
    <row r="61" spans="2:6">
      <c r="B61" s="52" t="s">
        <v>141</v>
      </c>
      <c r="C61" s="133">
        <f>C57/C54*C56</f>
        <v>30000</v>
      </c>
    </row>
    <row r="62" spans="2:6">
      <c r="B62" s="55" t="s">
        <v>142</v>
      </c>
      <c r="C62" s="134">
        <f>C55*C59/C54*100%</f>
        <v>65000</v>
      </c>
    </row>
    <row r="63" spans="2:6">
      <c r="B63" s="52" t="s">
        <v>143</v>
      </c>
      <c r="C63" s="133">
        <f>C60-C61-C62</f>
        <v>130000</v>
      </c>
    </row>
  </sheetData>
  <pageMargins left="0.25" right="0.25" top="0.75" bottom="0.75" header="0.3" footer="0.3"/>
  <pageSetup scale="6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>
    <pageSetUpPr fitToPage="1"/>
  </sheetPr>
  <dimension ref="B2:S48"/>
  <sheetViews>
    <sheetView showGridLines="0" topLeftCell="A34" zoomScale="81" zoomScaleNormal="125" workbookViewId="0">
      <selection activeCell="F10" sqref="F10"/>
    </sheetView>
  </sheetViews>
  <sheetFormatPr defaultColWidth="8.453125" defaultRowHeight="15.5"/>
  <cols>
    <col min="1" max="1" width="3" style="7" customWidth="1"/>
    <col min="2" max="2" width="24.81640625" style="7" customWidth="1"/>
    <col min="3" max="8" width="15.453125" style="7" customWidth="1"/>
    <col min="9" max="9" width="16" style="25" customWidth="1"/>
    <col min="10" max="10" width="10.81640625" style="7" customWidth="1"/>
    <col min="11" max="11" width="10.36328125" style="7" customWidth="1"/>
    <col min="12" max="16384" width="8.453125" style="7"/>
  </cols>
  <sheetData>
    <row r="2" spans="2:14" ht="22.5">
      <c r="B2" s="101" t="s">
        <v>156</v>
      </c>
    </row>
    <row r="3" spans="2:14">
      <c r="B3" s="6"/>
      <c r="H3" s="8"/>
      <c r="K3" s="9"/>
      <c r="L3" s="9"/>
    </row>
    <row r="4" spans="2:14">
      <c r="B4" s="10" t="s">
        <v>38</v>
      </c>
      <c r="C4" s="18"/>
      <c r="I4" s="7"/>
      <c r="L4" s="9"/>
    </row>
    <row r="5" spans="2:14" ht="16" thickBot="1">
      <c r="B5" s="19" t="s">
        <v>3</v>
      </c>
      <c r="C5" s="49">
        <v>1.3</v>
      </c>
      <c r="F5" s="136"/>
      <c r="I5" s="7"/>
      <c r="L5" s="9"/>
    </row>
    <row r="6" spans="2:14" ht="16" thickBot="1">
      <c r="B6" s="19" t="s">
        <v>4</v>
      </c>
      <c r="C6" s="190">
        <f>C5/(1+(1-C8)*C17/C24)</f>
        <v>1.1672466938450832</v>
      </c>
      <c r="F6" s="136"/>
      <c r="I6" s="7"/>
      <c r="L6" s="9"/>
    </row>
    <row r="7" spans="2:14">
      <c r="B7" s="7" t="s">
        <v>5</v>
      </c>
      <c r="C7" s="26">
        <v>0.05</v>
      </c>
      <c r="I7" s="7"/>
      <c r="L7" s="13"/>
      <c r="M7" s="13"/>
      <c r="N7" s="13"/>
    </row>
    <row r="8" spans="2:14">
      <c r="B8" s="7" t="s">
        <v>6</v>
      </c>
      <c r="C8" s="26">
        <v>0.21</v>
      </c>
      <c r="I8" s="7"/>
      <c r="L8" s="13"/>
      <c r="M8" s="13"/>
      <c r="N8" s="13"/>
    </row>
    <row r="9" spans="2:14">
      <c r="B9" s="7" t="s">
        <v>7</v>
      </c>
      <c r="C9" s="26">
        <v>4.1000000000000002E-2</v>
      </c>
      <c r="D9" s="136"/>
      <c r="I9" s="7"/>
      <c r="L9" s="9"/>
    </row>
    <row r="10" spans="2:14">
      <c r="B10" s="19" t="s">
        <v>8</v>
      </c>
      <c r="C10" s="26">
        <v>2.8000000000000001E-2</v>
      </c>
      <c r="I10" s="7"/>
      <c r="L10" s="13"/>
      <c r="M10" s="13"/>
      <c r="N10" s="13"/>
    </row>
    <row r="11" spans="2:14">
      <c r="B11" s="19" t="s">
        <v>9</v>
      </c>
      <c r="C11" s="26">
        <v>0.08</v>
      </c>
      <c r="E11" s="14"/>
      <c r="F11" s="14"/>
      <c r="I11" s="27"/>
      <c r="L11" s="13"/>
      <c r="M11" s="13"/>
      <c r="N11" s="13"/>
    </row>
    <row r="12" spans="2:14">
      <c r="B12" s="19"/>
      <c r="C12" s="26"/>
      <c r="E12" s="14"/>
      <c r="F12" s="14"/>
      <c r="I12" s="27"/>
      <c r="L12" s="13"/>
      <c r="M12" s="13"/>
      <c r="N12" s="13"/>
    </row>
    <row r="13" spans="2:14">
      <c r="I13" s="7"/>
      <c r="K13" s="9"/>
      <c r="L13" s="9"/>
    </row>
    <row r="14" spans="2:14">
      <c r="B14" s="10" t="s">
        <v>39</v>
      </c>
      <c r="C14" s="11" t="s">
        <v>29</v>
      </c>
      <c r="D14" s="11" t="s">
        <v>24</v>
      </c>
      <c r="E14" s="11" t="s">
        <v>25</v>
      </c>
      <c r="F14" s="11" t="s">
        <v>26</v>
      </c>
      <c r="G14" s="11" t="s">
        <v>27</v>
      </c>
      <c r="H14" s="123" t="s">
        <v>151</v>
      </c>
      <c r="I14" s="123" t="s">
        <v>30</v>
      </c>
      <c r="J14" s="13"/>
      <c r="K14" s="13"/>
      <c r="L14" s="13"/>
      <c r="M14" s="13"/>
      <c r="N14" s="13"/>
    </row>
    <row r="15" spans="2:14">
      <c r="B15" s="7" t="s">
        <v>0</v>
      </c>
      <c r="C15" s="31">
        <v>10.5</v>
      </c>
      <c r="D15" s="31">
        <v>10.88</v>
      </c>
      <c r="E15" s="137">
        <f>D15+1*(H15-D15)/4</f>
        <v>11.16</v>
      </c>
      <c r="F15" s="137">
        <f>D15+2*(H15-D15)/4</f>
        <v>11.440000000000001</v>
      </c>
      <c r="G15" s="137">
        <f>D15+3*(H15-D15)/4</f>
        <v>11.72</v>
      </c>
      <c r="H15" s="31">
        <v>12</v>
      </c>
      <c r="I15" s="140"/>
      <c r="J15" s="16"/>
      <c r="K15" s="13"/>
      <c r="L15" s="13"/>
      <c r="M15" s="13"/>
      <c r="N15" s="13"/>
    </row>
    <row r="16" spans="2:14">
      <c r="B16" s="7" t="s">
        <v>18</v>
      </c>
      <c r="C16" s="31">
        <v>3.2</v>
      </c>
      <c r="D16" s="31">
        <v>3.55</v>
      </c>
      <c r="E16" s="137">
        <f t="shared" ref="E16:E20" si="0">D16+1*(H16-D16)/4</f>
        <v>3.8250000000000002</v>
      </c>
      <c r="F16" s="137">
        <f t="shared" ref="F16:F20" si="1">D16+2*(H16-D16)/4</f>
        <v>4.0999999999999996</v>
      </c>
      <c r="G16" s="137">
        <f t="shared" ref="G16:G20" si="2">D16+3*(H16-D16)/4</f>
        <v>4.375</v>
      </c>
      <c r="H16" s="31">
        <v>4.6500000000000004</v>
      </c>
      <c r="I16" s="140"/>
      <c r="J16" s="13"/>
      <c r="K16" s="13"/>
      <c r="L16" s="13"/>
      <c r="M16" s="13"/>
      <c r="N16" s="13"/>
    </row>
    <row r="17" spans="2:19">
      <c r="B17" s="13" t="s">
        <v>13</v>
      </c>
      <c r="C17" s="23">
        <v>13000</v>
      </c>
      <c r="D17" s="23">
        <v>14000</v>
      </c>
      <c r="E17" s="32">
        <f t="shared" si="0"/>
        <v>15000</v>
      </c>
      <c r="F17" s="32">
        <f t="shared" si="1"/>
        <v>16000</v>
      </c>
      <c r="G17" s="32">
        <f t="shared" si="2"/>
        <v>17000</v>
      </c>
      <c r="H17" s="23">
        <v>18000</v>
      </c>
      <c r="I17" s="140"/>
      <c r="J17" s="13"/>
      <c r="K17" s="13"/>
      <c r="L17" s="13"/>
      <c r="M17" s="13"/>
      <c r="N17" s="13"/>
    </row>
    <row r="18" spans="2:19">
      <c r="B18" s="13" t="s">
        <v>14</v>
      </c>
      <c r="C18" s="23">
        <v>1700</v>
      </c>
      <c r="D18" s="23">
        <v>1680</v>
      </c>
      <c r="E18" s="189">
        <f t="shared" si="0"/>
        <v>1672.5</v>
      </c>
      <c r="F18" s="32">
        <f t="shared" si="1"/>
        <v>1665</v>
      </c>
      <c r="G18" s="189">
        <f t="shared" si="2"/>
        <v>1657.5</v>
      </c>
      <c r="H18" s="23">
        <v>1650</v>
      </c>
      <c r="I18" s="140"/>
      <c r="J18" s="13"/>
      <c r="K18" s="13"/>
      <c r="L18" s="13"/>
      <c r="M18" s="13"/>
      <c r="N18" s="13"/>
    </row>
    <row r="19" spans="2:19">
      <c r="B19" s="7" t="s">
        <v>1</v>
      </c>
      <c r="C19" s="31">
        <v>5</v>
      </c>
      <c r="D19" s="31">
        <v>5.2</v>
      </c>
      <c r="E19" s="137">
        <f t="shared" si="0"/>
        <v>5.5250000000000004</v>
      </c>
      <c r="F19" s="137">
        <f t="shared" si="1"/>
        <v>5.85</v>
      </c>
      <c r="G19" s="137">
        <f t="shared" si="2"/>
        <v>6.1749999999999998</v>
      </c>
      <c r="H19" s="31">
        <v>6.5</v>
      </c>
      <c r="I19" s="140"/>
      <c r="J19" s="13"/>
      <c r="K19" s="13"/>
      <c r="L19" s="13"/>
      <c r="M19" s="13"/>
      <c r="N19" s="13"/>
    </row>
    <row r="20" spans="2:19">
      <c r="B20" s="13" t="s">
        <v>2</v>
      </c>
      <c r="C20" s="23">
        <v>5000</v>
      </c>
      <c r="D20" s="23">
        <v>6000</v>
      </c>
      <c r="E20" s="32">
        <f t="shared" si="0"/>
        <v>7000</v>
      </c>
      <c r="F20" s="32">
        <f t="shared" si="1"/>
        <v>8000</v>
      </c>
      <c r="G20" s="32">
        <f t="shared" si="2"/>
        <v>9000</v>
      </c>
      <c r="H20" s="23">
        <v>10000</v>
      </c>
      <c r="I20" s="140"/>
      <c r="J20" s="19"/>
      <c r="K20" s="9"/>
      <c r="L20" s="9"/>
    </row>
    <row r="21" spans="2:19">
      <c r="B21" s="13"/>
      <c r="C21" s="23"/>
      <c r="D21" s="23"/>
      <c r="H21" s="23"/>
      <c r="I21" s="27"/>
      <c r="J21" s="19"/>
      <c r="K21" s="9"/>
      <c r="L21" s="9"/>
    </row>
    <row r="22" spans="2:19">
      <c r="I22" s="7"/>
      <c r="K22" s="9"/>
      <c r="L22" s="9"/>
    </row>
    <row r="23" spans="2:19">
      <c r="B23" s="10" t="s">
        <v>28</v>
      </c>
      <c r="C23" s="11" t="s">
        <v>29</v>
      </c>
      <c r="D23" s="11" t="s">
        <v>24</v>
      </c>
      <c r="E23" s="11" t="s">
        <v>25</v>
      </c>
      <c r="F23" s="11" t="s">
        <v>26</v>
      </c>
      <c r="G23" s="11" t="s">
        <v>27</v>
      </c>
      <c r="H23" s="123" t="s">
        <v>151</v>
      </c>
      <c r="I23" s="124" t="s">
        <v>34</v>
      </c>
      <c r="K23" s="9"/>
      <c r="L23" s="9"/>
      <c r="S23" s="9"/>
    </row>
    <row r="24" spans="2:19">
      <c r="B24" s="13" t="s">
        <v>10</v>
      </c>
      <c r="C24" s="32">
        <f>C15*C32</f>
        <v>90300</v>
      </c>
      <c r="D24" s="32">
        <f t="shared" ref="D24:H24" si="3">D15*D32</f>
        <v>97920</v>
      </c>
      <c r="E24" s="32">
        <f t="shared" si="3"/>
        <v>106020</v>
      </c>
      <c r="F24" s="32">
        <f t="shared" si="3"/>
        <v>114400.00000000001</v>
      </c>
      <c r="G24" s="32">
        <f t="shared" si="3"/>
        <v>123060</v>
      </c>
      <c r="H24" s="32">
        <f t="shared" si="3"/>
        <v>132000</v>
      </c>
      <c r="I24" s="139"/>
      <c r="K24" s="9"/>
      <c r="L24" s="2"/>
    </row>
    <row r="25" spans="2:19">
      <c r="B25" s="7" t="s">
        <v>11</v>
      </c>
      <c r="C25" s="50">
        <f>C17/(C17+C24)</f>
        <v>0.12584704743465633</v>
      </c>
      <c r="D25" s="50">
        <f t="shared" ref="D25:H25" si="4">D17/(D17+D24)</f>
        <v>0.12508934953538242</v>
      </c>
      <c r="E25" s="50">
        <f t="shared" si="4"/>
        <v>0.12394645513138325</v>
      </c>
      <c r="F25" s="50">
        <f t="shared" si="4"/>
        <v>0.12269938650306747</v>
      </c>
      <c r="G25" s="50">
        <f t="shared" si="4"/>
        <v>0.12137655290589747</v>
      </c>
      <c r="H25" s="50">
        <f t="shared" si="4"/>
        <v>0.12</v>
      </c>
      <c r="I25" s="139"/>
      <c r="L25" s="1"/>
    </row>
    <row r="26" spans="2:19">
      <c r="B26" s="21" t="s">
        <v>12</v>
      </c>
      <c r="C26" s="51">
        <f>$C$6*(1+(1-$C$8)*(C17/C24))</f>
        <v>1.3</v>
      </c>
      <c r="D26" s="51">
        <f t="shared" ref="D26:H26" si="5">$C$6*(1+(1-$C$8)*(D17/D24))</f>
        <v>1.2990864450085493</v>
      </c>
      <c r="E26" s="51">
        <f t="shared" si="5"/>
        <v>1.2977114488164494</v>
      </c>
      <c r="F26" s="51">
        <f t="shared" si="5"/>
        <v>1.296215209668526</v>
      </c>
      <c r="G26" s="51">
        <f t="shared" si="5"/>
        <v>1.2946327095962573</v>
      </c>
      <c r="H26" s="51">
        <f t="shared" si="5"/>
        <v>1.2929909967729398</v>
      </c>
      <c r="I26" s="139"/>
      <c r="L26" s="1"/>
    </row>
    <row r="27" spans="2:19">
      <c r="B27" s="12" t="s">
        <v>45</v>
      </c>
      <c r="C27" s="125">
        <f>$C10+C26*$C11</f>
        <v>0.13200000000000001</v>
      </c>
      <c r="D27" s="125">
        <f t="shared" ref="D27:H27" si="6">$C10+D26*$C11</f>
        <v>0.13192691560068395</v>
      </c>
      <c r="E27" s="125">
        <f t="shared" si="6"/>
        <v>0.13181691590531597</v>
      </c>
      <c r="F27" s="125">
        <f t="shared" si="6"/>
        <v>0.13169721677348209</v>
      </c>
      <c r="G27" s="125">
        <f t="shared" si="6"/>
        <v>0.1315706167677006</v>
      </c>
      <c r="H27" s="125">
        <f t="shared" si="6"/>
        <v>0.1314392797418352</v>
      </c>
      <c r="I27" s="7"/>
      <c r="K27" s="9"/>
      <c r="L27" s="1"/>
    </row>
    <row r="28" spans="2:19">
      <c r="B28" s="22" t="s">
        <v>46</v>
      </c>
      <c r="C28" s="125">
        <f>C27*(1-C25)+$C$9*C25*(1-$C$8)</f>
        <v>0.1194643756050339</v>
      </c>
      <c r="D28" s="125">
        <f t="shared" ref="D28:H28" si="7">D27*(1-D25)+$C$9*D25*(1-$C$8)</f>
        <v>0.11947590757343614</v>
      </c>
      <c r="E28" s="125">
        <f t="shared" si="7"/>
        <v>0.11949330213420591</v>
      </c>
      <c r="F28" s="125">
        <f t="shared" si="7"/>
        <v>0.11951228220004871</v>
      </c>
      <c r="G28" s="125">
        <f t="shared" si="7"/>
        <v>0.11953241538935624</v>
      </c>
      <c r="H28" s="125">
        <f t="shared" si="7"/>
        <v>0.11955336617281496</v>
      </c>
      <c r="I28" s="7"/>
      <c r="K28" s="9"/>
      <c r="L28" s="5"/>
    </row>
    <row r="29" spans="2:19">
      <c r="I29" s="7"/>
      <c r="K29" s="9"/>
      <c r="L29" s="9"/>
    </row>
    <row r="30" spans="2:19">
      <c r="I30" s="7"/>
      <c r="K30" s="9"/>
      <c r="L30" s="9"/>
    </row>
    <row r="31" spans="2:19">
      <c r="B31" s="15" t="s">
        <v>40</v>
      </c>
      <c r="C31" s="11" t="s">
        <v>29</v>
      </c>
      <c r="D31" s="11" t="s">
        <v>24</v>
      </c>
      <c r="E31" s="11" t="s">
        <v>25</v>
      </c>
      <c r="F31" s="11" t="s">
        <v>26</v>
      </c>
      <c r="G31" s="11" t="s">
        <v>27</v>
      </c>
      <c r="H31" s="123" t="s">
        <v>151</v>
      </c>
      <c r="I31" s="124" t="s">
        <v>33</v>
      </c>
      <c r="K31" s="9"/>
      <c r="L31" s="9"/>
    </row>
    <row r="32" spans="2:19">
      <c r="B32" s="13" t="s">
        <v>42</v>
      </c>
      <c r="C32" s="23">
        <v>8600</v>
      </c>
      <c r="D32" s="23">
        <v>9000</v>
      </c>
      <c r="E32" s="32">
        <f>D32+($H32-$D32)/4</f>
        <v>9500</v>
      </c>
      <c r="F32" s="32">
        <f t="shared" ref="F32:G32" si="8">E32+($H32-$D32)/4</f>
        <v>10000</v>
      </c>
      <c r="G32" s="32">
        <f t="shared" si="8"/>
        <v>10500</v>
      </c>
      <c r="H32" s="23">
        <v>11000</v>
      </c>
      <c r="I32" s="140"/>
      <c r="K32" s="9"/>
      <c r="L32" s="9"/>
    </row>
    <row r="33" spans="2:14">
      <c r="B33" s="13" t="s">
        <v>17</v>
      </c>
      <c r="C33" s="23">
        <v>4200</v>
      </c>
      <c r="D33" s="23">
        <v>4400</v>
      </c>
      <c r="E33" s="32">
        <f t="shared" ref="E33:G33" si="9">D33+($H33-$D33)/4</f>
        <v>4675</v>
      </c>
      <c r="F33" s="32">
        <f t="shared" si="9"/>
        <v>4950</v>
      </c>
      <c r="G33" s="32">
        <f t="shared" si="9"/>
        <v>5225</v>
      </c>
      <c r="H33" s="23">
        <v>5500</v>
      </c>
      <c r="I33" s="140"/>
      <c r="K33" s="9"/>
      <c r="L33" s="9"/>
    </row>
    <row r="34" spans="2:14">
      <c r="B34" s="13" t="s">
        <v>15</v>
      </c>
      <c r="C34" s="23">
        <f t="shared" ref="C34:D34" si="10">$C$9*(1-$C$8)*C17</f>
        <v>421.07000000000005</v>
      </c>
      <c r="D34" s="23">
        <f t="shared" si="10"/>
        <v>453.46000000000004</v>
      </c>
      <c r="E34" s="32">
        <f>$C$9*(1-$C$8)*E17</f>
        <v>485.85</v>
      </c>
      <c r="F34" s="32">
        <f t="shared" ref="F34:H34" si="11">$C$9*(1-$C$8)*F17</f>
        <v>518.24</v>
      </c>
      <c r="G34" s="32">
        <f t="shared" si="11"/>
        <v>550.63</v>
      </c>
      <c r="H34" s="32">
        <f t="shared" si="11"/>
        <v>583.02</v>
      </c>
      <c r="I34" s="138"/>
      <c r="K34" s="3"/>
      <c r="L34" s="9"/>
    </row>
    <row r="35" spans="2:14">
      <c r="B35" s="13" t="s">
        <v>16</v>
      </c>
      <c r="C35" s="23"/>
      <c r="D35" s="32">
        <f>D20-C20</f>
        <v>1000</v>
      </c>
      <c r="E35" s="32">
        <f t="shared" ref="E35:H35" si="12">E20-D20</f>
        <v>1000</v>
      </c>
      <c r="F35" s="32">
        <f t="shared" si="12"/>
        <v>1000</v>
      </c>
      <c r="G35" s="32">
        <f t="shared" si="12"/>
        <v>1000</v>
      </c>
      <c r="H35" s="32">
        <f t="shared" si="12"/>
        <v>1000</v>
      </c>
      <c r="I35" s="138"/>
      <c r="K35" s="9"/>
      <c r="L35" s="9"/>
    </row>
    <row r="36" spans="2:14">
      <c r="B36" s="17" t="s">
        <v>19</v>
      </c>
      <c r="C36" s="30"/>
      <c r="D36" s="33">
        <f>D16*D18</f>
        <v>5964</v>
      </c>
      <c r="E36" s="33">
        <f t="shared" ref="E36:H36" si="13">E16*E18</f>
        <v>6397.3125</v>
      </c>
      <c r="F36" s="33">
        <f t="shared" si="13"/>
        <v>6826.4999999999991</v>
      </c>
      <c r="G36" s="33">
        <f t="shared" si="13"/>
        <v>7251.5625</v>
      </c>
      <c r="H36" s="33">
        <f t="shared" si="13"/>
        <v>7672.5000000000009</v>
      </c>
      <c r="I36" s="191"/>
      <c r="K36" s="9"/>
      <c r="L36" s="9"/>
    </row>
    <row r="37" spans="2:14">
      <c r="B37" s="12" t="s">
        <v>43</v>
      </c>
      <c r="C37" s="141"/>
      <c r="D37" s="32">
        <f>D32+D33-D35-D36+(D17-C17)</f>
        <v>7436</v>
      </c>
      <c r="E37" s="32">
        <f t="shared" ref="E37:H37" si="14">E32+E33-E35-E36+(E17-D17)</f>
        <v>7777.6875</v>
      </c>
      <c r="F37" s="32">
        <f t="shared" si="14"/>
        <v>8123.5000000000009</v>
      </c>
      <c r="G37" s="32">
        <f t="shared" si="14"/>
        <v>8473.4375</v>
      </c>
      <c r="H37" s="32">
        <f t="shared" si="14"/>
        <v>8827.5</v>
      </c>
      <c r="I37" s="32">
        <f>H37*(1+C7)/(H27-C7)</f>
        <v>113813.32238426708</v>
      </c>
      <c r="L37" s="4"/>
    </row>
    <row r="38" spans="2:14">
      <c r="B38" s="142" t="s">
        <v>44</v>
      </c>
      <c r="C38" s="34"/>
      <c r="D38" s="33">
        <f>D32+D34+D33-D35-D36</f>
        <v>6889.4599999999991</v>
      </c>
      <c r="E38" s="33">
        <f t="shared" ref="E38:H38" si="15">E32+E34+E33-E35-E36</f>
        <v>7263.5375000000004</v>
      </c>
      <c r="F38" s="33">
        <f t="shared" si="15"/>
        <v>7641.7400000000007</v>
      </c>
      <c r="G38" s="33">
        <f t="shared" si="15"/>
        <v>8024.0674999999992</v>
      </c>
      <c r="H38" s="33">
        <f t="shared" si="15"/>
        <v>8410.52</v>
      </c>
      <c r="I38" s="37">
        <f>H38*(1+C7)/(WACC_5-C7)</f>
        <v>126967.91666499713</v>
      </c>
      <c r="K38" s="9"/>
      <c r="L38" s="9"/>
    </row>
    <row r="39" spans="2:14">
      <c r="B39" s="35" t="s">
        <v>21</v>
      </c>
      <c r="C39" s="23"/>
      <c r="D39" s="32">
        <f>D37/(1+D27)</f>
        <v>6569.3287238901903</v>
      </c>
      <c r="E39" s="32">
        <f>E37/((1+D27)*(1+E27))</f>
        <v>6070.9397408496907</v>
      </c>
      <c r="F39" s="32">
        <f>F37/((1+D27)*(1+E27)*(1+F27))</f>
        <v>5602.9709340040135</v>
      </c>
      <c r="G39" s="32">
        <f>G37/((1+D27)*(1+E27)*(1+F27)*(1+G27))</f>
        <v>5164.795775322912</v>
      </c>
      <c r="H39" s="32">
        <f>H37/((1+D27)*(1+E27)*(1+F27)*(1+G27)*(1+H27))</f>
        <v>4755.5417341010098</v>
      </c>
      <c r="I39" s="36">
        <f>I37/((1+D27)*(1+E27)*(1+F27)*(1+G27)*(1+H27))</f>
        <v>61313.396147841944</v>
      </c>
      <c r="K39" s="20"/>
      <c r="L39" s="9"/>
      <c r="M39" s="20"/>
      <c r="N39" s="20"/>
    </row>
    <row r="40" spans="2:14">
      <c r="B40" s="35" t="s">
        <v>20</v>
      </c>
      <c r="C40" s="23"/>
      <c r="D40" s="32">
        <f>D38/(1+D28)</f>
        <v>6154.1833579371241</v>
      </c>
      <c r="E40" s="32">
        <f>E38/((1+D28)*(1+E28))</f>
        <v>5795.7805351741827</v>
      </c>
      <c r="F40" s="32">
        <f>F38/((1+D28)*(1+E28)*(1+F28))</f>
        <v>5446.6208428414493</v>
      </c>
      <c r="G40" s="32">
        <f>G38/((1+D28)*(1+E28)*(1+F28)*(1+G28))</f>
        <v>5108.4928152312978</v>
      </c>
      <c r="H40" s="32">
        <f>H38/((1+D28)*(1+E28)*(1+F28)*(1+G28)*(1+H28))</f>
        <v>4782.7343723995018</v>
      </c>
      <c r="I40" s="36">
        <f>I38/((1+D28)*(1+E28)*(1+F28)*(1+G28)*(1+H28))</f>
        <v>72201.697305949841</v>
      </c>
      <c r="K40" s="20"/>
      <c r="L40" s="20"/>
      <c r="M40" s="20"/>
      <c r="N40" s="20"/>
    </row>
    <row r="41" spans="2:14">
      <c r="B41" s="6"/>
      <c r="D41" s="28"/>
      <c r="E41" s="28"/>
      <c r="F41" s="28"/>
      <c r="G41" s="28"/>
      <c r="H41" s="28"/>
      <c r="I41" s="29"/>
      <c r="K41" s="9"/>
      <c r="L41" s="20"/>
    </row>
    <row r="42" spans="2:14" ht="16" thickBot="1">
      <c r="B42" s="6"/>
      <c r="I42" s="29"/>
      <c r="K42" s="9"/>
      <c r="L42" s="20"/>
    </row>
    <row r="43" spans="2:14">
      <c r="B43" s="10" t="s">
        <v>41</v>
      </c>
      <c r="C43" s="11" t="s">
        <v>37</v>
      </c>
      <c r="D43" s="24" t="s">
        <v>173</v>
      </c>
      <c r="E43" s="38" t="s">
        <v>36</v>
      </c>
      <c r="F43" s="41" t="s">
        <v>35</v>
      </c>
      <c r="G43" s="41" t="s">
        <v>31</v>
      </c>
      <c r="H43" s="41" t="s">
        <v>32</v>
      </c>
      <c r="J43" s="20"/>
      <c r="K43" s="9"/>
      <c r="L43" s="9"/>
    </row>
    <row r="44" spans="2:14">
      <c r="B44" s="35" t="s">
        <v>23</v>
      </c>
      <c r="C44" s="32">
        <f>SUM(D39:I39)</f>
        <v>89476.973056009767</v>
      </c>
      <c r="D44" s="32">
        <f>C44</f>
        <v>89476.973056009767</v>
      </c>
      <c r="E44" s="39">
        <f>D44/C18</f>
        <v>52.633513562358686</v>
      </c>
      <c r="F44" s="42">
        <v>40</v>
      </c>
      <c r="G44" s="44">
        <f>(E44-F44)/F44</f>
        <v>0.31583783905896717</v>
      </c>
      <c r="H44" s="46" t="s">
        <v>233</v>
      </c>
      <c r="L44" s="9"/>
    </row>
    <row r="45" spans="2:14" ht="16" thickBot="1">
      <c r="B45" s="35" t="s">
        <v>22</v>
      </c>
      <c r="C45" s="32">
        <f>SUM(D40:I40)</f>
        <v>99489.509229533403</v>
      </c>
      <c r="D45" s="32">
        <f>C45-C17</f>
        <v>86489.509229533403</v>
      </c>
      <c r="E45" s="40">
        <f>D45/C18</f>
        <v>50.87618189972553</v>
      </c>
      <c r="F45" s="43">
        <f>F44</f>
        <v>40</v>
      </c>
      <c r="G45" s="45">
        <f>(E45-F45)/F45</f>
        <v>0.27190454749313825</v>
      </c>
      <c r="H45" s="47" t="s">
        <v>233</v>
      </c>
    </row>
    <row r="47" spans="2:14">
      <c r="K47" s="9"/>
    </row>
    <row r="48" spans="2:14">
      <c r="L48" s="9"/>
    </row>
  </sheetData>
  <phoneticPr fontId="2" type="noConversion"/>
  <printOptions headings="1" gridLines="1"/>
  <pageMargins left="0.25" right="0.25" top="0.75" bottom="0.75" header="0.3" footer="0.3"/>
  <pageSetup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6D52-562F-2F47-A948-E30F91F62389}">
  <sheetPr>
    <pageSetUpPr fitToPage="1"/>
  </sheetPr>
  <dimension ref="B2:P35"/>
  <sheetViews>
    <sheetView showGridLines="0" topLeftCell="A4" zoomScale="78" workbookViewId="0">
      <selection activeCell="F32" sqref="F32"/>
    </sheetView>
  </sheetViews>
  <sheetFormatPr defaultColWidth="10.81640625" defaultRowHeight="15.5"/>
  <cols>
    <col min="1" max="1" width="2.6328125" style="97" customWidth="1"/>
    <col min="2" max="2" width="39.453125" style="97" customWidth="1"/>
    <col min="3" max="13" width="12" style="97" customWidth="1"/>
    <col min="14" max="14" width="12.453125" style="97" customWidth="1"/>
    <col min="15" max="15" width="10" style="97" customWidth="1"/>
    <col min="16" max="17" width="13.6328125" style="97" customWidth="1"/>
    <col min="18" max="16384" width="10.81640625" style="97"/>
  </cols>
  <sheetData>
    <row r="2" spans="2:15" ht="22.5">
      <c r="B2" s="187" t="s">
        <v>231</v>
      </c>
    </row>
    <row r="4" spans="2:15" s="153" customFormat="1" ht="37" customHeight="1">
      <c r="B4" s="185" t="s">
        <v>180</v>
      </c>
      <c r="C4" s="185" t="s">
        <v>181</v>
      </c>
      <c r="D4" s="186" t="s">
        <v>182</v>
      </c>
      <c r="E4" s="186" t="s">
        <v>183</v>
      </c>
      <c r="F4" s="186" t="s">
        <v>184</v>
      </c>
      <c r="G4" s="186" t="s">
        <v>185</v>
      </c>
      <c r="H4" s="186" t="s">
        <v>186</v>
      </c>
      <c r="I4" s="186" t="s">
        <v>187</v>
      </c>
      <c r="J4" s="186" t="s">
        <v>188</v>
      </c>
      <c r="K4" s="186" t="s">
        <v>189</v>
      </c>
      <c r="L4" s="186" t="s">
        <v>190</v>
      </c>
      <c r="M4" s="186" t="s">
        <v>191</v>
      </c>
      <c r="N4" s="186" t="s">
        <v>192</v>
      </c>
      <c r="O4" s="186" t="s">
        <v>1</v>
      </c>
    </row>
    <row r="5" spans="2:15">
      <c r="B5" s="154" t="s">
        <v>193</v>
      </c>
      <c r="C5" s="154" t="s">
        <v>194</v>
      </c>
      <c r="D5" s="154">
        <v>287.55</v>
      </c>
      <c r="E5" s="154">
        <v>425.83</v>
      </c>
      <c r="F5" s="154">
        <v>1.25</v>
      </c>
      <c r="G5" s="155">
        <v>1.7428999999999999</v>
      </c>
      <c r="H5" s="156">
        <v>0.21</v>
      </c>
      <c r="I5" s="154">
        <v>26.39</v>
      </c>
      <c r="J5" s="154">
        <v>18.079999999999998</v>
      </c>
      <c r="K5" s="154">
        <v>1.64</v>
      </c>
      <c r="L5" s="154">
        <v>2.36</v>
      </c>
      <c r="M5" s="154">
        <v>3.3</v>
      </c>
      <c r="N5" s="154">
        <v>24.03</v>
      </c>
      <c r="O5" s="154">
        <v>1.18</v>
      </c>
    </row>
    <row r="6" spans="2:15">
      <c r="B6" s="157" t="s">
        <v>195</v>
      </c>
      <c r="C6" s="97" t="s">
        <v>196</v>
      </c>
      <c r="D6" s="97">
        <v>129.43</v>
      </c>
      <c r="E6" s="97">
        <v>109.2</v>
      </c>
      <c r="F6" s="97">
        <v>1.41</v>
      </c>
      <c r="G6" s="158">
        <v>0.29959999999999998</v>
      </c>
      <c r="H6" s="159">
        <v>0.3</v>
      </c>
      <c r="I6" s="97">
        <v>25.78</v>
      </c>
      <c r="J6" s="97">
        <v>17.649999999999999</v>
      </c>
      <c r="K6" s="97">
        <v>1.28</v>
      </c>
      <c r="L6" s="97">
        <v>1.3</v>
      </c>
      <c r="M6" s="97">
        <v>3.29</v>
      </c>
      <c r="N6" s="97">
        <v>10.6</v>
      </c>
      <c r="O6" s="97">
        <v>0.85</v>
      </c>
    </row>
    <row r="7" spans="2:15" ht="16.5">
      <c r="B7" s="160" t="s">
        <v>197</v>
      </c>
      <c r="C7" s="97" t="s">
        <v>198</v>
      </c>
      <c r="D7" s="97">
        <v>85.34</v>
      </c>
      <c r="E7" s="97">
        <v>75.3</v>
      </c>
      <c r="F7" s="97">
        <v>1.03</v>
      </c>
      <c r="G7" s="158">
        <v>0.18329999999999999</v>
      </c>
      <c r="H7" s="159">
        <v>0.25</v>
      </c>
      <c r="I7" s="97">
        <v>21.38</v>
      </c>
      <c r="L7" s="97">
        <v>1.7</v>
      </c>
      <c r="M7" s="97">
        <v>5.22</v>
      </c>
      <c r="N7" s="97">
        <v>11.52</v>
      </c>
      <c r="O7" s="97">
        <v>1.1000000000000001</v>
      </c>
    </row>
    <row r="8" spans="2:15" ht="16.5">
      <c r="B8" s="160" t="s">
        <v>199</v>
      </c>
      <c r="C8" s="97" t="s">
        <v>200</v>
      </c>
      <c r="D8" s="97">
        <v>42.99</v>
      </c>
      <c r="E8" s="97">
        <v>40.090000000000003</v>
      </c>
      <c r="F8" s="97">
        <v>1.24</v>
      </c>
      <c r="G8" s="158">
        <v>4.7800000000000002E-2</v>
      </c>
      <c r="H8" s="159">
        <v>0.28000000000000003</v>
      </c>
      <c r="I8" s="97">
        <v>-5.0999999999999996</v>
      </c>
      <c r="J8" s="97">
        <v>-7.95</v>
      </c>
      <c r="K8" s="97">
        <v>-0.12</v>
      </c>
      <c r="L8" s="97">
        <v>1.33</v>
      </c>
      <c r="M8" s="97">
        <v>1.51</v>
      </c>
      <c r="N8" s="97">
        <v>-7.84</v>
      </c>
      <c r="O8" s="97">
        <v>-1.76</v>
      </c>
    </row>
    <row r="9" spans="2:15">
      <c r="B9" s="98" t="s">
        <v>201</v>
      </c>
      <c r="C9" s="98" t="s">
        <v>202</v>
      </c>
      <c r="D9" s="98">
        <v>5.55</v>
      </c>
      <c r="E9" s="98">
        <v>9.56</v>
      </c>
      <c r="F9" s="98">
        <v>0.87</v>
      </c>
      <c r="G9" s="161">
        <v>0.8165</v>
      </c>
      <c r="H9" s="162">
        <v>0.2</v>
      </c>
      <c r="I9" s="98">
        <v>30.71</v>
      </c>
      <c r="J9" s="98"/>
      <c r="K9" s="98"/>
      <c r="L9" s="98">
        <v>0.76</v>
      </c>
      <c r="M9" s="98">
        <v>2.38</v>
      </c>
      <c r="N9" s="98">
        <v>11.45</v>
      </c>
      <c r="O9" s="98">
        <v>0.87</v>
      </c>
    </row>
    <row r="10" spans="2:15" s="163" customFormat="1" ht="15">
      <c r="B10" s="163" t="s">
        <v>203</v>
      </c>
      <c r="D10" s="164"/>
      <c r="E10" s="165">
        <f>SUMPRODUCT(E5:E9,$D$5:$D$9)/SUM($D$5:$D$9)</f>
        <v>262.8323014922122</v>
      </c>
      <c r="F10" s="165">
        <f t="shared" ref="F10:O10" si="0">SUMPRODUCT(F5:F9,$D$5:$D$9)/SUM($D$5:$D$9)</f>
        <v>1.2489018988490723</v>
      </c>
      <c r="G10" s="165">
        <f t="shared" si="0"/>
        <v>1.0205450422974984</v>
      </c>
      <c r="H10" s="165">
        <f t="shared" si="0"/>
        <v>0.24270540609229208</v>
      </c>
      <c r="I10" s="165">
        <f t="shared" si="0"/>
        <v>23.056512725556406</v>
      </c>
      <c r="J10" s="165">
        <f t="shared" si="0"/>
        <v>12.964406564281305</v>
      </c>
      <c r="K10" s="165">
        <f t="shared" si="0"/>
        <v>1.147466869985114</v>
      </c>
      <c r="L10" s="165">
        <f t="shared" si="0"/>
        <v>1.9121913008749953</v>
      </c>
      <c r="M10" s="165">
        <f t="shared" si="0"/>
        <v>3.4461358602911814</v>
      </c>
      <c r="N10" s="165">
        <f t="shared" si="0"/>
        <v>16.322490650982104</v>
      </c>
      <c r="O10" s="165">
        <f t="shared" si="0"/>
        <v>0.85750390298805501</v>
      </c>
    </row>
    <row r="13" spans="2:15">
      <c r="B13" s="99" t="s">
        <v>227</v>
      </c>
      <c r="C13" s="167" t="s">
        <v>204</v>
      </c>
      <c r="D13" s="99" t="s">
        <v>226</v>
      </c>
      <c r="E13" s="98"/>
      <c r="F13" s="98"/>
      <c r="G13" s="98"/>
      <c r="H13" s="168" t="s">
        <v>204</v>
      </c>
    </row>
    <row r="14" spans="2:15">
      <c r="B14" s="97" t="s">
        <v>60</v>
      </c>
      <c r="C14" s="169">
        <v>8.4</v>
      </c>
      <c r="D14" s="97" t="s">
        <v>205</v>
      </c>
      <c r="H14" s="170">
        <f>C14*L10</f>
        <v>16.062406927349961</v>
      </c>
    </row>
    <row r="15" spans="2:15">
      <c r="B15" s="97" t="s">
        <v>206</v>
      </c>
      <c r="C15" s="169">
        <v>3.8</v>
      </c>
      <c r="D15" s="97" t="s">
        <v>207</v>
      </c>
      <c r="H15" s="170">
        <f>C15*M10</f>
        <v>13.095316269106489</v>
      </c>
    </row>
    <row r="16" spans="2:15">
      <c r="B16" s="97" t="s">
        <v>208</v>
      </c>
      <c r="C16" s="169">
        <v>0.8</v>
      </c>
      <c r="D16" s="97" t="s">
        <v>209</v>
      </c>
      <c r="H16" s="171">
        <f>C16*I10</f>
        <v>18.445210180445127</v>
      </c>
    </row>
    <row r="17" spans="2:16">
      <c r="B17" s="97" t="s">
        <v>210</v>
      </c>
      <c r="C17" s="169">
        <v>1.2</v>
      </c>
      <c r="D17" s="97" t="s">
        <v>211</v>
      </c>
      <c r="H17" s="170">
        <f>C17*N10*60%</f>
        <v>11.752193268707114</v>
      </c>
    </row>
    <row r="19" spans="2:16">
      <c r="B19" s="99" t="s">
        <v>228</v>
      </c>
      <c r="C19" s="100"/>
      <c r="I19" s="173"/>
    </row>
    <row r="20" spans="2:16">
      <c r="B20" s="172" t="s">
        <v>212</v>
      </c>
      <c r="C20" s="172"/>
      <c r="I20" s="173"/>
    </row>
    <row r="21" spans="2:16">
      <c r="B21" s="97" t="s">
        <v>213</v>
      </c>
      <c r="C21" s="174">
        <v>0.08</v>
      </c>
      <c r="I21" s="173"/>
    </row>
    <row r="22" spans="2:16">
      <c r="B22" s="97" t="s">
        <v>214</v>
      </c>
      <c r="C22" s="174">
        <v>0.3</v>
      </c>
      <c r="I22" s="173"/>
    </row>
    <row r="23" spans="2:16">
      <c r="B23" s="97" t="s">
        <v>215</v>
      </c>
      <c r="C23" s="175">
        <f>H10</f>
        <v>0.24270540609229208</v>
      </c>
      <c r="I23" s="176"/>
    </row>
    <row r="24" spans="2:16" ht="16" customHeight="1">
      <c r="B24" s="177" t="s">
        <v>216</v>
      </c>
      <c r="C24" s="170">
        <f>40%/60%</f>
        <v>0.66666666666666674</v>
      </c>
      <c r="E24" s="97" t="s">
        <v>234</v>
      </c>
      <c r="I24" s="176"/>
    </row>
    <row r="25" spans="2:16" ht="16" customHeight="1">
      <c r="B25" s="178" t="s">
        <v>217</v>
      </c>
      <c r="C25" s="179">
        <f>G10</f>
        <v>1.0205450422974984</v>
      </c>
      <c r="I25" s="176"/>
    </row>
    <row r="26" spans="2:16" ht="16" customHeight="1">
      <c r="B26" s="180" t="s">
        <v>218</v>
      </c>
      <c r="C26" s="181"/>
      <c r="I26" s="176"/>
      <c r="P26" s="182"/>
    </row>
    <row r="27" spans="2:16">
      <c r="B27" s="177" t="s">
        <v>219</v>
      </c>
      <c r="C27" s="170">
        <f>F10</f>
        <v>1.2489018988490723</v>
      </c>
      <c r="I27" s="176"/>
      <c r="P27" s="182"/>
    </row>
    <row r="28" spans="2:16">
      <c r="B28" s="97" t="s">
        <v>220</v>
      </c>
      <c r="C28" s="170">
        <f>C27/(1+(1-C23)*C25)</f>
        <v>0.70445870436189917</v>
      </c>
      <c r="I28" s="173"/>
    </row>
    <row r="29" spans="2:16">
      <c r="B29" s="98" t="s">
        <v>229</v>
      </c>
      <c r="C29" s="179">
        <f>C28*(1+(1-C22)*C24)</f>
        <v>1.0332060997307855</v>
      </c>
      <c r="I29" s="173"/>
    </row>
    <row r="30" spans="2:16">
      <c r="B30" s="172" t="s">
        <v>230</v>
      </c>
      <c r="I30" s="173"/>
    </row>
    <row r="31" spans="2:16">
      <c r="B31" s="97" t="s">
        <v>221</v>
      </c>
      <c r="C31" s="181">
        <v>3.4000000000000002E-2</v>
      </c>
      <c r="E31" s="97" t="s">
        <v>225</v>
      </c>
      <c r="I31" s="176"/>
      <c r="O31" s="183"/>
    </row>
    <row r="32" spans="2:16">
      <c r="B32" s="97" t="s">
        <v>222</v>
      </c>
      <c r="C32" s="174">
        <v>0.112</v>
      </c>
      <c r="I32" s="176"/>
      <c r="L32" s="181"/>
    </row>
    <row r="33" spans="2:12">
      <c r="B33" s="97" t="s">
        <v>223</v>
      </c>
      <c r="C33" s="184">
        <f>C32-C31</f>
        <v>7.8E-2</v>
      </c>
      <c r="I33" s="176"/>
      <c r="L33" s="181"/>
    </row>
    <row r="34" spans="2:12">
      <c r="B34" s="98" t="s">
        <v>224</v>
      </c>
      <c r="C34" s="188">
        <f>C33*C29</f>
        <v>8.0590075779001263E-2</v>
      </c>
      <c r="I34" s="176"/>
      <c r="L34" s="181"/>
    </row>
    <row r="35" spans="2:12">
      <c r="B35" s="163" t="s">
        <v>232</v>
      </c>
      <c r="C35" s="166">
        <f>C31+C34</f>
        <v>0.11459007577900127</v>
      </c>
    </row>
  </sheetData>
  <pageMargins left="0.7" right="0.7" top="0.75" bottom="0.75" header="0.3" footer="0.3"/>
  <pageSetup scale="58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FB60-54B2-8F4D-A6E0-573E077DED90}">
  <sheetPr>
    <pageSetUpPr fitToPage="1"/>
  </sheetPr>
  <dimension ref="A2:J119"/>
  <sheetViews>
    <sheetView showGridLines="0" tabSelected="1" zoomScale="82" zoomScaleNormal="86" workbookViewId="0">
      <selection activeCell="H4" sqref="H4"/>
    </sheetView>
  </sheetViews>
  <sheetFormatPr defaultColWidth="10.81640625" defaultRowHeight="15.5"/>
  <cols>
    <col min="1" max="1" width="2.36328125" style="61" customWidth="1"/>
    <col min="2" max="2" width="32.453125" style="61" customWidth="1"/>
    <col min="3" max="3" width="19.6328125" style="63" customWidth="1"/>
    <col min="4" max="9" width="14.81640625" style="63" customWidth="1"/>
    <col min="10" max="16384" width="10.81640625" style="61"/>
  </cols>
  <sheetData>
    <row r="2" spans="2:9" s="120" customFormat="1" ht="22.5">
      <c r="B2" s="121" t="s">
        <v>149</v>
      </c>
      <c r="C2" s="122"/>
      <c r="D2" s="122"/>
      <c r="E2" s="122"/>
      <c r="F2" s="122"/>
      <c r="G2" s="122"/>
      <c r="H2" s="122"/>
      <c r="I2" s="122"/>
    </row>
    <row r="3" spans="2:9">
      <c r="C3" s="62"/>
    </row>
    <row r="4" spans="2:9">
      <c r="B4" s="61" t="s">
        <v>159</v>
      </c>
      <c r="D4" s="64"/>
      <c r="E4" s="64"/>
      <c r="F4" s="64"/>
      <c r="G4" s="64"/>
      <c r="H4" s="64"/>
    </row>
    <row r="5" spans="2:9">
      <c r="B5" s="61" t="s">
        <v>160</v>
      </c>
      <c r="D5" s="64"/>
      <c r="E5" s="64"/>
      <c r="F5" s="64"/>
      <c r="G5" s="64"/>
      <c r="H5" s="64"/>
    </row>
    <row r="6" spans="2:9">
      <c r="B6" s="61" t="s">
        <v>49</v>
      </c>
      <c r="D6" s="64"/>
      <c r="E6" s="64"/>
      <c r="F6" s="64"/>
      <c r="G6" s="64"/>
      <c r="H6" s="64"/>
    </row>
    <row r="7" spans="2:9">
      <c r="B7" s="61" t="s">
        <v>158</v>
      </c>
      <c r="D7" s="64"/>
      <c r="E7" s="64"/>
      <c r="F7" s="64"/>
      <c r="G7" s="64"/>
      <c r="H7" s="64"/>
    </row>
    <row r="8" spans="2:9">
      <c r="B8" s="61" t="s">
        <v>162</v>
      </c>
      <c r="D8" s="64"/>
      <c r="E8" s="64"/>
      <c r="F8" s="64"/>
      <c r="G8" s="64"/>
      <c r="H8" s="64"/>
    </row>
    <row r="9" spans="2:9">
      <c r="B9" s="61" t="s">
        <v>50</v>
      </c>
      <c r="D9" s="64"/>
      <c r="E9" s="64"/>
      <c r="F9" s="64"/>
      <c r="G9" s="64"/>
      <c r="H9" s="64"/>
    </row>
    <row r="10" spans="2:9">
      <c r="B10" s="61" t="s">
        <v>51</v>
      </c>
      <c r="D10" s="64"/>
      <c r="E10" s="64"/>
      <c r="F10" s="64"/>
      <c r="G10" s="64"/>
      <c r="H10" s="64"/>
    </row>
    <row r="11" spans="2:9">
      <c r="B11" s="61" t="s">
        <v>52</v>
      </c>
      <c r="D11" s="64"/>
      <c r="E11" s="64"/>
      <c r="F11" s="64"/>
      <c r="G11" s="64"/>
      <c r="H11" s="64"/>
    </row>
    <row r="12" spans="2:9">
      <c r="B12" s="61" t="s">
        <v>157</v>
      </c>
      <c r="D12" s="64"/>
      <c r="E12" s="64"/>
      <c r="F12" s="64"/>
      <c r="G12" s="64"/>
      <c r="H12" s="64"/>
    </row>
    <row r="13" spans="2:9">
      <c r="B13" s="61" t="s">
        <v>161</v>
      </c>
      <c r="D13" s="64"/>
      <c r="E13" s="64"/>
      <c r="F13" s="64"/>
      <c r="G13" s="64"/>
      <c r="H13" s="64"/>
    </row>
    <row r="14" spans="2:9">
      <c r="B14" s="61" t="s">
        <v>167</v>
      </c>
      <c r="D14" s="64"/>
      <c r="E14" s="64"/>
      <c r="F14" s="64"/>
      <c r="G14" s="64"/>
      <c r="H14" s="64"/>
    </row>
    <row r="15" spans="2:9">
      <c r="D15" s="64"/>
      <c r="E15" s="64"/>
      <c r="F15" s="64"/>
      <c r="G15" s="64"/>
      <c r="H15" s="64"/>
    </row>
    <row r="16" spans="2:9" ht="17.5">
      <c r="B16" s="65" t="s">
        <v>53</v>
      </c>
      <c r="C16" s="66"/>
      <c r="D16" s="67"/>
      <c r="E16" s="67"/>
      <c r="F16" s="67"/>
      <c r="G16" s="67"/>
      <c r="H16" s="67"/>
      <c r="I16" s="66"/>
    </row>
    <row r="17" spans="2:9" ht="17.5">
      <c r="B17" s="68"/>
      <c r="D17" s="69"/>
      <c r="E17" s="69"/>
      <c r="F17" s="69"/>
      <c r="G17" s="69"/>
      <c r="H17" s="69"/>
    </row>
    <row r="18" spans="2:9">
      <c r="B18" s="70"/>
      <c r="C18" s="71" t="s">
        <v>54</v>
      </c>
      <c r="D18" s="71" t="s">
        <v>163</v>
      </c>
      <c r="E18" s="71">
        <v>2023</v>
      </c>
      <c r="F18" s="71">
        <v>2024</v>
      </c>
      <c r="G18" s="71">
        <v>2025</v>
      </c>
      <c r="H18" s="71">
        <v>2026</v>
      </c>
      <c r="I18" s="71">
        <v>2027</v>
      </c>
    </row>
    <row r="19" spans="2:9">
      <c r="C19" s="63" t="s">
        <v>55</v>
      </c>
      <c r="D19" s="72"/>
      <c r="E19" s="116">
        <v>0.4</v>
      </c>
      <c r="F19" s="116">
        <v>0.3</v>
      </c>
      <c r="G19" s="116">
        <v>0.2</v>
      </c>
      <c r="H19" s="116">
        <v>0.1</v>
      </c>
      <c r="I19" s="117">
        <v>0.05</v>
      </c>
    </row>
    <row r="20" spans="2:9">
      <c r="B20" s="73"/>
      <c r="C20" s="62" t="s">
        <v>56</v>
      </c>
      <c r="D20" s="74">
        <v>20</v>
      </c>
      <c r="E20" s="118">
        <v>20</v>
      </c>
      <c r="F20" s="118">
        <v>20</v>
      </c>
      <c r="G20" s="118">
        <v>20</v>
      </c>
      <c r="H20" s="118">
        <v>20</v>
      </c>
      <c r="I20" s="118">
        <v>20</v>
      </c>
    </row>
    <row r="21" spans="2:9">
      <c r="C21" s="62" t="s">
        <v>57</v>
      </c>
      <c r="D21" s="74">
        <v>1000</v>
      </c>
      <c r="E21" s="119">
        <f>D21*(1+E19)</f>
        <v>1400</v>
      </c>
      <c r="F21" s="119">
        <f>E21*(1+F19)</f>
        <v>1820</v>
      </c>
      <c r="G21" s="119">
        <f t="shared" ref="G21:I21" si="0">F21*(1+G19)</f>
        <v>2184</v>
      </c>
      <c r="H21" s="119">
        <f t="shared" si="0"/>
        <v>2402.4</v>
      </c>
      <c r="I21" s="119">
        <f t="shared" si="0"/>
        <v>2522.52</v>
      </c>
    </row>
    <row r="22" spans="2:9">
      <c r="B22" s="73" t="s">
        <v>58</v>
      </c>
      <c r="C22" s="62"/>
      <c r="D22" s="74"/>
      <c r="E22" s="75"/>
      <c r="F22" s="75"/>
      <c r="G22" s="75"/>
      <c r="H22" s="75"/>
      <c r="I22" s="75"/>
    </row>
    <row r="23" spans="2:9">
      <c r="B23" s="76" t="s">
        <v>59</v>
      </c>
      <c r="C23" s="71" t="s">
        <v>164</v>
      </c>
      <c r="D23" s="71" t="s">
        <v>163</v>
      </c>
      <c r="E23" s="71">
        <v>2023</v>
      </c>
      <c r="F23" s="71">
        <v>2024</v>
      </c>
      <c r="G23" s="71">
        <v>2025</v>
      </c>
      <c r="H23" s="71">
        <v>2026</v>
      </c>
      <c r="I23" s="71">
        <v>2027</v>
      </c>
    </row>
    <row r="24" spans="2:9">
      <c r="B24" s="61" t="s">
        <v>60</v>
      </c>
      <c r="C24" s="113">
        <f>D24/$D$24</f>
        <v>1</v>
      </c>
      <c r="D24" s="77">
        <f>D20*D21</f>
        <v>20000</v>
      </c>
      <c r="E24" s="102">
        <f>E20*E21</f>
        <v>28000</v>
      </c>
      <c r="F24" s="102">
        <f t="shared" ref="F24:I24" si="1">F20*F21</f>
        <v>36400</v>
      </c>
      <c r="G24" s="102">
        <f t="shared" si="1"/>
        <v>43680</v>
      </c>
      <c r="H24" s="102">
        <f t="shared" si="1"/>
        <v>48048</v>
      </c>
      <c r="I24" s="102">
        <f t="shared" si="1"/>
        <v>50450.400000000001</v>
      </c>
    </row>
    <row r="25" spans="2:9">
      <c r="B25" s="78" t="s">
        <v>61</v>
      </c>
      <c r="C25" s="113">
        <f>D25/$D$24</f>
        <v>-0.55000000000000004</v>
      </c>
      <c r="D25" s="79">
        <v>-11000</v>
      </c>
      <c r="E25" s="103">
        <f>E24*$C$25</f>
        <v>-15400.000000000002</v>
      </c>
      <c r="F25" s="103">
        <f t="shared" ref="F25:I25" si="2">F24*$C$25</f>
        <v>-20020</v>
      </c>
      <c r="G25" s="103">
        <f t="shared" si="2"/>
        <v>-24024.000000000004</v>
      </c>
      <c r="H25" s="103">
        <f>H24*$C$25</f>
        <v>-26426.400000000001</v>
      </c>
      <c r="I25" s="103">
        <f t="shared" si="2"/>
        <v>-27747.720000000005</v>
      </c>
    </row>
    <row r="26" spans="2:9">
      <c r="B26" s="61" t="s">
        <v>174</v>
      </c>
      <c r="C26" s="113">
        <f>D26/$D$24</f>
        <v>0.45</v>
      </c>
      <c r="D26" s="77">
        <f>D24+D25</f>
        <v>9000</v>
      </c>
      <c r="E26" s="102">
        <f>E24+E25</f>
        <v>12599.999999999998</v>
      </c>
      <c r="F26" s="102">
        <f t="shared" ref="F26:I26" si="3">F24+F25</f>
        <v>16380</v>
      </c>
      <c r="G26" s="102">
        <f t="shared" si="3"/>
        <v>19655.999999999996</v>
      </c>
      <c r="H26" s="102">
        <f>H24+H25</f>
        <v>21621.599999999999</v>
      </c>
      <c r="I26" s="102">
        <f t="shared" si="3"/>
        <v>22702.679999999997</v>
      </c>
    </row>
    <row r="27" spans="2:9">
      <c r="B27" s="61" t="s">
        <v>62</v>
      </c>
      <c r="C27" s="113">
        <f>D27/$D$24</f>
        <v>-0.3</v>
      </c>
      <c r="D27" s="77">
        <v>-6000</v>
      </c>
      <c r="E27" s="102">
        <f>E24*$C$27</f>
        <v>-8400</v>
      </c>
      <c r="F27" s="102">
        <f t="shared" ref="F27:I27" si="4">F24*$C$27</f>
        <v>-10920</v>
      </c>
      <c r="G27" s="102">
        <f t="shared" si="4"/>
        <v>-13104</v>
      </c>
      <c r="H27" s="102">
        <f t="shared" si="4"/>
        <v>-14414.4</v>
      </c>
      <c r="I27" s="102">
        <f t="shared" si="4"/>
        <v>-15135.119999999999</v>
      </c>
    </row>
    <row r="28" spans="2:9">
      <c r="B28" s="78" t="s">
        <v>63</v>
      </c>
      <c r="C28" s="113" t="s">
        <v>64</v>
      </c>
      <c r="D28" s="79">
        <f>-D43*0.08</f>
        <v>-400</v>
      </c>
      <c r="E28" s="112">
        <f>-E43*0.08</f>
        <v>-560</v>
      </c>
      <c r="F28" s="112">
        <f t="shared" ref="F28:I28" si="5">-F43*0.08</f>
        <v>-728</v>
      </c>
      <c r="G28" s="112">
        <f t="shared" si="5"/>
        <v>-873.6</v>
      </c>
      <c r="H28" s="112">
        <f t="shared" si="5"/>
        <v>-960.96</v>
      </c>
      <c r="I28" s="112">
        <f t="shared" si="5"/>
        <v>-1009.008</v>
      </c>
    </row>
    <row r="29" spans="2:9">
      <c r="B29" s="61" t="s">
        <v>175</v>
      </c>
      <c r="D29" s="77">
        <f>SUM(D26:D28)</f>
        <v>2600</v>
      </c>
      <c r="E29" s="102">
        <f>SUM(E26:E28)</f>
        <v>3639.9999999999982</v>
      </c>
      <c r="F29" s="102">
        <f t="shared" ref="F29:I29" si="6">SUM(F26:F28)</f>
        <v>4732</v>
      </c>
      <c r="G29" s="102">
        <f t="shared" si="6"/>
        <v>5678.399999999996</v>
      </c>
      <c r="H29" s="102">
        <f t="shared" si="6"/>
        <v>6246.2399999999989</v>
      </c>
      <c r="I29" s="102">
        <f t="shared" si="6"/>
        <v>6558.5519999999979</v>
      </c>
    </row>
    <row r="30" spans="2:9">
      <c r="B30" s="78" t="s">
        <v>65</v>
      </c>
      <c r="C30" s="113" t="s">
        <v>177</v>
      </c>
      <c r="D30" s="79">
        <f>D47*-10%</f>
        <v>-100</v>
      </c>
      <c r="E30" s="112">
        <f>-E47*10%</f>
        <v>-100</v>
      </c>
      <c r="F30" s="112">
        <f t="shared" ref="F30:I30" si="7">-F47*10%</f>
        <v>-100</v>
      </c>
      <c r="G30" s="112">
        <f t="shared" si="7"/>
        <v>-100</v>
      </c>
      <c r="H30" s="112">
        <f t="shared" si="7"/>
        <v>-100</v>
      </c>
      <c r="I30" s="112">
        <f t="shared" si="7"/>
        <v>-100</v>
      </c>
    </row>
    <row r="31" spans="2:9">
      <c r="B31" s="61" t="s">
        <v>176</v>
      </c>
      <c r="D31" s="77">
        <f>D29+D30</f>
        <v>2500</v>
      </c>
      <c r="E31" s="102">
        <f>E29+E30</f>
        <v>3539.9999999999982</v>
      </c>
      <c r="F31" s="102">
        <f t="shared" ref="F31:I31" si="8">F29+F30</f>
        <v>4632</v>
      </c>
      <c r="G31" s="102">
        <f t="shared" si="8"/>
        <v>5578.399999999996</v>
      </c>
      <c r="H31" s="102">
        <f t="shared" si="8"/>
        <v>6146.2399999999989</v>
      </c>
      <c r="I31" s="102">
        <f t="shared" si="8"/>
        <v>6458.5519999999979</v>
      </c>
    </row>
    <row r="32" spans="2:9">
      <c r="B32" s="78" t="s">
        <v>66</v>
      </c>
      <c r="C32" s="80"/>
      <c r="D32" s="79">
        <f>D31*-40%</f>
        <v>-1000</v>
      </c>
      <c r="E32" s="112">
        <f>-E31*40%</f>
        <v>-1415.9999999999993</v>
      </c>
      <c r="F32" s="112">
        <f t="shared" ref="F32:I32" si="9">-F31*40%</f>
        <v>-1852.8000000000002</v>
      </c>
      <c r="G32" s="112">
        <f t="shared" si="9"/>
        <v>-2231.3599999999983</v>
      </c>
      <c r="H32" s="112">
        <f t="shared" si="9"/>
        <v>-2458.4959999999996</v>
      </c>
      <c r="I32" s="112">
        <f t="shared" si="9"/>
        <v>-2583.4207999999994</v>
      </c>
    </row>
    <row r="33" spans="2:9">
      <c r="B33" s="61" t="s">
        <v>144</v>
      </c>
      <c r="D33" s="77">
        <f>D31+D32</f>
        <v>1500</v>
      </c>
      <c r="E33" s="102">
        <f>E31+E32</f>
        <v>2123.9999999999991</v>
      </c>
      <c r="F33" s="102">
        <f t="shared" ref="F33:I33" si="10">F31+F32</f>
        <v>2779.2</v>
      </c>
      <c r="G33" s="102">
        <f t="shared" si="10"/>
        <v>3347.0399999999977</v>
      </c>
      <c r="H33" s="102">
        <f t="shared" si="10"/>
        <v>3687.7439999999992</v>
      </c>
      <c r="I33" s="102">
        <f t="shared" si="10"/>
        <v>3875.1311999999984</v>
      </c>
    </row>
    <row r="34" spans="2:9">
      <c r="D34" s="77"/>
      <c r="E34" s="64"/>
      <c r="F34" s="64"/>
      <c r="G34" s="64"/>
      <c r="H34" s="64"/>
      <c r="I34" s="64"/>
    </row>
    <row r="35" spans="2:9">
      <c r="B35" s="76" t="s">
        <v>68</v>
      </c>
      <c r="C35" s="71" t="s">
        <v>164</v>
      </c>
      <c r="D35" s="71" t="s">
        <v>163</v>
      </c>
      <c r="E35" s="71">
        <v>2023</v>
      </c>
      <c r="F35" s="71">
        <v>2024</v>
      </c>
      <c r="G35" s="71">
        <v>2025</v>
      </c>
      <c r="H35" s="71">
        <v>2026</v>
      </c>
      <c r="I35" s="71">
        <v>2027</v>
      </c>
    </row>
    <row r="36" spans="2:9">
      <c r="B36" s="61" t="s">
        <v>47</v>
      </c>
      <c r="C36" s="113">
        <f>D36/$D$24</f>
        <v>6.5000000000000002E-2</v>
      </c>
      <c r="D36" s="77">
        <v>1300</v>
      </c>
      <c r="E36" s="102">
        <f>E$24*$C36</f>
        <v>1820</v>
      </c>
      <c r="F36" s="102">
        <f t="shared" ref="F36:I39" si="11">F$24*$C36</f>
        <v>2366</v>
      </c>
      <c r="G36" s="102">
        <f t="shared" si="11"/>
        <v>2839.2000000000003</v>
      </c>
      <c r="H36" s="102">
        <f t="shared" si="11"/>
        <v>3123.12</v>
      </c>
      <c r="I36" s="102">
        <f t="shared" si="11"/>
        <v>3279.2760000000003</v>
      </c>
    </row>
    <row r="37" spans="2:9" s="146" customFormat="1">
      <c r="B37" s="81" t="s">
        <v>69</v>
      </c>
      <c r="C37" s="152"/>
      <c r="D37" s="144">
        <v>0</v>
      </c>
      <c r="E37" s="102">
        <f t="shared" ref="E37:E39" si="12">E$24*$C37</f>
        <v>0</v>
      </c>
      <c r="F37" s="102">
        <f t="shared" si="11"/>
        <v>0</v>
      </c>
      <c r="G37" s="145">
        <f>G44-G36-G38-G39-G43</f>
        <v>507.83999999999651</v>
      </c>
      <c r="H37" s="145">
        <f t="shared" ref="H37:I37" si="13">H44-H36-H38-H39-H43</f>
        <v>2492.0639999999985</v>
      </c>
      <c r="I37" s="145">
        <f t="shared" si="13"/>
        <v>5430.2591999999913</v>
      </c>
    </row>
    <row r="38" spans="2:9">
      <c r="B38" s="61" t="s">
        <v>70</v>
      </c>
      <c r="C38" s="114">
        <f>D38/D24</f>
        <v>0.1</v>
      </c>
      <c r="D38" s="77">
        <v>2000</v>
      </c>
      <c r="E38" s="102">
        <f t="shared" si="12"/>
        <v>2800</v>
      </c>
      <c r="F38" s="102">
        <f t="shared" si="11"/>
        <v>3640</v>
      </c>
      <c r="G38" s="102">
        <f t="shared" si="11"/>
        <v>4368</v>
      </c>
      <c r="H38" s="102">
        <f t="shared" si="11"/>
        <v>4804.8</v>
      </c>
      <c r="I38" s="102">
        <f t="shared" si="11"/>
        <v>5045.0400000000009</v>
      </c>
    </row>
    <row r="39" spans="2:9" ht="17">
      <c r="B39" s="78" t="s">
        <v>48</v>
      </c>
      <c r="C39" s="115">
        <f>D39/D24</f>
        <v>0.1</v>
      </c>
      <c r="D39" s="79">
        <v>2000</v>
      </c>
      <c r="E39" s="192">
        <f t="shared" si="12"/>
        <v>2800</v>
      </c>
      <c r="F39" s="192">
        <f t="shared" si="11"/>
        <v>3640</v>
      </c>
      <c r="G39" s="192">
        <f t="shared" si="11"/>
        <v>4368</v>
      </c>
      <c r="H39" s="192">
        <f t="shared" si="11"/>
        <v>4804.8</v>
      </c>
      <c r="I39" s="192">
        <f t="shared" si="11"/>
        <v>5045.0400000000009</v>
      </c>
    </row>
    <row r="40" spans="2:9">
      <c r="B40" s="61" t="s">
        <v>71</v>
      </c>
      <c r="C40" s="82"/>
      <c r="D40" s="77">
        <f>SUM(D36:D39)</f>
        <v>5300</v>
      </c>
      <c r="E40" s="102">
        <f>SUM(E36:E39)</f>
        <v>7420</v>
      </c>
      <c r="F40" s="102">
        <f t="shared" ref="F40:I40" si="14">SUM(F36:F39)</f>
        <v>9646</v>
      </c>
      <c r="G40" s="102">
        <f t="shared" si="14"/>
        <v>12083.039999999997</v>
      </c>
      <c r="H40" s="102">
        <f t="shared" si="14"/>
        <v>15224.784</v>
      </c>
      <c r="I40" s="102">
        <f t="shared" si="14"/>
        <v>18799.615199999993</v>
      </c>
    </row>
    <row r="41" spans="2:9">
      <c r="B41" s="61" t="s">
        <v>72</v>
      </c>
      <c r="C41" s="82"/>
      <c r="D41" s="77">
        <v>5400</v>
      </c>
      <c r="E41" s="102">
        <f>E43-E42</f>
        <v>7960</v>
      </c>
      <c r="F41" s="102">
        <f t="shared" ref="F41:I41" si="15">F43-F42</f>
        <v>10788</v>
      </c>
      <c r="G41" s="102">
        <f t="shared" si="15"/>
        <v>13481.6</v>
      </c>
      <c r="H41" s="102">
        <f t="shared" si="15"/>
        <v>15534.56</v>
      </c>
      <c r="I41" s="102">
        <f t="shared" si="15"/>
        <v>17144.168000000001</v>
      </c>
    </row>
    <row r="42" spans="2:9">
      <c r="B42" s="78" t="s">
        <v>73</v>
      </c>
      <c r="C42" s="83"/>
      <c r="D42" s="79">
        <v>-400</v>
      </c>
      <c r="E42" s="103">
        <f>D42+E28</f>
        <v>-960</v>
      </c>
      <c r="F42" s="103">
        <f t="shared" ref="F42:I42" si="16">E42+F28</f>
        <v>-1688</v>
      </c>
      <c r="G42" s="103">
        <f t="shared" si="16"/>
        <v>-2561.6</v>
      </c>
      <c r="H42" s="103">
        <f t="shared" si="16"/>
        <v>-3522.56</v>
      </c>
      <c r="I42" s="103">
        <f t="shared" si="16"/>
        <v>-4531.5680000000002</v>
      </c>
    </row>
    <row r="43" spans="2:9" ht="17">
      <c r="B43" s="78" t="s">
        <v>74</v>
      </c>
      <c r="C43" s="115">
        <f>D43/D24</f>
        <v>0.25</v>
      </c>
      <c r="D43" s="79">
        <v>5000</v>
      </c>
      <c r="E43" s="192">
        <f>E$24*$C43</f>
        <v>7000</v>
      </c>
      <c r="F43" s="192">
        <f t="shared" ref="F43:I43" si="17">F$24*$C43</f>
        <v>9100</v>
      </c>
      <c r="G43" s="192">
        <f t="shared" si="17"/>
        <v>10920</v>
      </c>
      <c r="H43" s="192">
        <f t="shared" si="17"/>
        <v>12012</v>
      </c>
      <c r="I43" s="192">
        <f t="shared" si="17"/>
        <v>12612.6</v>
      </c>
    </row>
    <row r="44" spans="2:9">
      <c r="B44" s="70" t="s">
        <v>75</v>
      </c>
      <c r="C44" s="84"/>
      <c r="D44" s="85">
        <f>D40+D43</f>
        <v>10300</v>
      </c>
      <c r="E44" s="111">
        <f>E40+E43</f>
        <v>14420</v>
      </c>
      <c r="F44" s="111">
        <f t="shared" ref="F44:I44" si="18">F40+F43</f>
        <v>18746</v>
      </c>
      <c r="G44" s="111">
        <f>G53</f>
        <v>23003.039999999997</v>
      </c>
      <c r="H44" s="111">
        <f t="shared" ref="H44:I44" si="19">H53</f>
        <v>27236.783999999996</v>
      </c>
      <c r="I44" s="111">
        <f t="shared" si="19"/>
        <v>31412.215199999995</v>
      </c>
    </row>
    <row r="45" spans="2:9">
      <c r="B45" s="61" t="s">
        <v>76</v>
      </c>
      <c r="C45" s="114">
        <f>D45/D24</f>
        <v>7.4999999999999997E-2</v>
      </c>
      <c r="D45" s="77">
        <v>1500</v>
      </c>
      <c r="E45" s="102">
        <f>E$24*$C45</f>
        <v>2100</v>
      </c>
      <c r="F45" s="102">
        <f t="shared" ref="F45:I46" si="20">F$24*$C45</f>
        <v>2730</v>
      </c>
      <c r="G45" s="102">
        <f t="shared" si="20"/>
        <v>3276</v>
      </c>
      <c r="H45" s="102">
        <f t="shared" si="20"/>
        <v>3603.6</v>
      </c>
      <c r="I45" s="102">
        <f t="shared" si="20"/>
        <v>3783.7799999999997</v>
      </c>
    </row>
    <row r="46" spans="2:9">
      <c r="B46" s="61" t="s">
        <v>77</v>
      </c>
      <c r="C46" s="114">
        <f>D46/D24</f>
        <v>0.05</v>
      </c>
      <c r="D46" s="77">
        <v>1000</v>
      </c>
      <c r="E46" s="102">
        <f>E$24*$C46</f>
        <v>1400</v>
      </c>
      <c r="F46" s="102">
        <f t="shared" si="20"/>
        <v>1820</v>
      </c>
      <c r="G46" s="102">
        <f t="shared" si="20"/>
        <v>2184</v>
      </c>
      <c r="H46" s="102">
        <f t="shared" si="20"/>
        <v>2402.4</v>
      </c>
      <c r="I46" s="102">
        <f t="shared" si="20"/>
        <v>2522.5200000000004</v>
      </c>
    </row>
    <row r="47" spans="2:9">
      <c r="B47" s="78" t="s">
        <v>178</v>
      </c>
      <c r="C47" s="80"/>
      <c r="D47" s="79">
        <v>1000</v>
      </c>
      <c r="E47" s="103">
        <v>1000</v>
      </c>
      <c r="F47" s="103">
        <v>1000</v>
      </c>
      <c r="G47" s="103">
        <v>1000</v>
      </c>
      <c r="H47" s="103">
        <v>1000</v>
      </c>
      <c r="I47" s="103">
        <v>1000</v>
      </c>
    </row>
    <row r="48" spans="2:9">
      <c r="B48" s="61" t="s">
        <v>78</v>
      </c>
      <c r="D48" s="77">
        <f>SUM(D45:D47)</f>
        <v>3500</v>
      </c>
      <c r="E48" s="102">
        <f>SUM(E45:E47)</f>
        <v>4500</v>
      </c>
      <c r="F48" s="102">
        <f t="shared" ref="F48:I48" si="21">SUM(F45:F47)</f>
        <v>5550</v>
      </c>
      <c r="G48" s="102">
        <f t="shared" si="21"/>
        <v>6460</v>
      </c>
      <c r="H48" s="102">
        <f t="shared" si="21"/>
        <v>7006</v>
      </c>
      <c r="I48" s="102">
        <f t="shared" si="21"/>
        <v>7306.3</v>
      </c>
    </row>
    <row r="49" spans="2:10" s="146" customFormat="1">
      <c r="B49" s="81" t="s">
        <v>79</v>
      </c>
      <c r="C49" s="143"/>
      <c r="D49" s="144">
        <v>0</v>
      </c>
      <c r="E49" s="145">
        <f>E53-E48-E50-E51</f>
        <v>996.00000000000091</v>
      </c>
      <c r="F49" s="145">
        <f>F53-F48-F50-F51</f>
        <v>1492.8000000000011</v>
      </c>
      <c r="G49" s="145">
        <f>F49</f>
        <v>1492.8000000000011</v>
      </c>
      <c r="H49" s="145">
        <f>G49</f>
        <v>1492.8000000000011</v>
      </c>
      <c r="I49" s="145">
        <f>H49</f>
        <v>1492.8000000000011</v>
      </c>
    </row>
    <row r="50" spans="2:10">
      <c r="B50" s="61" t="s">
        <v>80</v>
      </c>
      <c r="D50" s="77">
        <v>5300</v>
      </c>
      <c r="E50" s="102">
        <f>D50</f>
        <v>5300</v>
      </c>
      <c r="F50" s="102">
        <f>E50</f>
        <v>5300</v>
      </c>
      <c r="G50" s="102">
        <f t="shared" ref="F50:I50" si="22">F50</f>
        <v>5300</v>
      </c>
      <c r="H50" s="102">
        <f t="shared" si="22"/>
        <v>5300</v>
      </c>
      <c r="I50" s="102">
        <f t="shared" si="22"/>
        <v>5300</v>
      </c>
    </row>
    <row r="51" spans="2:10">
      <c r="B51" s="78" t="s">
        <v>81</v>
      </c>
      <c r="C51" s="80"/>
      <c r="D51" s="79">
        <f>D33</f>
        <v>1500</v>
      </c>
      <c r="E51" s="103">
        <f>D51+E33</f>
        <v>3623.9999999999991</v>
      </c>
      <c r="F51" s="103">
        <f>E51+F33</f>
        <v>6403.1999999999989</v>
      </c>
      <c r="G51" s="103">
        <f t="shared" ref="F51:I51" si="23">F51+G33</f>
        <v>9750.2399999999961</v>
      </c>
      <c r="H51" s="103">
        <f t="shared" si="23"/>
        <v>13437.983999999995</v>
      </c>
      <c r="I51" s="103">
        <f t="shared" si="23"/>
        <v>17313.115199999993</v>
      </c>
    </row>
    <row r="52" spans="2:10">
      <c r="B52" s="78" t="s">
        <v>82</v>
      </c>
      <c r="C52" s="80"/>
      <c r="D52" s="79">
        <f>SUM(D49:D51)</f>
        <v>6800</v>
      </c>
      <c r="E52" s="112">
        <f>SUM(E49:E51)</f>
        <v>9920</v>
      </c>
      <c r="F52" s="112">
        <f>SUM(F49:F51)</f>
        <v>13196</v>
      </c>
      <c r="G52" s="112">
        <f>SUM(G49:G51)</f>
        <v>16543.039999999997</v>
      </c>
      <c r="H52" s="112">
        <f>SUM(H49:H51)</f>
        <v>20230.783999999996</v>
      </c>
      <c r="I52" s="112">
        <f>SUM(I49:I51)</f>
        <v>24105.915199999996</v>
      </c>
    </row>
    <row r="53" spans="2:10">
      <c r="B53" s="70" t="s">
        <v>83</v>
      </c>
      <c r="C53" s="86"/>
      <c r="D53" s="85">
        <f>D48+D52</f>
        <v>10300</v>
      </c>
      <c r="E53" s="111">
        <f>E44</f>
        <v>14420</v>
      </c>
      <c r="F53" s="111">
        <f>F44</f>
        <v>18746</v>
      </c>
      <c r="G53" s="111">
        <f>G52+G48</f>
        <v>23003.039999999997</v>
      </c>
      <c r="H53" s="111">
        <f>H52+H48</f>
        <v>27236.783999999996</v>
      </c>
      <c r="I53" s="111">
        <f>I52+I48</f>
        <v>31412.215199999995</v>
      </c>
    </row>
    <row r="54" spans="2:10">
      <c r="B54" s="70"/>
      <c r="C54" s="86"/>
      <c r="D54" s="85"/>
      <c r="E54" s="64"/>
      <c r="F54" s="64"/>
      <c r="G54" s="64"/>
      <c r="H54" s="64"/>
    </row>
    <row r="55" spans="2:10">
      <c r="B55" s="76" t="s">
        <v>84</v>
      </c>
      <c r="C55" s="66"/>
      <c r="D55" s="71" t="s">
        <v>163</v>
      </c>
      <c r="E55" s="71">
        <v>2023</v>
      </c>
      <c r="F55" s="71">
        <v>2024</v>
      </c>
      <c r="G55" s="71">
        <v>2025</v>
      </c>
      <c r="H55" s="71">
        <v>2026</v>
      </c>
      <c r="I55" s="71">
        <v>2027</v>
      </c>
    </row>
    <row r="56" spans="2:10">
      <c r="B56" s="61" t="s">
        <v>67</v>
      </c>
      <c r="D56" s="77">
        <f t="shared" ref="D56" si="24">D33</f>
        <v>1500</v>
      </c>
      <c r="E56" s="102">
        <f>E33</f>
        <v>2123.9999999999991</v>
      </c>
      <c r="F56" s="102">
        <f t="shared" ref="F56:I56" si="25">F33</f>
        <v>2779.2</v>
      </c>
      <c r="G56" s="102">
        <f t="shared" si="25"/>
        <v>3347.0399999999977</v>
      </c>
      <c r="H56" s="102">
        <f t="shared" si="25"/>
        <v>3687.7439999999992</v>
      </c>
      <c r="I56" s="102">
        <f t="shared" si="25"/>
        <v>3875.1311999999984</v>
      </c>
    </row>
    <row r="57" spans="2:10">
      <c r="B57" s="61" t="s">
        <v>85</v>
      </c>
      <c r="D57" s="77">
        <f>-D28</f>
        <v>400</v>
      </c>
      <c r="E57" s="102">
        <f>-E28</f>
        <v>560</v>
      </c>
      <c r="F57" s="102">
        <f t="shared" ref="F57:I57" si="26">-F28</f>
        <v>728</v>
      </c>
      <c r="G57" s="102">
        <f t="shared" si="26"/>
        <v>873.6</v>
      </c>
      <c r="H57" s="102">
        <f t="shared" si="26"/>
        <v>960.96</v>
      </c>
      <c r="I57" s="102">
        <f t="shared" si="26"/>
        <v>1009.008</v>
      </c>
    </row>
    <row r="58" spans="2:10">
      <c r="B58" s="61" t="s">
        <v>86</v>
      </c>
      <c r="D58" s="77">
        <f>0-D38</f>
        <v>-2000</v>
      </c>
      <c r="E58" s="102">
        <f>D38-E38</f>
        <v>-800</v>
      </c>
      <c r="F58" s="102">
        <f t="shared" ref="F58:I58" si="27">E38-F38</f>
        <v>-840</v>
      </c>
      <c r="G58" s="102">
        <f t="shared" si="27"/>
        <v>-728</v>
      </c>
      <c r="H58" s="102">
        <f t="shared" si="27"/>
        <v>-436.80000000000018</v>
      </c>
      <c r="I58" s="102">
        <f t="shared" si="27"/>
        <v>-240.24000000000069</v>
      </c>
    </row>
    <row r="59" spans="2:10">
      <c r="B59" s="61" t="s">
        <v>87</v>
      </c>
      <c r="D59" s="77">
        <f>0-D39</f>
        <v>-2000</v>
      </c>
      <c r="E59" s="102">
        <f>D39-E39</f>
        <v>-800</v>
      </c>
      <c r="F59" s="102">
        <f t="shared" ref="F59:I59" si="28">E39-F39</f>
        <v>-840</v>
      </c>
      <c r="G59" s="102">
        <f t="shared" si="28"/>
        <v>-728</v>
      </c>
      <c r="H59" s="102">
        <f t="shared" si="28"/>
        <v>-436.80000000000018</v>
      </c>
      <c r="I59" s="102">
        <f t="shared" si="28"/>
        <v>-240.24000000000069</v>
      </c>
    </row>
    <row r="60" spans="2:10">
      <c r="B60" s="61" t="s">
        <v>88</v>
      </c>
      <c r="D60" s="77">
        <f>D45-0</f>
        <v>1500</v>
      </c>
      <c r="E60" s="102">
        <f>E45-D45</f>
        <v>600</v>
      </c>
      <c r="F60" s="102">
        <f t="shared" ref="F60:I60" si="29">F45-E45</f>
        <v>630</v>
      </c>
      <c r="G60" s="102">
        <f t="shared" si="29"/>
        <v>546</v>
      </c>
      <c r="H60" s="102">
        <f t="shared" si="29"/>
        <v>327.59999999999991</v>
      </c>
      <c r="I60" s="102">
        <f t="shared" si="29"/>
        <v>180.17999999999984</v>
      </c>
    </row>
    <row r="61" spans="2:10">
      <c r="B61" s="78" t="s">
        <v>89</v>
      </c>
      <c r="C61" s="80"/>
      <c r="D61" s="87">
        <f>D46-0</f>
        <v>1000</v>
      </c>
      <c r="E61" s="103">
        <f>E46-D46</f>
        <v>400</v>
      </c>
      <c r="F61" s="103">
        <f t="shared" ref="F61:I61" si="30">F46-E46</f>
        <v>420</v>
      </c>
      <c r="G61" s="103">
        <f t="shared" si="30"/>
        <v>364</v>
      </c>
      <c r="H61" s="103">
        <f t="shared" si="30"/>
        <v>218.40000000000009</v>
      </c>
      <c r="I61" s="103">
        <f t="shared" si="30"/>
        <v>120.12000000000035</v>
      </c>
    </row>
    <row r="62" spans="2:10" s="88" customFormat="1">
      <c r="B62" s="88" t="s">
        <v>90</v>
      </c>
      <c r="C62" s="89"/>
      <c r="D62" s="90">
        <f>SUM(D56:D61)</f>
        <v>400</v>
      </c>
      <c r="E62" s="109">
        <f>SUM(E56:E61)</f>
        <v>2083.9999999999991</v>
      </c>
      <c r="F62" s="109">
        <f t="shared" ref="F62:I62" si="31">SUM(F56:F61)</f>
        <v>2877.2</v>
      </c>
      <c r="G62" s="109">
        <f t="shared" si="31"/>
        <v>3674.6399999999976</v>
      </c>
      <c r="H62" s="109">
        <f t="shared" si="31"/>
        <v>4321.1039999999994</v>
      </c>
      <c r="I62" s="109">
        <f t="shared" si="31"/>
        <v>4703.9591999999975</v>
      </c>
      <c r="J62" s="61"/>
    </row>
    <row r="63" spans="2:10">
      <c r="B63" s="78" t="s">
        <v>91</v>
      </c>
      <c r="C63" s="80"/>
      <c r="D63" s="87">
        <f>0-D41</f>
        <v>-5400</v>
      </c>
      <c r="E63" s="103">
        <f>D41-E41</f>
        <v>-2560</v>
      </c>
      <c r="F63" s="103">
        <f t="shared" ref="F63:I63" si="32">E41-F41</f>
        <v>-2828</v>
      </c>
      <c r="G63" s="103">
        <f t="shared" si="32"/>
        <v>-2693.6000000000004</v>
      </c>
      <c r="H63" s="103">
        <f t="shared" si="32"/>
        <v>-2052.9599999999991</v>
      </c>
      <c r="I63" s="103">
        <f t="shared" si="32"/>
        <v>-1609.608000000002</v>
      </c>
    </row>
    <row r="64" spans="2:10" s="88" customFormat="1">
      <c r="B64" s="88" t="s">
        <v>92</v>
      </c>
      <c r="C64" s="89"/>
      <c r="D64" s="90">
        <f>D63</f>
        <v>-5400</v>
      </c>
      <c r="E64" s="109">
        <f>E63</f>
        <v>-2560</v>
      </c>
      <c r="F64" s="109">
        <f t="shared" ref="F64:I64" si="33">F63</f>
        <v>-2828</v>
      </c>
      <c r="G64" s="109">
        <f t="shared" si="33"/>
        <v>-2693.6000000000004</v>
      </c>
      <c r="H64" s="109">
        <f t="shared" si="33"/>
        <v>-2052.9599999999991</v>
      </c>
      <c r="I64" s="109">
        <f t="shared" si="33"/>
        <v>-1609.608000000002</v>
      </c>
      <c r="J64" s="61"/>
    </row>
    <row r="65" spans="2:10">
      <c r="B65" s="61" t="s">
        <v>179</v>
      </c>
      <c r="D65" s="77">
        <f>D47-0</f>
        <v>1000</v>
      </c>
      <c r="E65" s="102">
        <f>E47-D47</f>
        <v>0</v>
      </c>
      <c r="F65" s="102">
        <f t="shared" ref="F65:I65" si="34">F47-E47</f>
        <v>0</v>
      </c>
      <c r="G65" s="102">
        <f t="shared" si="34"/>
        <v>0</v>
      </c>
      <c r="H65" s="102">
        <f t="shared" si="34"/>
        <v>0</v>
      </c>
      <c r="I65" s="102">
        <f t="shared" si="34"/>
        <v>0</v>
      </c>
    </row>
    <row r="66" spans="2:10" s="146" customFormat="1">
      <c r="B66" s="146" t="s">
        <v>93</v>
      </c>
      <c r="C66" s="147"/>
      <c r="D66" s="148">
        <f>D49-0</f>
        <v>0</v>
      </c>
      <c r="E66" s="149">
        <f>E49-D49</f>
        <v>996.00000000000091</v>
      </c>
      <c r="F66" s="149">
        <f t="shared" ref="F66:I66" si="35">F49-E49</f>
        <v>496.80000000000018</v>
      </c>
      <c r="G66" s="149">
        <f t="shared" si="35"/>
        <v>0</v>
      </c>
      <c r="H66" s="149">
        <f t="shared" si="35"/>
        <v>0</v>
      </c>
      <c r="I66" s="149">
        <f t="shared" si="35"/>
        <v>0</v>
      </c>
      <c r="J66" s="61"/>
    </row>
    <row r="67" spans="2:10">
      <c r="B67" s="78" t="s">
        <v>94</v>
      </c>
      <c r="C67" s="80"/>
      <c r="D67" s="87">
        <f>D50-0</f>
        <v>5300</v>
      </c>
      <c r="E67" s="103">
        <f>E50-D50</f>
        <v>0</v>
      </c>
      <c r="F67" s="103">
        <f t="shared" ref="F67:I67" si="36">F50-E50</f>
        <v>0</v>
      </c>
      <c r="G67" s="103">
        <f t="shared" si="36"/>
        <v>0</v>
      </c>
      <c r="H67" s="103">
        <f t="shared" si="36"/>
        <v>0</v>
      </c>
      <c r="I67" s="103">
        <f t="shared" si="36"/>
        <v>0</v>
      </c>
    </row>
    <row r="68" spans="2:10" s="88" customFormat="1">
      <c r="B68" s="88" t="s">
        <v>95</v>
      </c>
      <c r="C68" s="89"/>
      <c r="D68" s="90">
        <f>SUM(D65:D67)</f>
        <v>6300</v>
      </c>
      <c r="E68" s="109">
        <f>SUM(E65:E67)</f>
        <v>996.00000000000091</v>
      </c>
      <c r="F68" s="109">
        <f t="shared" ref="F68:I68" si="37">SUM(F65:F67)</f>
        <v>496.80000000000018</v>
      </c>
      <c r="G68" s="109">
        <f t="shared" si="37"/>
        <v>0</v>
      </c>
      <c r="H68" s="109">
        <f t="shared" si="37"/>
        <v>0</v>
      </c>
      <c r="I68" s="109">
        <f t="shared" si="37"/>
        <v>0</v>
      </c>
      <c r="J68" s="61"/>
    </row>
    <row r="69" spans="2:10">
      <c r="D69" s="77"/>
      <c r="E69" s="64"/>
      <c r="F69" s="64"/>
      <c r="G69" s="64"/>
      <c r="H69" s="64"/>
      <c r="I69" s="64"/>
    </row>
    <row r="70" spans="2:10" s="88" customFormat="1">
      <c r="B70" s="88" t="s">
        <v>96</v>
      </c>
      <c r="C70" s="89"/>
      <c r="D70" s="90">
        <f>D62+D64+D68</f>
        <v>1300</v>
      </c>
      <c r="E70" s="109">
        <f>E62+E64+E68</f>
        <v>520</v>
      </c>
      <c r="F70" s="109">
        <f t="shared" ref="F70:I70" si="38">F62+F64+F68</f>
        <v>546</v>
      </c>
      <c r="G70" s="109">
        <f t="shared" si="38"/>
        <v>981.03999999999724</v>
      </c>
      <c r="H70" s="109">
        <f t="shared" si="38"/>
        <v>2268.1440000000002</v>
      </c>
      <c r="I70" s="109">
        <f t="shared" si="38"/>
        <v>3094.3511999999955</v>
      </c>
      <c r="J70" s="61"/>
    </row>
    <row r="71" spans="2:10" s="88" customFormat="1">
      <c r="B71" s="91" t="s">
        <v>97</v>
      </c>
      <c r="C71" s="92"/>
      <c r="D71" s="93">
        <f>0</f>
        <v>0</v>
      </c>
      <c r="E71" s="110">
        <f>D72</f>
        <v>1300</v>
      </c>
      <c r="F71" s="110">
        <f t="shared" ref="F71:I71" si="39">E72</f>
        <v>1820</v>
      </c>
      <c r="G71" s="110">
        <f t="shared" si="39"/>
        <v>2366</v>
      </c>
      <c r="H71" s="110">
        <f t="shared" si="39"/>
        <v>3347.0399999999972</v>
      </c>
      <c r="I71" s="110">
        <f t="shared" si="39"/>
        <v>5615.1839999999975</v>
      </c>
      <c r="J71" s="61"/>
    </row>
    <row r="72" spans="2:10">
      <c r="B72" s="88" t="s">
        <v>98</v>
      </c>
      <c r="C72" s="89"/>
      <c r="D72" s="90">
        <f>D70+D71</f>
        <v>1300</v>
      </c>
      <c r="E72" s="109">
        <f>E70+E71</f>
        <v>1820</v>
      </c>
      <c r="F72" s="109">
        <f t="shared" ref="F72:I72" si="40">F70+F71</f>
        <v>2366</v>
      </c>
      <c r="G72" s="109">
        <f t="shared" si="40"/>
        <v>3347.0399999999972</v>
      </c>
      <c r="H72" s="109">
        <f t="shared" si="40"/>
        <v>5615.1839999999975</v>
      </c>
      <c r="I72" s="109">
        <f t="shared" si="40"/>
        <v>8709.535199999993</v>
      </c>
    </row>
    <row r="73" spans="2:10">
      <c r="B73" s="61" t="s">
        <v>99</v>
      </c>
      <c r="D73" s="77">
        <f>D72-(D36+D37)</f>
        <v>0</v>
      </c>
      <c r="E73" s="102">
        <f>E72-(E36+E37)</f>
        <v>0</v>
      </c>
      <c r="F73" s="102">
        <f t="shared" ref="F73:I73" si="41">F72-(F36+F37)</f>
        <v>0</v>
      </c>
      <c r="G73" s="102">
        <f t="shared" si="41"/>
        <v>0</v>
      </c>
      <c r="H73" s="102">
        <f t="shared" si="41"/>
        <v>0</v>
      </c>
      <c r="I73" s="102">
        <f t="shared" si="41"/>
        <v>0</v>
      </c>
    </row>
    <row r="74" spans="2:10">
      <c r="D74" s="77"/>
      <c r="E74" s="64"/>
      <c r="F74" s="64"/>
      <c r="G74" s="64"/>
      <c r="H74" s="64"/>
    </row>
    <row r="75" spans="2:10">
      <c r="D75" s="77"/>
      <c r="E75" s="64"/>
      <c r="F75" s="64"/>
      <c r="G75" s="64"/>
      <c r="H75" s="64"/>
    </row>
    <row r="76" spans="2:10" ht="17.5">
      <c r="B76" s="65" t="s">
        <v>150</v>
      </c>
      <c r="C76" s="66"/>
      <c r="D76" s="94"/>
      <c r="E76" s="67"/>
      <c r="F76" s="67"/>
      <c r="G76" s="67"/>
      <c r="H76" s="67"/>
      <c r="I76" s="66"/>
    </row>
    <row r="77" spans="2:10">
      <c r="D77" s="77"/>
      <c r="E77" s="64"/>
      <c r="F77" s="64"/>
      <c r="G77" s="64"/>
      <c r="H77" s="64"/>
    </row>
    <row r="78" spans="2:10">
      <c r="B78" s="76" t="s">
        <v>100</v>
      </c>
      <c r="C78" s="71"/>
      <c r="D78" s="71" t="s">
        <v>163</v>
      </c>
      <c r="E78" s="71">
        <v>2023</v>
      </c>
      <c r="F78" s="71">
        <v>2024</v>
      </c>
      <c r="G78" s="71">
        <v>2025</v>
      </c>
      <c r="H78" s="71">
        <v>2026</v>
      </c>
      <c r="I78" s="71">
        <v>2027</v>
      </c>
    </row>
    <row r="79" spans="2:10">
      <c r="B79" s="61" t="s">
        <v>67</v>
      </c>
      <c r="D79" s="77"/>
      <c r="E79" s="102">
        <f>E56</f>
        <v>2123.9999999999991</v>
      </c>
      <c r="F79" s="102">
        <f t="shared" ref="F79:I79" si="42">F56</f>
        <v>2779.2</v>
      </c>
      <c r="G79" s="102">
        <f t="shared" si="42"/>
        <v>3347.0399999999977</v>
      </c>
      <c r="H79" s="102">
        <f t="shared" si="42"/>
        <v>3687.7439999999992</v>
      </c>
      <c r="I79" s="102">
        <f t="shared" si="42"/>
        <v>3875.1311999999984</v>
      </c>
    </row>
    <row r="80" spans="2:10">
      <c r="B80" s="61" t="s">
        <v>101</v>
      </c>
      <c r="D80" s="77"/>
      <c r="E80" s="102">
        <f>E57</f>
        <v>560</v>
      </c>
      <c r="F80" s="102">
        <f t="shared" ref="F80:I80" si="43">F57</f>
        <v>728</v>
      </c>
      <c r="G80" s="102">
        <f t="shared" si="43"/>
        <v>873.6</v>
      </c>
      <c r="H80" s="102">
        <f t="shared" si="43"/>
        <v>960.96</v>
      </c>
      <c r="I80" s="102">
        <f t="shared" si="43"/>
        <v>1009.008</v>
      </c>
    </row>
    <row r="81" spans="1:10">
      <c r="B81" s="61" t="s">
        <v>102</v>
      </c>
      <c r="D81" s="77"/>
      <c r="E81" s="102">
        <f>(D36+D38+D39-D45-D46)-(E36+E38+E39-E45-E46)</f>
        <v>-1120</v>
      </c>
      <c r="F81" s="102">
        <f t="shared" ref="F81:I81" si="44">(E36+E38+E39-E45-E46)-(F36+F38+F39-F45-F46)</f>
        <v>-1176</v>
      </c>
      <c r="G81" s="102">
        <f t="shared" si="44"/>
        <v>-1019.2000000000007</v>
      </c>
      <c r="H81" s="102">
        <f t="shared" si="44"/>
        <v>-611.52000000000044</v>
      </c>
      <c r="I81" s="102">
        <f t="shared" si="44"/>
        <v>-336.33599999999933</v>
      </c>
    </row>
    <row r="82" spans="1:10">
      <c r="B82" s="61" t="s">
        <v>103</v>
      </c>
      <c r="D82" s="77"/>
      <c r="E82" s="102">
        <f>E63</f>
        <v>-2560</v>
      </c>
      <c r="F82" s="102">
        <f t="shared" ref="F82:I82" si="45">F63</f>
        <v>-2828</v>
      </c>
      <c r="G82" s="102">
        <f t="shared" si="45"/>
        <v>-2693.6000000000004</v>
      </c>
      <c r="H82" s="102">
        <f t="shared" si="45"/>
        <v>-2052.9599999999991</v>
      </c>
      <c r="I82" s="102">
        <f t="shared" si="45"/>
        <v>-1609.608000000002</v>
      </c>
    </row>
    <row r="83" spans="1:10">
      <c r="B83" s="78" t="s">
        <v>104</v>
      </c>
      <c r="C83" s="80"/>
      <c r="D83" s="87"/>
      <c r="E83" s="103">
        <f>E65</f>
        <v>0</v>
      </c>
      <c r="F83" s="103">
        <f t="shared" ref="F83:I83" si="46">F65</f>
        <v>0</v>
      </c>
      <c r="G83" s="103">
        <f t="shared" si="46"/>
        <v>0</v>
      </c>
      <c r="H83" s="103">
        <f t="shared" si="46"/>
        <v>0</v>
      </c>
      <c r="I83" s="103">
        <f t="shared" si="46"/>
        <v>0</v>
      </c>
    </row>
    <row r="84" spans="1:10">
      <c r="B84" s="61" t="s">
        <v>105</v>
      </c>
      <c r="D84" s="77"/>
      <c r="E84" s="102">
        <f>SUM(E79:E83)</f>
        <v>-996.00000000000091</v>
      </c>
      <c r="F84" s="102">
        <f t="shared" ref="F84:I84" si="47">SUM(F79:F83)</f>
        <v>-496.80000000000018</v>
      </c>
      <c r="G84" s="102">
        <f t="shared" si="47"/>
        <v>507.83999999999651</v>
      </c>
      <c r="H84" s="102">
        <f t="shared" si="47"/>
        <v>1984.2240000000002</v>
      </c>
      <c r="I84" s="102">
        <f t="shared" si="47"/>
        <v>2938.1951999999974</v>
      </c>
    </row>
    <row r="85" spans="1:10">
      <c r="B85" s="95" t="s">
        <v>166</v>
      </c>
      <c r="C85" s="66"/>
      <c r="D85" s="94"/>
      <c r="E85" s="104"/>
      <c r="F85" s="104"/>
      <c r="G85" s="104"/>
      <c r="H85" s="104"/>
      <c r="I85" s="104">
        <f>I84*(1+I19)/(D87-I19)</f>
        <v>30851.049599999977</v>
      </c>
    </row>
    <row r="86" spans="1:10">
      <c r="B86" s="88" t="s">
        <v>106</v>
      </c>
      <c r="C86" s="89"/>
      <c r="D86" s="96"/>
      <c r="E86" s="105">
        <f>E84+E85</f>
        <v>-996.00000000000091</v>
      </c>
      <c r="F86" s="105">
        <f t="shared" ref="F86:I86" si="48">F84+F85</f>
        <v>-496.80000000000018</v>
      </c>
      <c r="G86" s="105">
        <f t="shared" si="48"/>
        <v>507.83999999999651</v>
      </c>
      <c r="H86" s="105">
        <f t="shared" si="48"/>
        <v>1984.2240000000002</v>
      </c>
      <c r="I86" s="105">
        <f t="shared" si="48"/>
        <v>33789.244799999971</v>
      </c>
    </row>
    <row r="87" spans="1:10">
      <c r="B87" s="88" t="s">
        <v>145</v>
      </c>
      <c r="D87" s="106">
        <v>0.15</v>
      </c>
      <c r="E87" s="150"/>
    </row>
    <row r="88" spans="1:10">
      <c r="B88" s="88" t="s">
        <v>165</v>
      </c>
      <c r="D88" s="107">
        <f>NPV(D87,E86:I86)</f>
        <v>17025.886842885771</v>
      </c>
      <c r="E88" s="150"/>
      <c r="F88" s="69"/>
      <c r="G88" s="69"/>
      <c r="H88" s="69"/>
      <c r="I88" s="69"/>
    </row>
    <row r="89" spans="1:10">
      <c r="B89" s="88" t="s">
        <v>107</v>
      </c>
      <c r="D89" s="107">
        <v>1000</v>
      </c>
      <c r="E89" s="150"/>
      <c r="F89" s="69"/>
      <c r="G89" s="69"/>
      <c r="H89" s="69"/>
      <c r="I89" s="69"/>
    </row>
    <row r="90" spans="1:10">
      <c r="B90" s="88" t="s">
        <v>108</v>
      </c>
      <c r="D90" s="108">
        <f>D88/D89</f>
        <v>17.025886842885772</v>
      </c>
      <c r="E90" s="150"/>
      <c r="F90" s="69"/>
      <c r="G90" s="69"/>
      <c r="H90" s="69"/>
      <c r="I90" s="69"/>
    </row>
    <row r="91" spans="1:10" s="63" customFormat="1">
      <c r="A91" s="61"/>
      <c r="B91" s="61"/>
      <c r="D91" s="64"/>
      <c r="E91" s="151"/>
      <c r="F91" s="64"/>
      <c r="G91" s="64"/>
      <c r="H91" s="64"/>
      <c r="J91" s="61"/>
    </row>
    <row r="92" spans="1:10" s="63" customFormat="1">
      <c r="A92" s="61"/>
      <c r="B92" s="61"/>
      <c r="D92" s="64"/>
      <c r="E92" s="64"/>
      <c r="F92" s="64"/>
      <c r="G92" s="64"/>
      <c r="H92" s="64"/>
      <c r="J92" s="61"/>
    </row>
    <row r="93" spans="1:10" s="63" customFormat="1">
      <c r="B93" s="61"/>
      <c r="D93" s="64"/>
      <c r="E93" s="64"/>
      <c r="F93" s="64"/>
      <c r="G93" s="64"/>
      <c r="H93" s="64"/>
    </row>
    <row r="94" spans="1:10" s="63" customFormat="1">
      <c r="B94" s="61"/>
      <c r="D94" s="64"/>
      <c r="E94" s="64"/>
      <c r="F94" s="64"/>
      <c r="G94" s="64"/>
      <c r="H94" s="64"/>
    </row>
    <row r="95" spans="1:10" s="63" customFormat="1">
      <c r="B95" s="61"/>
      <c r="D95" s="64"/>
      <c r="E95" s="64"/>
      <c r="F95" s="64"/>
      <c r="G95" s="64"/>
      <c r="H95" s="64"/>
    </row>
    <row r="96" spans="1:10" s="63" customFormat="1">
      <c r="B96" s="61"/>
      <c r="D96" s="64"/>
      <c r="E96" s="64"/>
      <c r="F96" s="64"/>
      <c r="G96" s="64"/>
      <c r="H96" s="64"/>
    </row>
    <row r="97" spans="2:8" s="63" customFormat="1">
      <c r="B97" s="61"/>
      <c r="D97" s="64"/>
      <c r="E97" s="64"/>
      <c r="F97" s="64"/>
      <c r="G97" s="64"/>
      <c r="H97" s="64"/>
    </row>
    <row r="98" spans="2:8" s="63" customFormat="1">
      <c r="B98" s="61"/>
      <c r="D98" s="64"/>
      <c r="E98" s="64"/>
      <c r="F98" s="64"/>
      <c r="G98" s="64"/>
      <c r="H98" s="64"/>
    </row>
    <row r="99" spans="2:8" s="63" customFormat="1">
      <c r="B99" s="61"/>
      <c r="D99" s="64"/>
      <c r="E99" s="64"/>
      <c r="F99" s="64"/>
      <c r="G99" s="64"/>
      <c r="H99" s="64"/>
    </row>
    <row r="100" spans="2:8" s="63" customFormat="1">
      <c r="B100" s="61"/>
      <c r="D100" s="64"/>
      <c r="E100" s="64"/>
      <c r="F100" s="64"/>
      <c r="G100" s="64"/>
      <c r="H100" s="64"/>
    </row>
    <row r="101" spans="2:8" s="63" customFormat="1">
      <c r="B101" s="61"/>
      <c r="D101" s="64"/>
      <c r="E101" s="64"/>
      <c r="F101" s="64"/>
      <c r="G101" s="64"/>
      <c r="H101" s="64"/>
    </row>
    <row r="102" spans="2:8" s="63" customFormat="1">
      <c r="B102" s="61"/>
      <c r="D102" s="64"/>
      <c r="E102" s="64"/>
      <c r="F102" s="64"/>
      <c r="G102" s="64"/>
      <c r="H102" s="64"/>
    </row>
    <row r="103" spans="2:8" s="63" customFormat="1">
      <c r="B103" s="61"/>
      <c r="D103" s="64"/>
      <c r="E103" s="64"/>
      <c r="F103" s="64"/>
      <c r="G103" s="64"/>
      <c r="H103" s="64"/>
    </row>
    <row r="104" spans="2:8" s="63" customFormat="1">
      <c r="B104" s="61"/>
      <c r="D104" s="64"/>
      <c r="E104" s="64"/>
      <c r="F104" s="64"/>
      <c r="G104" s="64"/>
      <c r="H104" s="64"/>
    </row>
    <row r="105" spans="2:8" s="63" customFormat="1">
      <c r="B105" s="61"/>
      <c r="D105" s="64"/>
      <c r="E105" s="64"/>
      <c r="F105" s="64"/>
      <c r="G105" s="64"/>
      <c r="H105" s="64"/>
    </row>
    <row r="106" spans="2:8" s="63" customFormat="1">
      <c r="B106" s="61"/>
      <c r="D106" s="64"/>
      <c r="E106" s="64"/>
      <c r="F106" s="64"/>
      <c r="G106" s="64"/>
      <c r="H106" s="64"/>
    </row>
    <row r="107" spans="2:8" s="63" customFormat="1">
      <c r="B107" s="61"/>
      <c r="D107" s="64"/>
      <c r="E107" s="64"/>
      <c r="F107" s="64"/>
      <c r="G107" s="64"/>
      <c r="H107" s="64"/>
    </row>
    <row r="108" spans="2:8" s="63" customFormat="1">
      <c r="B108" s="61"/>
      <c r="D108" s="64"/>
      <c r="E108" s="64"/>
      <c r="F108" s="64"/>
      <c r="G108" s="64"/>
      <c r="H108" s="64"/>
    </row>
    <row r="109" spans="2:8" s="63" customFormat="1">
      <c r="B109" s="61"/>
      <c r="D109" s="64"/>
      <c r="E109" s="64"/>
      <c r="F109" s="64"/>
      <c r="G109" s="64"/>
      <c r="H109" s="64"/>
    </row>
    <row r="110" spans="2:8" s="63" customFormat="1">
      <c r="B110" s="61"/>
      <c r="D110" s="64"/>
      <c r="E110" s="64"/>
      <c r="F110" s="64"/>
      <c r="G110" s="64"/>
      <c r="H110" s="64"/>
    </row>
    <row r="111" spans="2:8" s="63" customFormat="1">
      <c r="B111" s="61"/>
      <c r="D111" s="64"/>
      <c r="E111" s="64"/>
      <c r="F111" s="64"/>
      <c r="G111" s="64"/>
      <c r="H111" s="64"/>
    </row>
    <row r="112" spans="2:8" s="63" customFormat="1">
      <c r="B112" s="61"/>
      <c r="D112" s="64"/>
      <c r="E112" s="64"/>
      <c r="F112" s="64"/>
      <c r="G112" s="64"/>
      <c r="H112" s="64"/>
    </row>
    <row r="113" spans="2:8" s="63" customFormat="1">
      <c r="B113" s="61"/>
      <c r="D113" s="64"/>
      <c r="E113" s="64"/>
      <c r="F113" s="64"/>
      <c r="G113" s="64"/>
      <c r="H113" s="64"/>
    </row>
    <row r="114" spans="2:8" s="63" customFormat="1">
      <c r="B114" s="61"/>
      <c r="D114" s="64"/>
      <c r="E114" s="64"/>
      <c r="F114" s="64"/>
      <c r="G114" s="64"/>
      <c r="H114" s="64"/>
    </row>
    <row r="115" spans="2:8" s="63" customFormat="1">
      <c r="B115" s="61"/>
      <c r="D115" s="64"/>
      <c r="E115" s="64"/>
      <c r="F115" s="64"/>
      <c r="G115" s="64"/>
      <c r="H115" s="64"/>
    </row>
    <row r="116" spans="2:8" s="63" customFormat="1">
      <c r="B116" s="61"/>
      <c r="D116" s="64"/>
      <c r="E116" s="64"/>
      <c r="F116" s="64"/>
      <c r="G116" s="64"/>
      <c r="H116" s="64"/>
    </row>
    <row r="117" spans="2:8" s="63" customFormat="1">
      <c r="B117" s="61"/>
      <c r="D117" s="64"/>
      <c r="E117" s="64"/>
      <c r="F117" s="64"/>
      <c r="G117" s="64"/>
      <c r="H117" s="64"/>
    </row>
    <row r="118" spans="2:8" s="63" customFormat="1">
      <c r="B118" s="61"/>
      <c r="D118" s="64"/>
      <c r="E118" s="64"/>
      <c r="F118" s="64"/>
      <c r="G118" s="64"/>
      <c r="H118" s="64"/>
    </row>
    <row r="119" spans="2:8" s="63" customFormat="1">
      <c r="B119" s="61"/>
      <c r="D119" s="64"/>
      <c r="E119" s="64"/>
      <c r="F119" s="64"/>
      <c r="G119" s="64"/>
      <c r="H119" s="64"/>
    </row>
  </sheetData>
  <pageMargins left="0.25" right="0.25" top="0.75" bottom="0.75" header="0.3" footer="0.3"/>
  <pageSetup scale="67" fitToHeight="2" orientation="landscape" horizontalDpi="0" verticalDpi="0"/>
  <ignoredErrors>
    <ignoredError sqref="D32 E32:I32 E44:F44 G37:J4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Growth rate &amp; AFN</vt:lpstr>
      <vt:lpstr>FCFF vs. FCFE</vt:lpstr>
      <vt:lpstr>Equity Beta &amp; CAPM </vt:lpstr>
      <vt:lpstr>Equity Valuation. AFN</vt:lpstr>
      <vt:lpstr>WACC_5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Chloë Bouton</cp:lastModifiedBy>
  <cp:lastPrinted>2023-03-20T20:56:04Z</cp:lastPrinted>
  <dcterms:created xsi:type="dcterms:W3CDTF">2012-01-16T17:23:51Z</dcterms:created>
  <dcterms:modified xsi:type="dcterms:W3CDTF">2025-02-24T19:33:48Z</dcterms:modified>
</cp:coreProperties>
</file>