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to\Downloads\"/>
    </mc:Choice>
  </mc:AlternateContent>
  <xr:revisionPtr revIDLastSave="0" documentId="13_ncr:1_{DB7A045F-75B4-4337-B356-2FDD0F86F4BC}" xr6:coauthVersionLast="47" xr6:coauthVersionMax="47" xr10:uidLastSave="{00000000-0000-0000-0000-000000000000}"/>
  <bookViews>
    <workbookView xWindow="-110" yWindow="-110" windowWidth="19420" windowHeight="10300" activeTab="3" xr2:uid="{A4FCC514-CD26-2D47-85CA-7209DC79F886}"/>
  </bookViews>
  <sheets>
    <sheet name="Home Depot" sheetId="25" r:id="rId1"/>
    <sheet name="WACC" sheetId="24" r:id="rId2"/>
    <sheet name="Company Valuation" sheetId="23" r:id="rId3"/>
    <sheet name="Financial Analysis" sheetId="27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_Price">'[1]Base Case'!$B$11</definedName>
    <definedName name="taxtable">#REF!</definedName>
    <definedName name="Variable_Cost_per_unit">'[1]Base Case'!$B$12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7" l="1"/>
  <c r="O28" i="27"/>
  <c r="P28" i="27"/>
  <c r="Q28" i="27"/>
  <c r="R28" i="27"/>
  <c r="N29" i="27"/>
  <c r="O29" i="27"/>
  <c r="P29" i="27"/>
  <c r="Q29" i="27"/>
  <c r="R29" i="27"/>
  <c r="N30" i="27"/>
  <c r="O30" i="27"/>
  <c r="P30" i="27"/>
  <c r="Q30" i="27"/>
  <c r="Q31" i="27" s="1"/>
  <c r="R30" i="27"/>
  <c r="R31" i="27" s="1"/>
  <c r="N31" i="27"/>
  <c r="O31" i="27"/>
  <c r="P31" i="27"/>
  <c r="N32" i="27"/>
  <c r="O32" i="27"/>
  <c r="O33" i="27" s="1"/>
  <c r="P32" i="27"/>
  <c r="P33" i="27" s="1"/>
  <c r="Q32" i="27"/>
  <c r="Q33" i="27" s="1"/>
  <c r="R32" i="27"/>
  <c r="N33" i="27"/>
  <c r="R33" i="27"/>
  <c r="N35" i="27"/>
  <c r="N36" i="27" s="1"/>
  <c r="O35" i="27"/>
  <c r="O36" i="27" s="1"/>
  <c r="P35" i="27"/>
  <c r="Q35" i="27"/>
  <c r="Q36" i="27" s="1"/>
  <c r="R35" i="27"/>
  <c r="P36" i="27"/>
  <c r="R36" i="27"/>
  <c r="N37" i="27"/>
  <c r="O37" i="27"/>
  <c r="P37" i="27"/>
  <c r="P54" i="27" s="1"/>
  <c r="P56" i="27" s="1"/>
  <c r="Q37" i="27"/>
  <c r="R37" i="27"/>
  <c r="R54" i="27" s="1"/>
  <c r="N38" i="27"/>
  <c r="O38" i="27"/>
  <c r="P38" i="27"/>
  <c r="Q38" i="27"/>
  <c r="R38" i="27"/>
  <c r="N40" i="27"/>
  <c r="O40" i="27"/>
  <c r="P40" i="27"/>
  <c r="Q40" i="27"/>
  <c r="R40" i="27"/>
  <c r="N41" i="27"/>
  <c r="O41" i="27"/>
  <c r="P41" i="27"/>
  <c r="Q41" i="27"/>
  <c r="R41" i="27"/>
  <c r="N42" i="27"/>
  <c r="O42" i="27"/>
  <c r="P42" i="27"/>
  <c r="Q42" i="27"/>
  <c r="R42" i="27"/>
  <c r="N43" i="27"/>
  <c r="O43" i="27"/>
  <c r="P43" i="27"/>
  <c r="Q43" i="27"/>
  <c r="R43" i="27"/>
  <c r="N44" i="27"/>
  <c r="O44" i="27"/>
  <c r="P44" i="27"/>
  <c r="Q44" i="27"/>
  <c r="R44" i="27"/>
  <c r="N45" i="27"/>
  <c r="O45" i="27"/>
  <c r="P45" i="27"/>
  <c r="Q45" i="27"/>
  <c r="R45" i="27"/>
  <c r="N46" i="27"/>
  <c r="O46" i="27"/>
  <c r="P46" i="27"/>
  <c r="Q46" i="27"/>
  <c r="R46" i="27"/>
  <c r="N48" i="27"/>
  <c r="O48" i="27"/>
  <c r="P48" i="27"/>
  <c r="Q48" i="27"/>
  <c r="R48" i="27"/>
  <c r="N49" i="27"/>
  <c r="O49" i="27"/>
  <c r="P49" i="27"/>
  <c r="Q49" i="27"/>
  <c r="Q55" i="27" s="1"/>
  <c r="R49" i="27"/>
  <c r="N50" i="27"/>
  <c r="O50" i="27"/>
  <c r="P50" i="27"/>
  <c r="Q50" i="27"/>
  <c r="R50" i="27"/>
  <c r="N51" i="27"/>
  <c r="O51" i="27"/>
  <c r="P51" i="27"/>
  <c r="Q51" i="27"/>
  <c r="R51" i="27"/>
  <c r="N53" i="27"/>
  <c r="N56" i="27" s="1"/>
  <c r="O53" i="27"/>
  <c r="P53" i="27"/>
  <c r="Q53" i="27"/>
  <c r="R53" i="27"/>
  <c r="R56" i="27" s="1"/>
  <c r="N54" i="27"/>
  <c r="O54" i="27"/>
  <c r="Q54" i="27"/>
  <c r="N55" i="27"/>
  <c r="O55" i="27"/>
  <c r="P55" i="27"/>
  <c r="R55" i="27"/>
  <c r="O56" i="27"/>
  <c r="M56" i="27"/>
  <c r="M55" i="27"/>
  <c r="M54" i="27"/>
  <c r="M53" i="27"/>
  <c r="M51" i="27"/>
  <c r="M50" i="27"/>
  <c r="M49" i="27"/>
  <c r="M48" i="27"/>
  <c r="M46" i="27"/>
  <c r="M45" i="27"/>
  <c r="M44" i="27"/>
  <c r="M43" i="27"/>
  <c r="M42" i="27"/>
  <c r="M41" i="27"/>
  <c r="M40" i="27"/>
  <c r="M38" i="27"/>
  <c r="M37" i="27"/>
  <c r="M36" i="27"/>
  <c r="M35" i="27"/>
  <c r="M32" i="27"/>
  <c r="M33" i="27" s="1"/>
  <c r="M31" i="27"/>
  <c r="M30" i="27"/>
  <c r="M29" i="27"/>
  <c r="M28" i="27"/>
  <c r="M60" i="23"/>
  <c r="M59" i="23"/>
  <c r="M57" i="23"/>
  <c r="M51" i="23"/>
  <c r="M54" i="23"/>
  <c r="M53" i="23"/>
  <c r="M52" i="23"/>
  <c r="N54" i="23"/>
  <c r="N53" i="23"/>
  <c r="N52" i="23"/>
  <c r="N51" i="23"/>
  <c r="M58" i="23"/>
  <c r="M48" i="23"/>
  <c r="M47" i="23"/>
  <c r="M46" i="23"/>
  <c r="M45" i="23"/>
  <c r="M44" i="23"/>
  <c r="R41" i="23"/>
  <c r="R40" i="23"/>
  <c r="O28" i="23"/>
  <c r="P28" i="23"/>
  <c r="Q28" i="23"/>
  <c r="Q31" i="23" s="1"/>
  <c r="R28" i="23"/>
  <c r="R31" i="23" s="1"/>
  <c r="O29" i="23"/>
  <c r="P29" i="23"/>
  <c r="Q29" i="23"/>
  <c r="R29" i="23"/>
  <c r="O30" i="23"/>
  <c r="P30" i="23"/>
  <c r="Q30" i="23"/>
  <c r="R30" i="23"/>
  <c r="O31" i="23"/>
  <c r="P31" i="23"/>
  <c r="O33" i="23"/>
  <c r="P33" i="23"/>
  <c r="Q33" i="23"/>
  <c r="Q34" i="23" s="1"/>
  <c r="R33" i="23"/>
  <c r="R34" i="23" s="1"/>
  <c r="O34" i="23"/>
  <c r="P34" i="23"/>
  <c r="O36" i="23"/>
  <c r="P36" i="23"/>
  <c r="Q36" i="23"/>
  <c r="Q37" i="23" s="1"/>
  <c r="Q39" i="23" s="1"/>
  <c r="Q41" i="23" s="1"/>
  <c r="R36" i="23"/>
  <c r="R37" i="23" s="1"/>
  <c r="R39" i="23" s="1"/>
  <c r="O37" i="23"/>
  <c r="O39" i="23" s="1"/>
  <c r="O41" i="23" s="1"/>
  <c r="P37" i="23"/>
  <c r="P39" i="23" s="1"/>
  <c r="P41" i="23" s="1"/>
  <c r="N41" i="23"/>
  <c r="N39" i="23"/>
  <c r="N37" i="23"/>
  <c r="N36" i="23"/>
  <c r="M36" i="23"/>
  <c r="N34" i="23"/>
  <c r="N33" i="23"/>
  <c r="M33" i="23"/>
  <c r="N31" i="23"/>
  <c r="N30" i="23"/>
  <c r="N29" i="23"/>
  <c r="N28" i="23"/>
  <c r="M28" i="23"/>
  <c r="F27" i="23"/>
  <c r="G27" i="23"/>
  <c r="H27" i="23"/>
  <c r="I27" i="23"/>
  <c r="F29" i="23"/>
  <c r="G29" i="23"/>
  <c r="H29" i="23"/>
  <c r="I29" i="23"/>
  <c r="F30" i="23"/>
  <c r="G30" i="23"/>
  <c r="H30" i="23"/>
  <c r="I30" i="23"/>
  <c r="F31" i="23"/>
  <c r="G31" i="23"/>
  <c r="H31" i="23"/>
  <c r="I31" i="23"/>
  <c r="F32" i="23"/>
  <c r="G32" i="23"/>
  <c r="H32" i="23"/>
  <c r="I32" i="23"/>
  <c r="F33" i="23"/>
  <c r="G33" i="23"/>
  <c r="H33" i="23"/>
  <c r="I33" i="23"/>
  <c r="F37" i="23"/>
  <c r="G37" i="23"/>
  <c r="H37" i="23"/>
  <c r="I37" i="23"/>
  <c r="F38" i="23"/>
  <c r="G38" i="23"/>
  <c r="H38" i="23"/>
  <c r="I38" i="23"/>
  <c r="F39" i="23"/>
  <c r="F40" i="23" s="1"/>
  <c r="G39" i="23"/>
  <c r="H39" i="23"/>
  <c r="I39" i="23"/>
  <c r="G40" i="23"/>
  <c r="H40" i="23"/>
  <c r="I40" i="23"/>
  <c r="F45" i="23"/>
  <c r="G45" i="23"/>
  <c r="H45" i="23"/>
  <c r="H50" i="23" s="1"/>
  <c r="I45" i="23"/>
  <c r="I50" i="23" s="1"/>
  <c r="F46" i="23"/>
  <c r="G46" i="23"/>
  <c r="H46" i="23"/>
  <c r="I46" i="23"/>
  <c r="F47" i="23"/>
  <c r="G47" i="23"/>
  <c r="H47" i="23"/>
  <c r="I47" i="23"/>
  <c r="F48" i="23"/>
  <c r="G48" i="23"/>
  <c r="H48" i="23"/>
  <c r="I48" i="23"/>
  <c r="F49" i="23"/>
  <c r="G49" i="23"/>
  <c r="H49" i="23"/>
  <c r="I49" i="23"/>
  <c r="F50" i="23"/>
  <c r="G50" i="23"/>
  <c r="F53" i="23"/>
  <c r="G53" i="23"/>
  <c r="H53" i="23"/>
  <c r="I53" i="23"/>
  <c r="F54" i="23"/>
  <c r="F55" i="23" s="1"/>
  <c r="F56" i="23" s="1"/>
  <c r="F66" i="23" s="1"/>
  <c r="F41" i="23" s="1"/>
  <c r="F28" i="23" s="1"/>
  <c r="F34" i="23" s="1"/>
  <c r="G54" i="23"/>
  <c r="G55" i="23" s="1"/>
  <c r="G56" i="23" s="1"/>
  <c r="H54" i="23"/>
  <c r="I54" i="23"/>
  <c r="H55" i="23"/>
  <c r="H56" i="23" s="1"/>
  <c r="I55" i="23"/>
  <c r="I56" i="23" s="1"/>
  <c r="F62" i="23"/>
  <c r="G62" i="23" s="1"/>
  <c r="F63" i="23"/>
  <c r="G63" i="23" s="1"/>
  <c r="H63" i="23" s="1"/>
  <c r="I63" i="23" s="1"/>
  <c r="F64" i="23"/>
  <c r="G64" i="23"/>
  <c r="H64" i="23"/>
  <c r="I64" i="23"/>
  <c r="F65" i="23"/>
  <c r="G28" i="27"/>
  <c r="E64" i="23"/>
  <c r="E65" i="23" s="1"/>
  <c r="E54" i="23"/>
  <c r="E53" i="23"/>
  <c r="E46" i="23"/>
  <c r="E47" i="23"/>
  <c r="E48" i="23"/>
  <c r="E49" i="23"/>
  <c r="E45" i="23"/>
  <c r="E39" i="23"/>
  <c r="E37" i="23"/>
  <c r="E30" i="23"/>
  <c r="E31" i="23"/>
  <c r="E32" i="23"/>
  <c r="E33" i="23"/>
  <c r="E29" i="23"/>
  <c r="E27" i="23"/>
  <c r="E28" i="27"/>
  <c r="E63" i="23"/>
  <c r="E62" i="23"/>
  <c r="C64" i="23"/>
  <c r="E64" i="27"/>
  <c r="E63" i="27"/>
  <c r="E62" i="27"/>
  <c r="E38" i="23"/>
  <c r="E38" i="27"/>
  <c r="C54" i="23"/>
  <c r="C53" i="23"/>
  <c r="C46" i="23"/>
  <c r="C47" i="23"/>
  <c r="C48" i="23"/>
  <c r="C49" i="23"/>
  <c r="C45" i="23"/>
  <c r="C39" i="23"/>
  <c r="C37" i="23"/>
  <c r="C30" i="23"/>
  <c r="C31" i="23"/>
  <c r="C32" i="23"/>
  <c r="C33" i="23"/>
  <c r="C29" i="23"/>
  <c r="C27" i="23"/>
  <c r="E27" i="27"/>
  <c r="F8" i="23"/>
  <c r="G8" i="23" s="1"/>
  <c r="E19" i="23"/>
  <c r="C10" i="23"/>
  <c r="C11" i="23"/>
  <c r="C12" i="23"/>
  <c r="C13" i="23"/>
  <c r="C14" i="23"/>
  <c r="C15" i="23"/>
  <c r="C16" i="23"/>
  <c r="C17" i="23"/>
  <c r="C18" i="23"/>
  <c r="C19" i="23"/>
  <c r="C20" i="23"/>
  <c r="C9" i="23"/>
  <c r="E20" i="23"/>
  <c r="E18" i="23"/>
  <c r="E17" i="23"/>
  <c r="E16" i="23"/>
  <c r="E15" i="23"/>
  <c r="E14" i="23"/>
  <c r="E13" i="23"/>
  <c r="E12" i="23"/>
  <c r="E11" i="23"/>
  <c r="E10" i="23"/>
  <c r="E9" i="23"/>
  <c r="E8" i="23"/>
  <c r="L25" i="24"/>
  <c r="L24" i="24"/>
  <c r="L13" i="24"/>
  <c r="L12" i="24"/>
  <c r="L11" i="24"/>
  <c r="L23" i="24"/>
  <c r="L22" i="24"/>
  <c r="L21" i="24"/>
  <c r="L20" i="24"/>
  <c r="L10" i="24"/>
  <c r="L9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8" i="24"/>
  <c r="C44" i="25"/>
  <c r="C43" i="25"/>
  <c r="C42" i="25"/>
  <c r="C41" i="25"/>
  <c r="C40" i="25"/>
  <c r="C37" i="25"/>
  <c r="C36" i="25"/>
  <c r="C35" i="25"/>
  <c r="Q56" i="27" l="1"/>
  <c r="G65" i="23"/>
  <c r="G66" i="23" s="1"/>
  <c r="G41" i="23" s="1"/>
  <c r="G28" i="23" s="1"/>
  <c r="G34" i="23" s="1"/>
  <c r="H62" i="23"/>
  <c r="E55" i="23"/>
  <c r="E50" i="23"/>
  <c r="E40" i="23"/>
  <c r="G10" i="23"/>
  <c r="G12" i="23"/>
  <c r="G14" i="23"/>
  <c r="G20" i="23"/>
  <c r="H8" i="23"/>
  <c r="G9" i="23"/>
  <c r="G11" i="23"/>
  <c r="G15" i="23"/>
  <c r="G19" i="23"/>
  <c r="F14" i="23"/>
  <c r="F12" i="23"/>
  <c r="F20" i="23"/>
  <c r="F19" i="23"/>
  <c r="F15" i="23"/>
  <c r="F11" i="23"/>
  <c r="F9" i="23"/>
  <c r="F10" i="23" s="1"/>
  <c r="F13" i="23" s="1"/>
  <c r="F16" i="23" s="1"/>
  <c r="H65" i="23" l="1"/>
  <c r="H66" i="23" s="1"/>
  <c r="H41" i="23" s="1"/>
  <c r="H28" i="23" s="1"/>
  <c r="H34" i="23" s="1"/>
  <c r="I62" i="23"/>
  <c r="I65" i="23" s="1"/>
  <c r="I66" i="23" s="1"/>
  <c r="I41" i="23" s="1"/>
  <c r="I28" i="23" s="1"/>
  <c r="I34" i="23" s="1"/>
  <c r="E56" i="23"/>
  <c r="E66" i="23" s="1"/>
  <c r="E41" i="23" s="1"/>
  <c r="E28" i="23" s="1"/>
  <c r="E34" i="23" s="1"/>
  <c r="F17" i="23"/>
  <c r="F18" i="23"/>
  <c r="G13" i="23"/>
  <c r="G16" i="23" s="1"/>
  <c r="H10" i="23"/>
  <c r="H12" i="23"/>
  <c r="H14" i="23"/>
  <c r="H20" i="23"/>
  <c r="I8" i="23"/>
  <c r="H9" i="23"/>
  <c r="H11" i="23"/>
  <c r="H15" i="23"/>
  <c r="H19" i="23"/>
  <c r="I14" i="23" l="1"/>
  <c r="I11" i="23"/>
  <c r="I9" i="23"/>
  <c r="I15" i="23"/>
  <c r="I19" i="23"/>
  <c r="I10" i="23"/>
  <c r="I20" i="23"/>
  <c r="I12" i="23"/>
  <c r="H13" i="23"/>
  <c r="H16" i="23" s="1"/>
  <c r="G17" i="23"/>
  <c r="G18" i="23" s="1"/>
  <c r="I13" i="23" l="1"/>
  <c r="I16" i="23" s="1"/>
  <c r="H18" i="23"/>
  <c r="H17" i="23"/>
  <c r="I17" i="23" l="1"/>
  <c r="I18" i="23"/>
  <c r="C34" i="25" l="1"/>
  <c r="C66" i="27"/>
  <c r="C65" i="27"/>
  <c r="C64" i="27"/>
  <c r="C63" i="27"/>
  <c r="C62" i="27"/>
  <c r="C56" i="27"/>
  <c r="C55" i="27"/>
  <c r="E55" i="27" s="1"/>
  <c r="E54" i="27"/>
  <c r="C54" i="27"/>
  <c r="C53" i="27"/>
  <c r="C50" i="27"/>
  <c r="C49" i="27"/>
  <c r="E49" i="27" s="1"/>
  <c r="E48" i="27"/>
  <c r="C48" i="27"/>
  <c r="C47" i="27"/>
  <c r="C46" i="27"/>
  <c r="C45" i="27"/>
  <c r="E45" i="27" s="1"/>
  <c r="C41" i="27"/>
  <c r="C40" i="27"/>
  <c r="C39" i="27"/>
  <c r="C38" i="27"/>
  <c r="E37" i="27"/>
  <c r="C37" i="27"/>
  <c r="C33" i="27"/>
  <c r="C32" i="27"/>
  <c r="E32" i="27" s="1"/>
  <c r="C31" i="27"/>
  <c r="E31" i="27" s="1"/>
  <c r="C30" i="27"/>
  <c r="C29" i="27"/>
  <c r="C27" i="27"/>
  <c r="C20" i="27"/>
  <c r="C19" i="27"/>
  <c r="C18" i="27"/>
  <c r="C17" i="27"/>
  <c r="C15" i="27"/>
  <c r="C14" i="27"/>
  <c r="D13" i="27"/>
  <c r="D16" i="27" s="1"/>
  <c r="C16" i="27" s="1"/>
  <c r="C12" i="27"/>
  <c r="C11" i="27"/>
  <c r="D10" i="27"/>
  <c r="C10" i="27" s="1"/>
  <c r="C9" i="27"/>
  <c r="E8" i="27"/>
  <c r="C8" i="27"/>
  <c r="M20" i="27"/>
  <c r="M19" i="27"/>
  <c r="M18" i="27" s="1"/>
  <c r="F19" i="27" l="1"/>
  <c r="E40" i="27"/>
  <c r="E12" i="27"/>
  <c r="E9" i="27"/>
  <c r="C13" i="27"/>
  <c r="E14" i="27"/>
  <c r="F45" i="27"/>
  <c r="F49" i="27"/>
  <c r="F31" i="27"/>
  <c r="E47" i="27"/>
  <c r="E53" i="27"/>
  <c r="F27" i="27"/>
  <c r="E30" i="27"/>
  <c r="F62" i="27"/>
  <c r="E11" i="27"/>
  <c r="E20" i="27"/>
  <c r="E39" i="27"/>
  <c r="E46" i="27"/>
  <c r="E50" i="27"/>
  <c r="E56" i="27"/>
  <c r="F8" i="27"/>
  <c r="E15" i="27"/>
  <c r="E29" i="27"/>
  <c r="E33" i="27"/>
  <c r="F39" i="27"/>
  <c r="F56" i="27"/>
  <c r="E10" i="27"/>
  <c r="E19" i="27"/>
  <c r="O18" i="27"/>
  <c r="N18" i="27"/>
  <c r="Q18" i="27"/>
  <c r="P18" i="27"/>
  <c r="O9" i="24"/>
  <c r="O12" i="24" s="1"/>
  <c r="O15" i="24" s="1"/>
  <c r="E13" i="27" l="1"/>
  <c r="E16" i="27" s="1"/>
  <c r="F33" i="27"/>
  <c r="F29" i="27"/>
  <c r="F15" i="27"/>
  <c r="F20" i="27"/>
  <c r="F11" i="27"/>
  <c r="F12" i="27"/>
  <c r="F54" i="27"/>
  <c r="F48" i="27"/>
  <c r="F37" i="27"/>
  <c r="F14" i="27"/>
  <c r="F9" i="27"/>
  <c r="F38" i="27"/>
  <c r="F10" i="27"/>
  <c r="G8" i="27"/>
  <c r="F32" i="27"/>
  <c r="F30" i="27"/>
  <c r="G62" i="27"/>
  <c r="F50" i="27"/>
  <c r="F53" i="27"/>
  <c r="F64" i="27"/>
  <c r="F47" i="27"/>
  <c r="F46" i="27"/>
  <c r="F55" i="27"/>
  <c r="N16" i="27"/>
  <c r="O16" i="27" s="1"/>
  <c r="P16" i="27" s="1"/>
  <c r="Q16" i="27" s="1"/>
  <c r="R16" i="27" s="1"/>
  <c r="O20" i="27"/>
  <c r="N20" i="27"/>
  <c r="G20" i="27" l="1"/>
  <c r="G11" i="27"/>
  <c r="G9" i="27"/>
  <c r="G19" i="27"/>
  <c r="G32" i="27"/>
  <c r="G49" i="27"/>
  <c r="G10" i="27"/>
  <c r="G12" i="27"/>
  <c r="H8" i="27"/>
  <c r="G54" i="27"/>
  <c r="G48" i="27"/>
  <c r="G37" i="27"/>
  <c r="G33" i="27"/>
  <c r="G29" i="27"/>
  <c r="G15" i="27"/>
  <c r="G14" i="27"/>
  <c r="G64" i="27"/>
  <c r="G55" i="27"/>
  <c r="G45" i="27"/>
  <c r="G38" i="27"/>
  <c r="G31" i="27"/>
  <c r="G47" i="27"/>
  <c r="G39" i="27"/>
  <c r="G56" i="27"/>
  <c r="G53" i="27"/>
  <c r="G27" i="27"/>
  <c r="G50" i="27"/>
  <c r="G30" i="27"/>
  <c r="G46" i="27"/>
  <c r="F13" i="27"/>
  <c r="F16" i="27" s="1"/>
  <c r="F40" i="27"/>
  <c r="H62" i="27"/>
  <c r="E17" i="27"/>
  <c r="E18" i="27" s="1"/>
  <c r="P20" i="27"/>
  <c r="E65" i="27" l="1"/>
  <c r="E66" i="27" s="1"/>
  <c r="E41" i="27" s="1"/>
  <c r="E34" i="27" s="1"/>
  <c r="F17" i="27"/>
  <c r="F18" i="27"/>
  <c r="F63" i="27" s="1"/>
  <c r="G13" i="27"/>
  <c r="G16" i="27" s="1"/>
  <c r="G40" i="27"/>
  <c r="I62" i="27"/>
  <c r="H55" i="27"/>
  <c r="H45" i="27"/>
  <c r="H19" i="27"/>
  <c r="H12" i="27"/>
  <c r="I8" i="27"/>
  <c r="H54" i="27"/>
  <c r="H48" i="27"/>
  <c r="H37" i="27"/>
  <c r="H14" i="27"/>
  <c r="H9" i="27"/>
  <c r="H10" i="27" s="1"/>
  <c r="H13" i="27" s="1"/>
  <c r="H16" i="27" s="1"/>
  <c r="H33" i="27"/>
  <c r="H20" i="27"/>
  <c r="H11" i="27"/>
  <c r="H32" i="27"/>
  <c r="H64" i="27"/>
  <c r="H49" i="27"/>
  <c r="H38" i="27"/>
  <c r="H29" i="27"/>
  <c r="H15" i="27"/>
  <c r="H31" i="27"/>
  <c r="H30" i="27"/>
  <c r="H53" i="27"/>
  <c r="H56" i="27"/>
  <c r="H47" i="27"/>
  <c r="H39" i="27"/>
  <c r="H27" i="27"/>
  <c r="H46" i="27"/>
  <c r="H50" i="27"/>
  <c r="Q20" i="27"/>
  <c r="H17" i="27" l="1"/>
  <c r="H18" i="27"/>
  <c r="F65" i="27"/>
  <c r="F66" i="27" s="1"/>
  <c r="F41" i="27" s="1"/>
  <c r="F28" i="27" s="1"/>
  <c r="F34" i="27" s="1"/>
  <c r="I9" i="27"/>
  <c r="I10" i="27"/>
  <c r="I13" i="27" s="1"/>
  <c r="I33" i="27"/>
  <c r="I15" i="27"/>
  <c r="I39" i="27"/>
  <c r="I11" i="27"/>
  <c r="I38" i="27"/>
  <c r="I32" i="27"/>
  <c r="I14" i="27"/>
  <c r="I64" i="27"/>
  <c r="I55" i="27"/>
  <c r="I49" i="27"/>
  <c r="I45" i="27"/>
  <c r="I19" i="27"/>
  <c r="I29" i="27"/>
  <c r="I56" i="27"/>
  <c r="I12" i="27"/>
  <c r="I50" i="27"/>
  <c r="I46" i="27"/>
  <c r="I20" i="27"/>
  <c r="I47" i="27"/>
  <c r="I37" i="27"/>
  <c r="I40" i="27" s="1"/>
  <c r="I53" i="27"/>
  <c r="I48" i="27"/>
  <c r="I27" i="27"/>
  <c r="I30" i="27"/>
  <c r="I31" i="27"/>
  <c r="I54" i="27"/>
  <c r="G17" i="27"/>
  <c r="G18" i="27" s="1"/>
  <c r="G63" i="27" s="1"/>
  <c r="H40" i="27"/>
  <c r="R20" i="27"/>
  <c r="H63" i="27" l="1"/>
  <c r="G65" i="27"/>
  <c r="G66" i="27" s="1"/>
  <c r="G41" i="27" s="1"/>
  <c r="G34" i="27" s="1"/>
  <c r="I16" i="27"/>
  <c r="I17" i="27" l="1"/>
  <c r="I18" i="27"/>
  <c r="I63" i="27"/>
  <c r="I65" i="27" s="1"/>
  <c r="I66" i="27" s="1"/>
  <c r="I41" i="27" s="1"/>
  <c r="I28" i="27" s="1"/>
  <c r="I34" i="27" s="1"/>
  <c r="H65" i="27"/>
  <c r="H66" i="27" s="1"/>
  <c r="H41" i="27" s="1"/>
  <c r="H28" i="27" s="1"/>
  <c r="H34" i="27" s="1"/>
  <c r="M20" i="23" l="1"/>
  <c r="C28" i="25"/>
  <c r="K10" i="25"/>
  <c r="K12" i="25" s="1"/>
  <c r="K14" i="25" s="1"/>
  <c r="K16" i="25" s="1"/>
  <c r="K18" i="25" s="1"/>
  <c r="M19" i="23" l="1"/>
  <c r="M16" i="23"/>
  <c r="N16" i="23" s="1"/>
  <c r="M15" i="23"/>
  <c r="M12" i="23"/>
  <c r="M11" i="23"/>
  <c r="M10" i="23"/>
  <c r="D10" i="23"/>
  <c r="M9" i="23"/>
  <c r="M18" i="23" l="1"/>
  <c r="Q18" i="23" s="1"/>
  <c r="D13" i="23"/>
  <c r="M21" i="27"/>
  <c r="N18" i="23"/>
  <c r="N20" i="23"/>
  <c r="O16" i="23"/>
  <c r="O18" i="23" l="1"/>
  <c r="P18" i="23"/>
  <c r="M21" i="23"/>
  <c r="M22" i="23" s="1"/>
  <c r="D16" i="23"/>
  <c r="O20" i="23"/>
  <c r="P20" i="23"/>
  <c r="P16" i="23"/>
  <c r="M23" i="27" l="1"/>
  <c r="M23" i="23"/>
  <c r="M22" i="27"/>
  <c r="M17" i="23"/>
  <c r="Q16" i="23"/>
  <c r="N19" i="23"/>
  <c r="N21" i="27" s="1"/>
  <c r="Q20" i="23" l="1"/>
  <c r="P19" i="23"/>
  <c r="N21" i="23"/>
  <c r="O19" i="23"/>
  <c r="R16" i="23"/>
  <c r="R20" i="23"/>
  <c r="N22" i="23" l="1"/>
  <c r="N22" i="27"/>
  <c r="O21" i="27"/>
  <c r="P21" i="27"/>
  <c r="Q19" i="23"/>
  <c r="Q21" i="27" s="1"/>
  <c r="O21" i="23"/>
  <c r="P21" i="23"/>
  <c r="N23" i="23" l="1"/>
  <c r="N23" i="27"/>
  <c r="P22" i="23"/>
  <c r="P22" i="27"/>
  <c r="O22" i="23"/>
  <c r="O22" i="27"/>
  <c r="Q21" i="23"/>
  <c r="Q22" i="23" l="1"/>
  <c r="Q22" i="27"/>
  <c r="O23" i="23"/>
  <c r="O23" i="27"/>
  <c r="P23" i="23"/>
  <c r="P23" i="27"/>
  <c r="R19" i="23"/>
  <c r="R21" i="27" l="1"/>
  <c r="Q23" i="23"/>
  <c r="Q23" i="27"/>
  <c r="R21" i="23"/>
  <c r="R22" i="23" l="1"/>
  <c r="R22" i="27"/>
  <c r="R23" i="23" l="1"/>
  <c r="R23" i="27"/>
  <c r="O19" i="27" l="1"/>
  <c r="P19" i="27"/>
  <c r="M17" i="27" l="1"/>
  <c r="N19" i="27" l="1"/>
  <c r="Q19" i="27"/>
  <c r="R19" i="27" l="1"/>
</calcChain>
</file>

<file path=xl/sharedStrings.xml><?xml version="1.0" encoding="utf-8"?>
<sst xmlns="http://schemas.openxmlformats.org/spreadsheetml/2006/main" count="379" uniqueCount="237">
  <si>
    <t xml:space="preserve"> = EBT</t>
  </si>
  <si>
    <t xml:space="preserve"> = Net Income</t>
  </si>
  <si>
    <t xml:space="preserve"> = Operating Cash Flows</t>
  </si>
  <si>
    <t>Free Cash Flows of the firm (Y1~Y5)</t>
  </si>
  <si>
    <t xml:space="preserve"> = Total Free Cash Flows of the firm</t>
  </si>
  <si>
    <t xml:space="preserve"> - MV of the Debt and PS</t>
  </si>
  <si>
    <t>Monthly rate</t>
  </si>
  <si>
    <t xml:space="preserve"> = Gross Profit</t>
  </si>
  <si>
    <t xml:space="preserve"> = Cash flows of Changes in NOWC</t>
  </si>
  <si>
    <t>Net Operating Working capital</t>
  </si>
  <si>
    <t>Fixed asset (PPE)</t>
  </si>
  <si>
    <t>60 months</t>
  </si>
  <si>
    <t>Apple, Inc.</t>
  </si>
  <si>
    <t>Dates</t>
  </si>
  <si>
    <t>Prices</t>
  </si>
  <si>
    <t>Cash and cash equivalents</t>
  </si>
  <si>
    <t>Marketable securities</t>
  </si>
  <si>
    <t>Vendor non-trade receivables</t>
  </si>
  <si>
    <t>Inventories</t>
  </si>
  <si>
    <t>Other current assets</t>
  </si>
  <si>
    <t>Property, plant and equipment, net</t>
  </si>
  <si>
    <t>Other non-current assets</t>
  </si>
  <si>
    <t>Deferred revenue</t>
  </si>
  <si>
    <t>Commercial paper</t>
  </si>
  <si>
    <t>Term debt</t>
  </si>
  <si>
    <t>Other non-current liabilities</t>
  </si>
  <si>
    <t>Non-current liabilities:</t>
  </si>
  <si>
    <t>Retained earnings</t>
  </si>
  <si>
    <t>CS outstanding shares (million)</t>
  </si>
  <si>
    <t>($ million, %)</t>
  </si>
  <si>
    <t xml:space="preserve"> = Expected G/L on the CS investment ($)</t>
  </si>
  <si>
    <t>($, %)</t>
  </si>
  <si>
    <t xml:space="preserve"> = Expected return on the CS investment (%)</t>
  </si>
  <si>
    <t>Enterprise Value of the firm (the Entire Business)</t>
  </si>
  <si>
    <t xml:space="preserve"> = Intrinsic Value of CS</t>
  </si>
  <si>
    <t>Part I. Financial Statements (Income Statement &amp; Balance Sheet)</t>
  </si>
  <si>
    <t>Net sales:</t>
  </si>
  <si>
    <t xml:space="preserve"> = Gross margin</t>
  </si>
  <si>
    <t xml:space="preserve"> = Operating income</t>
  </si>
  <si>
    <t xml:space="preserve"> = Income before provision for income taxes</t>
  </si>
  <si>
    <t>Less Provision for income taxes</t>
  </si>
  <si>
    <t xml:space="preserve"> = Net income</t>
  </si>
  <si>
    <t>CONSOLIDATED BALANCE SHEETS (In millions, as of)</t>
  </si>
  <si>
    <t>ASSETS:</t>
  </si>
  <si>
    <t>Current assets:</t>
  </si>
  <si>
    <t>Accounts receivable, net</t>
  </si>
  <si>
    <t>Total current assets</t>
  </si>
  <si>
    <t>Non-current assets: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</si>
  <si>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</si>
  <si>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</si>
  <si>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</si>
  <si>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</si>
  <si>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</si>
  <si>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</si>
  <si>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Total current liabilities</t>
  </si>
  <si>
    <t>Total non-current liabilities</t>
  </si>
  <si>
    <t>Total liabilities</t>
  </si>
  <si>
    <t>Shareholders' equity:</t>
  </si>
  <si>
    <t>Common stock and additional paid-in capital, $0.00001 par value:</t>
  </si>
  <si>
    <t>50,400,000 shares authorized; 16,426,786 and 16,976,763 shares</t>
  </si>
  <si>
    <t>issued and outstanding, respectively</t>
  </si>
  <si>
    <t>Accumulated other comprehensive income/(loss)</t>
  </si>
  <si>
    <t>Total shareholders' equity</t>
  </si>
  <si>
    <t>Total liabilities and shareholders' equity</t>
  </si>
  <si>
    <t>S&amp;P500 (SPY ETF)</t>
  </si>
  <si>
    <t>Part II. CAPM &amp; WACC</t>
  </si>
  <si>
    <t>Other income</t>
  </si>
  <si>
    <t xml:space="preserve"> - Cost of sales:</t>
  </si>
  <si>
    <t xml:space="preserve"> - Research and development</t>
  </si>
  <si>
    <t xml:space="preserve"> - Selling, general and administrative</t>
  </si>
  <si>
    <t xml:space="preserve"> - Other expense (Interest)</t>
  </si>
  <si>
    <t xml:space="preserve"> + add back Interest after tax</t>
  </si>
  <si>
    <t xml:space="preserve"> + add back Depreciation</t>
  </si>
  <si>
    <t xml:space="preserve"> - Market Price of CS per share (as of today)</t>
  </si>
  <si>
    <t>1. Projected Assumptions.</t>
  </si>
  <si>
    <t xml:space="preserve">Intrinsice Value (Target price) of CS per share </t>
  </si>
  <si>
    <t>Investment Proposal (BUY / HOLD / SELL)</t>
  </si>
  <si>
    <t>a. Target Price by P/E Forward</t>
  </si>
  <si>
    <t>Part II. Compnay Valuation on FCFF Model</t>
  </si>
  <si>
    <t>WACC*</t>
  </si>
  <si>
    <t xml:space="preserve">CONSOLIDATED STATEMENTS OF OPERATIONS </t>
  </si>
  <si>
    <t>% of Sales</t>
  </si>
  <si>
    <t>(Cost of sales)</t>
  </si>
  <si>
    <t>(Research and development)</t>
  </si>
  <si>
    <t>(Selling, general and administrative)</t>
  </si>
  <si>
    <t>(Other expense, Interest)</t>
  </si>
  <si>
    <t>(income taxes)</t>
  </si>
  <si>
    <t>(Dividend)</t>
  </si>
  <si>
    <t>(Stock Repurchased)</t>
  </si>
  <si>
    <t xml:space="preserve">CONSOLIDATED BALANCE SHEETS </t>
  </si>
  <si>
    <t>(as of 2021, In millions)</t>
  </si>
  <si>
    <t>2. Free Cash Flows of the Firm (FCFF)</t>
  </si>
  <si>
    <t>(1) Operating cash flows:</t>
  </si>
  <si>
    <t>Excess Cash (Must Include this account)</t>
  </si>
  <si>
    <t xml:space="preserve">(2) Cash flows in NOWC: </t>
  </si>
  <si>
    <t>(3) Cash flows in capital investment:</t>
  </si>
  <si>
    <t xml:space="preserve"> = Cash flows of Changes in fixed assets </t>
  </si>
  <si>
    <t>(4) Free Cash Flows of the Firm = (1) + (2) + (3)</t>
  </si>
  <si>
    <t xml:space="preserve"> + Terminal Value at the end of Y5 (Y6 ~ forever)</t>
  </si>
  <si>
    <t>Additional Financing Need (AFN,  Assume New Common stock issued when needed)</t>
  </si>
  <si>
    <t>Part I. Collecting Monthly price of market and stock</t>
  </si>
  <si>
    <t>Part III. Financial Statements (Income Statement &amp; Balance Sheet)</t>
  </si>
  <si>
    <t>Rf (3Month T-bill, %)</t>
  </si>
  <si>
    <t>Rm (S&amp;P500, %)</t>
  </si>
  <si>
    <t>Market Risk Premium (MRP, %)</t>
  </si>
  <si>
    <t>Beta (Apple Inc.)</t>
  </si>
  <si>
    <t>Equity Risk Premium (ERP, %)</t>
  </si>
  <si>
    <t>Required rate of return on Equity</t>
  </si>
  <si>
    <t>Highest Coupon rate of Notes/Bonds from 10K (%)</t>
  </si>
  <si>
    <t>Tax rate (%)</t>
  </si>
  <si>
    <t>MV of Debt ($, million)</t>
  </si>
  <si>
    <t>MV of CS ($, million)</t>
  </si>
  <si>
    <t>Total MV of Capital Resouces ($, million)</t>
  </si>
  <si>
    <t>Cost of Debt (%)</t>
  </si>
  <si>
    <t>Cost of CS (%)</t>
  </si>
  <si>
    <t>WACC (%)</t>
  </si>
  <si>
    <t>Value &amp; Performance Measurement.</t>
  </si>
  <si>
    <t xml:space="preserve">The followings are Home Depot B/S of the recent two years and I/S at fiscal year end, Feb 1, 2015. ($, in million) Calculate the Value and Performance Measures. </t>
  </si>
  <si>
    <t>Balance Sheet, Assets</t>
  </si>
  <si>
    <t>Liabilities &amp; Shareholder's Equity</t>
  </si>
  <si>
    <t>Income Statement, for the fiscal year ended 2015</t>
  </si>
  <si>
    <t>Current Assets</t>
  </si>
  <si>
    <t>Current Liabilities</t>
  </si>
  <si>
    <t>Net Sales</t>
  </si>
  <si>
    <t>Cash and Marketable Securities</t>
  </si>
  <si>
    <t>Debt due for repayment</t>
  </si>
  <si>
    <t>Other Income</t>
  </si>
  <si>
    <t>Receivables</t>
  </si>
  <si>
    <t>Less Cost of Goods Sold</t>
  </si>
  <si>
    <t>Less Selling, General, Admin Exp</t>
  </si>
  <si>
    <t>Total Current Assets</t>
  </si>
  <si>
    <t xml:space="preserve"> = EBITDA</t>
  </si>
  <si>
    <t>Long-term debt</t>
  </si>
  <si>
    <t>Less Depreciation &amp; Amortization</t>
  </si>
  <si>
    <t>Fixed Assets</t>
  </si>
  <si>
    <t>Deferred income taxes</t>
  </si>
  <si>
    <t xml:space="preserve"> = EBIT </t>
  </si>
  <si>
    <t>Tangiable Fixed Assets</t>
  </si>
  <si>
    <t>Other long-term liabilities</t>
  </si>
  <si>
    <t>Less Interest Expense</t>
  </si>
  <si>
    <t>Property, Plant, and Equipment</t>
  </si>
  <si>
    <t>Total Iiabilities</t>
  </si>
  <si>
    <t>Less Accumulated Depreciation</t>
  </si>
  <si>
    <t>Less Tax</t>
  </si>
  <si>
    <t>Net Tangible Fixed Assets</t>
  </si>
  <si>
    <t>Shareholders' Equity</t>
  </si>
  <si>
    <t>Net Income</t>
  </si>
  <si>
    <t>Intangible Assets including Goodwill</t>
  </si>
  <si>
    <t>Common Stock and Paid in Capital</t>
  </si>
  <si>
    <t>Other Assets</t>
  </si>
  <si>
    <t>Retained Earnings</t>
  </si>
  <si>
    <t>Treasury Stock</t>
  </si>
  <si>
    <t>Total Shareholders' Equity</t>
  </si>
  <si>
    <t>Total Assets</t>
  </si>
  <si>
    <t>Total Liaibitlies &amp; Shareholders' Equilty</t>
  </si>
  <si>
    <t>Home Depot Financial Information. (Feb 1st, 2015)</t>
  </si>
  <si>
    <t>Price per share ($)*</t>
  </si>
  <si>
    <t>Shares outstanding (# in million)**</t>
  </si>
  <si>
    <t>Interest Expense on the I/S ($ in million)***</t>
  </si>
  <si>
    <t>Weighted Average Cost of Capital (%, Given)</t>
  </si>
  <si>
    <t>Cost of Equity (%, Given)</t>
  </si>
  <si>
    <t>Tax Rate (%, Given)</t>
  </si>
  <si>
    <t>Market Capitalization  (Market Value, $ in million)</t>
  </si>
  <si>
    <t>Market Value Added (MVA, $ in million)</t>
  </si>
  <si>
    <t xml:space="preserve">Market to Book ratio </t>
  </si>
  <si>
    <t>Price to Eanrings ratio</t>
  </si>
  <si>
    <t>Performance Measurement. (For the year ended of the fiscal Year 2015)</t>
  </si>
  <si>
    <t xml:space="preserve">Economic Value Added (EVA, $ in million) </t>
  </si>
  <si>
    <t>Residual Income (RI, $ in million)</t>
  </si>
  <si>
    <t>Return on Capital (ROC, %)</t>
  </si>
  <si>
    <t>Return on Asset (ROA, %)</t>
  </si>
  <si>
    <t>Return on Equity (ROE, %)</t>
  </si>
  <si>
    <t>1. Liquidity (Safety)</t>
  </si>
  <si>
    <t>Current ratio</t>
  </si>
  <si>
    <t>Quick ratio</t>
  </si>
  <si>
    <t>Accounts Receivable Turnover</t>
  </si>
  <si>
    <t>Days in Receivable</t>
  </si>
  <si>
    <t xml:space="preserve">2. Productivity (Efficiency)
</t>
  </si>
  <si>
    <t>Inventory Turnover</t>
  </si>
  <si>
    <t>Days in Inventory</t>
  </si>
  <si>
    <t>Total Asset Turnover</t>
  </si>
  <si>
    <t>Total Fixed Asset Turnover</t>
  </si>
  <si>
    <t>3. Profitability (Performance)</t>
  </si>
  <si>
    <t>Operating profit margin (%)</t>
  </si>
  <si>
    <t>Return on Asset (%)</t>
  </si>
  <si>
    <t>Return on Sales, net profit margin (%)</t>
  </si>
  <si>
    <t>Return on Equity (%)</t>
  </si>
  <si>
    <t>4. Insolvency (leverage)</t>
  </si>
  <si>
    <t>Debt ratio</t>
  </si>
  <si>
    <t>Times Interest Earned</t>
  </si>
  <si>
    <t>5. DuPont Analysis. (ROE break-down)</t>
  </si>
  <si>
    <t>Asset Turnover</t>
  </si>
  <si>
    <t>Asset to Equity</t>
  </si>
  <si>
    <t>P/E</t>
  </si>
  <si>
    <t>MV of Equity</t>
  </si>
  <si>
    <t>MV of Debt</t>
  </si>
  <si>
    <t>Unlevered Beta</t>
  </si>
  <si>
    <t>Levered Beta</t>
  </si>
  <si>
    <t>Cost of Equity</t>
  </si>
  <si>
    <t xml:space="preserve">b. Target Price by P/B </t>
  </si>
  <si>
    <t>c. Target Price by P/S</t>
  </si>
  <si>
    <t>d. Target Price by EV/EBIDTA Forward</t>
  </si>
  <si>
    <t>5. Final Target Price &amp; Investment Proposal</t>
  </si>
  <si>
    <t>Sales growth</t>
  </si>
  <si>
    <t>Cost of Sales  (% of sales)</t>
  </si>
  <si>
    <t>R&amp;D Exp (% of sales)</t>
  </si>
  <si>
    <t>SG&amp;A Exp (% of sales)</t>
  </si>
  <si>
    <t>Other Income (% of sales)</t>
  </si>
  <si>
    <t>Interest Expense (% of sales)</t>
  </si>
  <si>
    <t>Stock Repurchase Program (% of Sales)</t>
  </si>
  <si>
    <t>Fixed Assets (% of sales)</t>
  </si>
  <si>
    <t>Depr. (% of fixed assets)</t>
  </si>
  <si>
    <t>Tax rate</t>
  </si>
  <si>
    <t>2022, Actual</t>
  </si>
  <si>
    <t>(2022, for the year ended, $ In millions)</t>
  </si>
  <si>
    <t>Company Valuation: Free Cash Flows of the Firm Model. [Apple Inc.]</t>
  </si>
  <si>
    <t>CONSOLIDATED STATEMENTS OF OPERATIONS (2022, year ended, $, In millions)</t>
  </si>
  <si>
    <t>Final Target Price per share</t>
  </si>
  <si>
    <t>Debt to Equity</t>
  </si>
  <si>
    <t>Accounts Payable Turnover</t>
  </si>
  <si>
    <t>Days in Payable</t>
  </si>
  <si>
    <t>EVA ($, million)</t>
  </si>
  <si>
    <t>Part II. Financial Staement Analysis</t>
  </si>
  <si>
    <t>Financial Statement Analysis. [Apple Inc.]</t>
  </si>
  <si>
    <t>Gross margin (%)</t>
  </si>
  <si>
    <t>2. Financial Ratios</t>
  </si>
  <si>
    <t>Trend</t>
  </si>
  <si>
    <t>Weighted Average Cost of Capital. Apple Inc.</t>
  </si>
  <si>
    <t>1. Input variables I. CAPM of Apple Inc.</t>
  </si>
  <si>
    <t>2. Input variables II. Weighted Average Cost of Capital</t>
  </si>
  <si>
    <r>
      <t>Value Measurement. (</t>
    </r>
    <r>
      <rPr>
        <b/>
        <i/>
        <u val="singleAccounting"/>
        <sz val="12"/>
        <color theme="1"/>
        <rFont val="Times New Roman"/>
        <family val="1"/>
      </rPr>
      <t>as of NOW, Feb 1st, 2015)</t>
    </r>
  </si>
  <si>
    <t>Firm</t>
  </si>
  <si>
    <t>Industry</t>
  </si>
  <si>
    <t>4. Target Prices on Relative Methods</t>
  </si>
  <si>
    <t>3. Intrinsic Value of Common Stock on FCFF</t>
  </si>
  <si>
    <t>Price of CS per share ($)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</si>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</sst>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32">
    <font>
      <sz val="12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8"/>
      <name val="Cambria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u/>
      <sz val="12"/>
      <name val="Times New Roman"/>
      <family val="1"/>
    </font>
    <font>
      <sz val="12"/>
      <color rgb="FFC00000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4"/>
      <color theme="1"/>
      <name val="Times New Roman"/>
      <family val="1"/>
    </font>
    <font>
      <b/>
      <i/>
      <u val="singleAccounting"/>
      <sz val="12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>
      <alignment vertical="top"/>
    </xf>
    <xf numFmtId="9" fontId="5" fillId="0" borderId="0" applyFont="0" applyFill="0" applyBorder="0" applyAlignment="0" applyProtection="0"/>
  </cellStyleXfs>
  <cellXfs count="149">
    <xf numFmtId="0" fontId="0" fillId="0" borderId="0" xfId="0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166" fontId="8" fillId="2" borderId="0" xfId="1" applyNumberFormat="1" applyFont="1" applyFill="1" applyAlignment="1">
      <alignment vertical="center"/>
    </xf>
    <xf numFmtId="9" fontId="8" fillId="2" borderId="0" xfId="0" applyNumberFormat="1" applyFont="1" applyFill="1" applyAlignment="1">
      <alignment vertical="center"/>
    </xf>
    <xf numFmtId="166" fontId="14" fillId="2" borderId="0" xfId="1" applyNumberFormat="1" applyFont="1" applyFill="1" applyAlignment="1">
      <alignment vertical="center"/>
    </xf>
    <xf numFmtId="166" fontId="15" fillId="2" borderId="0" xfId="1" applyNumberFormat="1" applyFont="1" applyFill="1" applyAlignment="1">
      <alignment vertical="center"/>
    </xf>
    <xf numFmtId="167" fontId="8" fillId="2" borderId="0" xfId="0" applyNumberFormat="1" applyFont="1" applyFill="1" applyAlignment="1">
      <alignment vertical="center"/>
    </xf>
    <xf numFmtId="9" fontId="8" fillId="2" borderId="1" xfId="0" applyNumberFormat="1" applyFont="1" applyFill="1" applyBorder="1" applyAlignment="1">
      <alignment vertical="center"/>
    </xf>
    <xf numFmtId="2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left" vertical="center"/>
    </xf>
    <xf numFmtId="164" fontId="16" fillId="2" borderId="0" xfId="0" applyNumberFormat="1" applyFont="1" applyFill="1" applyAlignment="1">
      <alignment vertical="center"/>
    </xf>
    <xf numFmtId="166" fontId="8" fillId="2" borderId="0" xfId="0" applyNumberFormat="1" applyFont="1" applyFill="1" applyAlignment="1">
      <alignment vertical="center"/>
    </xf>
    <xf numFmtId="37" fontId="16" fillId="2" borderId="0" xfId="0" applyNumberFormat="1" applyFont="1" applyFill="1" applyAlignment="1">
      <alignment vertical="center"/>
    </xf>
    <xf numFmtId="166" fontId="8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166" fontId="14" fillId="2" borderId="0" xfId="0" applyNumberFormat="1" applyFont="1" applyFill="1" applyAlignment="1">
      <alignment vertical="center"/>
    </xf>
    <xf numFmtId="37" fontId="18" fillId="2" borderId="0" xfId="0" applyNumberFormat="1" applyFont="1" applyFill="1" applyAlignment="1">
      <alignment vertical="center"/>
    </xf>
    <xf numFmtId="164" fontId="12" fillId="2" borderId="0" xfId="0" applyNumberFormat="1" applyFont="1" applyFill="1" applyAlignment="1">
      <alignment vertical="center"/>
    </xf>
    <xf numFmtId="166" fontId="11" fillId="2" borderId="0" xfId="0" applyNumberFormat="1" applyFont="1" applyFill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2" borderId="1" xfId="1" applyNumberFormat="1" applyFont="1" applyFill="1" applyBorder="1" applyAlignment="1">
      <alignment vertical="center"/>
    </xf>
    <xf numFmtId="166" fontId="8" fillId="2" borderId="0" xfId="1" applyNumberFormat="1" applyFont="1" applyFill="1" applyAlignment="1">
      <alignment horizontal="right" vertical="center"/>
    </xf>
    <xf numFmtId="166" fontId="8" fillId="2" borderId="1" xfId="1" applyNumberFormat="1" applyFont="1" applyFill="1" applyBorder="1" applyAlignment="1">
      <alignment horizontal="right" vertical="center"/>
    </xf>
    <xf numFmtId="166" fontId="11" fillId="2" borderId="0" xfId="1" applyNumberFormat="1" applyFont="1" applyFill="1" applyAlignment="1">
      <alignment horizontal="right" vertical="center"/>
    </xf>
    <xf numFmtId="165" fontId="8" fillId="2" borderId="0" xfId="1" applyFont="1" applyFill="1" applyAlignment="1">
      <alignment vertical="center"/>
    </xf>
    <xf numFmtId="2" fontId="8" fillId="2" borderId="0" xfId="0" applyNumberFormat="1" applyFont="1" applyFill="1" applyAlignment="1">
      <alignment vertical="center"/>
    </xf>
    <xf numFmtId="37" fontId="12" fillId="2" borderId="0" xfId="0" applyNumberFormat="1" applyFont="1" applyFill="1" applyAlignment="1">
      <alignment vertical="center"/>
    </xf>
    <xf numFmtId="37" fontId="20" fillId="2" borderId="0" xfId="0" applyNumberFormat="1" applyFont="1" applyFill="1" applyAlignment="1">
      <alignment vertical="center"/>
    </xf>
    <xf numFmtId="166" fontId="21" fillId="2" borderId="0" xfId="0" applyNumberFormat="1" applyFont="1" applyFill="1" applyAlignment="1">
      <alignment vertical="center"/>
    </xf>
    <xf numFmtId="10" fontId="8" fillId="2" borderId="0" xfId="2" applyNumberFormat="1" applyFont="1" applyFill="1" applyAlignment="1">
      <alignment vertical="center"/>
    </xf>
    <xf numFmtId="0" fontId="8" fillId="0" borderId="0" xfId="0" applyFont="1"/>
    <xf numFmtId="166" fontId="8" fillId="0" borderId="0" xfId="1" applyNumberFormat="1" applyFont="1" applyFill="1" applyAlignment="1">
      <alignment vertical="center"/>
    </xf>
    <xf numFmtId="166" fontId="15" fillId="0" borderId="0" xfId="1" applyNumberFormat="1" applyFont="1" applyFill="1" applyAlignment="1">
      <alignment vertical="center"/>
    </xf>
    <xf numFmtId="0" fontId="16" fillId="0" borderId="0" xfId="0" applyFont="1" applyAlignment="1">
      <alignment vertical="center"/>
    </xf>
    <xf numFmtId="9" fontId="16" fillId="0" borderId="0" xfId="2" applyFont="1" applyFill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10" fontId="11" fillId="2" borderId="0" xfId="0" applyNumberFormat="1" applyFont="1" applyFill="1" applyAlignment="1">
      <alignment vertical="center"/>
    </xf>
    <xf numFmtId="10" fontId="11" fillId="2" borderId="0" xfId="2" applyNumberFormat="1" applyFont="1" applyFill="1" applyAlignment="1">
      <alignment vertical="center"/>
    </xf>
    <xf numFmtId="10" fontId="11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2" fontId="11" fillId="2" borderId="5" xfId="0" applyNumberFormat="1" applyFont="1" applyFill="1" applyBorder="1" applyAlignment="1">
      <alignment vertical="center"/>
    </xf>
    <xf numFmtId="2" fontId="11" fillId="2" borderId="6" xfId="0" applyNumberFormat="1" applyFont="1" applyFill="1" applyBorder="1" applyAlignment="1">
      <alignment vertical="center"/>
    </xf>
    <xf numFmtId="10" fontId="11" fillId="2" borderId="8" xfId="2" applyNumberFormat="1" applyFont="1" applyFill="1" applyBorder="1" applyAlignment="1">
      <alignment vertical="center"/>
    </xf>
    <xf numFmtId="10" fontId="11" fillId="2" borderId="7" xfId="2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166" fontId="8" fillId="0" borderId="1" xfId="1" applyNumberFormat="1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165" fontId="8" fillId="0" borderId="0" xfId="1" applyFont="1" applyFill="1" applyBorder="1" applyAlignment="1">
      <alignment vertical="center"/>
    </xf>
    <xf numFmtId="10" fontId="11" fillId="0" borderId="0" xfId="2" applyNumberFormat="1" applyFont="1" applyFill="1" applyBorder="1" applyAlignment="1">
      <alignment vertical="center"/>
    </xf>
    <xf numFmtId="10" fontId="11" fillId="0" borderId="0" xfId="2" applyNumberFormat="1" applyFont="1" applyFill="1" applyBorder="1" applyAlignment="1">
      <alignment horizontal="right" vertical="center"/>
    </xf>
    <xf numFmtId="0" fontId="11" fillId="0" borderId="0" xfId="18" applyFont="1" applyAlignment="1">
      <alignment vertical="center"/>
    </xf>
    <xf numFmtId="165" fontId="8" fillId="2" borderId="0" xfId="7" applyFont="1" applyFill="1" applyBorder="1" applyAlignment="1">
      <alignment vertical="center"/>
    </xf>
    <xf numFmtId="10" fontId="8" fillId="2" borderId="0" xfId="19" applyNumberFormat="1" applyFont="1" applyFill="1" applyBorder="1" applyAlignment="1">
      <alignment vertical="center"/>
    </xf>
    <xf numFmtId="10" fontId="8" fillId="2" borderId="0" xfId="7" applyNumberFormat="1" applyFont="1" applyFill="1" applyBorder="1" applyAlignment="1">
      <alignment vertical="center"/>
    </xf>
    <xf numFmtId="165" fontId="8" fillId="2" borderId="0" xfId="1" applyFont="1" applyFill="1" applyBorder="1" applyAlignment="1">
      <alignment vertical="center"/>
    </xf>
    <xf numFmtId="165" fontId="8" fillId="0" borderId="0" xfId="1" applyFont="1" applyAlignment="1">
      <alignment vertical="center"/>
    </xf>
    <xf numFmtId="165" fontId="11" fillId="0" borderId="0" xfId="1" applyFont="1" applyBorder="1" applyAlignment="1">
      <alignment vertical="center"/>
    </xf>
    <xf numFmtId="165" fontId="8" fillId="0" borderId="0" xfId="1" applyFont="1" applyBorder="1" applyAlignment="1">
      <alignment vertical="center"/>
    </xf>
    <xf numFmtId="165" fontId="8" fillId="0" borderId="0" xfId="1" applyFont="1" applyAlignment="1">
      <alignment horizontal="left" vertical="center"/>
    </xf>
    <xf numFmtId="0" fontId="8" fillId="0" borderId="0" xfId="4" applyFont="1" applyAlignment="1">
      <alignment vertical="center"/>
    </xf>
    <xf numFmtId="0" fontId="22" fillId="0" borderId="1" xfId="4" applyFont="1" applyBorder="1" applyAlignment="1">
      <alignment vertical="center"/>
    </xf>
    <xf numFmtId="0" fontId="8" fillId="0" borderId="1" xfId="4" applyFont="1" applyBorder="1" applyAlignment="1">
      <alignment vertical="center"/>
    </xf>
    <xf numFmtId="0" fontId="11" fillId="0" borderId="1" xfId="4" applyFont="1" applyBorder="1" applyAlignment="1">
      <alignment vertical="center"/>
    </xf>
    <xf numFmtId="0" fontId="24" fillId="0" borderId="0" xfId="3" applyFont="1" applyAlignment="1">
      <alignment vertical="center"/>
    </xf>
    <xf numFmtId="0" fontId="25" fillId="0" borderId="0" xfId="4" applyFont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2" fillId="0" borderId="1" xfId="4" applyFont="1" applyBorder="1" applyAlignment="1">
      <alignment horizontal="right" vertical="center"/>
    </xf>
    <xf numFmtId="0" fontId="16" fillId="0" borderId="0" xfId="4" applyFont="1" applyAlignment="1">
      <alignment vertical="center"/>
    </xf>
    <xf numFmtId="164" fontId="16" fillId="0" borderId="0" xfId="4" applyNumberFormat="1" applyFont="1" applyAlignment="1">
      <alignment vertical="center"/>
    </xf>
    <xf numFmtId="14" fontId="8" fillId="2" borderId="3" xfId="0" applyNumberFormat="1" applyFont="1" applyFill="1" applyBorder="1"/>
    <xf numFmtId="0" fontId="8" fillId="2" borderId="0" xfId="0" applyFont="1" applyFill="1"/>
    <xf numFmtId="0" fontId="23" fillId="2" borderId="3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10" fontId="23" fillId="2" borderId="3" xfId="8" applyNumberFormat="1" applyFont="1" applyFill="1" applyBorder="1" applyAlignment="1">
      <alignment vertical="center"/>
    </xf>
    <xf numFmtId="10" fontId="23" fillId="2" borderId="0" xfId="8" applyNumberFormat="1" applyFont="1" applyFill="1" applyBorder="1" applyAlignment="1">
      <alignment vertical="center"/>
    </xf>
    <xf numFmtId="0" fontId="10" fillId="0" borderId="1" xfId="4" applyFont="1" applyBorder="1" applyAlignment="1">
      <alignment vertical="center"/>
    </xf>
    <xf numFmtId="0" fontId="23" fillId="0" borderId="1" xfId="4" applyFont="1" applyBorder="1" applyAlignment="1">
      <alignment horizontal="right" vertical="center"/>
    </xf>
    <xf numFmtId="0" fontId="19" fillId="0" borderId="0" xfId="4" applyFont="1" applyAlignment="1">
      <alignment vertical="center"/>
    </xf>
    <xf numFmtId="0" fontId="19" fillId="0" borderId="1" xfId="4" applyFont="1" applyBorder="1" applyAlignment="1">
      <alignment vertical="center"/>
    </xf>
    <xf numFmtId="0" fontId="10" fillId="0" borderId="0" xfId="4" applyFont="1" applyAlignment="1">
      <alignment vertical="center"/>
    </xf>
    <xf numFmtId="165" fontId="11" fillId="0" borderId="0" xfId="1" applyFont="1" applyAlignment="1">
      <alignment vertical="center"/>
    </xf>
    <xf numFmtId="165" fontId="11" fillId="0" borderId="1" xfId="1" applyFont="1" applyBorder="1" applyAlignment="1">
      <alignment vertical="center"/>
    </xf>
    <xf numFmtId="0" fontId="11" fillId="0" borderId="1" xfId="1" applyNumberFormat="1" applyFont="1" applyBorder="1" applyAlignment="1">
      <alignment vertical="center"/>
    </xf>
    <xf numFmtId="165" fontId="13" fillId="0" borderId="0" xfId="1" applyFont="1" applyAlignment="1">
      <alignment vertical="center"/>
    </xf>
    <xf numFmtId="166" fontId="8" fillId="0" borderId="0" xfId="1" applyNumberFormat="1" applyFont="1" applyAlignment="1">
      <alignment vertical="center"/>
    </xf>
    <xf numFmtId="165" fontId="15" fillId="0" borderId="0" xfId="1" applyFont="1" applyAlignment="1">
      <alignment vertical="center"/>
    </xf>
    <xf numFmtId="166" fontId="15" fillId="0" borderId="0" xfId="1" applyNumberFormat="1" applyFont="1" applyAlignment="1">
      <alignment vertical="center"/>
    </xf>
    <xf numFmtId="166" fontId="11" fillId="0" borderId="0" xfId="1" applyNumberFormat="1" applyFont="1" applyAlignment="1">
      <alignment vertical="center"/>
    </xf>
    <xf numFmtId="165" fontId="8" fillId="0" borderId="1" xfId="1" applyFont="1" applyBorder="1" applyAlignment="1">
      <alignment vertical="center"/>
    </xf>
    <xf numFmtId="166" fontId="8" fillId="0" borderId="1" xfId="1" applyNumberFormat="1" applyFont="1" applyBorder="1" applyAlignment="1">
      <alignment vertical="center"/>
    </xf>
    <xf numFmtId="165" fontId="13" fillId="0" borderId="1" xfId="1" applyFont="1" applyBorder="1" applyAlignment="1">
      <alignment vertical="center"/>
    </xf>
    <xf numFmtId="166" fontId="11" fillId="0" borderId="1" xfId="1" applyNumberFormat="1" applyFont="1" applyBorder="1" applyAlignment="1">
      <alignment vertical="center"/>
    </xf>
    <xf numFmtId="165" fontId="8" fillId="3" borderId="0" xfId="1" applyFont="1" applyFill="1" applyAlignment="1">
      <alignment vertical="center"/>
    </xf>
    <xf numFmtId="166" fontId="8" fillId="3" borderId="0" xfId="1" applyNumberFormat="1" applyFont="1" applyFill="1" applyAlignment="1">
      <alignment vertical="center"/>
    </xf>
    <xf numFmtId="9" fontId="8" fillId="3" borderId="0" xfId="1" applyNumberFormat="1" applyFont="1" applyFill="1" applyAlignment="1">
      <alignment vertical="center"/>
    </xf>
    <xf numFmtId="9" fontId="8" fillId="3" borderId="1" xfId="1" applyNumberFormat="1" applyFont="1" applyFill="1" applyBorder="1" applyAlignment="1">
      <alignment vertical="center"/>
    </xf>
    <xf numFmtId="165" fontId="8" fillId="0" borderId="1" xfId="1" applyFont="1" applyBorder="1" applyAlignment="1">
      <alignment horizontal="right" vertical="center"/>
    </xf>
    <xf numFmtId="165" fontId="17" fillId="0" borderId="0" xfId="1" applyFont="1" applyAlignment="1">
      <alignment vertical="center"/>
    </xf>
    <xf numFmtId="10" fontId="8" fillId="3" borderId="0" xfId="2" applyNumberFormat="1" applyFont="1" applyFill="1" applyAlignment="1">
      <alignment vertical="center"/>
    </xf>
    <xf numFmtId="10" fontId="8" fillId="2" borderId="0" xfId="4" applyNumberFormat="1" applyFont="1" applyFill="1" applyAlignment="1">
      <alignment vertical="center"/>
    </xf>
    <xf numFmtId="165" fontId="8" fillId="2" borderId="0" xfId="5" applyFont="1" applyFill="1" applyBorder="1" applyAlignment="1">
      <alignment vertical="center"/>
    </xf>
    <xf numFmtId="165" fontId="8" fillId="2" borderId="0" xfId="4" applyNumberFormat="1" applyFont="1" applyFill="1" applyAlignment="1">
      <alignment vertical="center"/>
    </xf>
    <xf numFmtId="10" fontId="8" fillId="2" borderId="1" xfId="6" applyNumberFormat="1" applyFont="1" applyFill="1" applyBorder="1" applyAlignment="1">
      <alignment vertical="center"/>
    </xf>
    <xf numFmtId="10" fontId="10" fillId="2" borderId="0" xfId="8" applyNumberFormat="1" applyFont="1" applyFill="1" applyAlignment="1">
      <alignment vertical="center"/>
    </xf>
    <xf numFmtId="166" fontId="8" fillId="2" borderId="0" xfId="5" applyNumberFormat="1" applyFont="1" applyFill="1" applyAlignment="1">
      <alignment vertical="center"/>
    </xf>
    <xf numFmtId="167" fontId="8" fillId="2" borderId="1" xfId="4" applyNumberFormat="1" applyFont="1" applyFill="1" applyBorder="1" applyAlignment="1">
      <alignment vertical="center"/>
    </xf>
    <xf numFmtId="166" fontId="8" fillId="2" borderId="1" xfId="5" applyNumberFormat="1" applyFont="1" applyFill="1" applyBorder="1" applyAlignment="1">
      <alignment vertical="center"/>
    </xf>
    <xf numFmtId="10" fontId="8" fillId="2" borderId="1" xfId="4" applyNumberFormat="1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6" fillId="2" borderId="0" xfId="4" applyFont="1" applyFill="1" applyAlignment="1">
      <alignment vertical="center"/>
    </xf>
    <xf numFmtId="164" fontId="16" fillId="2" borderId="0" xfId="4" applyNumberFormat="1" applyFont="1" applyFill="1" applyAlignment="1">
      <alignment vertical="center"/>
    </xf>
    <xf numFmtId="37" fontId="16" fillId="2" borderId="0" xfId="4" applyNumberFormat="1" applyFont="1" applyFill="1" applyAlignment="1">
      <alignment vertical="center"/>
    </xf>
    <xf numFmtId="165" fontId="27" fillId="0" borderId="0" xfId="1" applyFont="1" applyFill="1" applyAlignment="1">
      <alignment vertical="center"/>
    </xf>
    <xf numFmtId="165" fontId="28" fillId="0" borderId="0" xfId="1" applyFont="1" applyFill="1" applyAlignment="1">
      <alignment vertical="center"/>
    </xf>
    <xf numFmtId="9" fontId="8" fillId="2" borderId="0" xfId="2" applyFont="1" applyFill="1" applyAlignment="1">
      <alignment vertical="center"/>
    </xf>
    <xf numFmtId="9" fontId="16" fillId="2" borderId="0" xfId="2" applyFont="1" applyFill="1" applyAlignment="1">
      <alignment vertical="center"/>
    </xf>
    <xf numFmtId="9" fontId="18" fillId="2" borderId="0" xfId="2" applyFont="1" applyFill="1" applyAlignment="1">
      <alignment vertical="center"/>
    </xf>
    <xf numFmtId="9" fontId="12" fillId="2" borderId="0" xfId="2" applyFont="1" applyFill="1" applyAlignment="1">
      <alignment vertical="center"/>
    </xf>
    <xf numFmtId="9" fontId="20" fillId="2" borderId="0" xfId="2" applyFont="1" applyFill="1" applyAlignment="1">
      <alignment vertical="center"/>
    </xf>
    <xf numFmtId="0" fontId="11" fillId="0" borderId="9" xfId="4" applyFont="1" applyBorder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9" fillId="0" borderId="4" xfId="4" applyFont="1" applyBorder="1" applyAlignment="1">
      <alignment horizontal="center" vertical="center"/>
    </xf>
    <xf numFmtId="0" fontId="11" fillId="0" borderId="2" xfId="4" applyFont="1" applyBorder="1" applyAlignment="1">
      <alignment horizontal="right" vertical="center"/>
    </xf>
    <xf numFmtId="0" fontId="30" fillId="0" borderId="1" xfId="4" applyFont="1" applyBorder="1" applyAlignment="1">
      <alignment horizontal="right" vertical="center"/>
    </xf>
    <xf numFmtId="0" fontId="30" fillId="0" borderId="2" xfId="4" applyFont="1" applyBorder="1" applyAlignment="1">
      <alignment horizontal="right" vertical="center"/>
    </xf>
    <xf numFmtId="0" fontId="22" fillId="0" borderId="1" xfId="0" applyFont="1" applyBorder="1" applyAlignment="1">
      <alignment vertical="center"/>
    </xf>
    <xf numFmtId="0" fontId="31" fillId="0" borderId="0" xfId="4" applyFont="1" applyAlignment="1">
      <alignment vertical="center"/>
    </xf>
    <xf numFmtId="0" fontId="31" fillId="0" borderId="0" xfId="0" applyFont="1" applyAlignment="1">
      <alignment vertical="center"/>
    </xf>
    <xf numFmtId="165" fontId="11" fillId="2" borderId="0" xfId="1" applyFont="1" applyFill="1" applyAlignment="1">
      <alignment vertical="center"/>
    </xf>
    <xf numFmtId="166" fontId="8" fillId="2" borderId="1" xfId="0" applyNumberFormat="1" applyFont="1" applyFill="1" applyBorder="1" applyAlignment="1">
      <alignment vertical="center"/>
    </xf>
  </cellXfs>
  <cellStyles count="20">
    <cellStyle name="Comma" xfId="1" builtinId="3"/>
    <cellStyle name="Comma 2" xfId="5" xr:uid="{FC0489EA-AD54-9545-8C82-859E901005A9}"/>
    <cellStyle name="Comma 3" xfId="7" xr:uid="{9223CBE8-B6B0-FE4D-BD79-9C0C42FA3C98}"/>
    <cellStyle name="Comma 4" xfId="12" xr:uid="{8FD60E11-2766-A248-81EE-D317CD85E9DB}"/>
    <cellStyle name="Comma 5" xfId="15" xr:uid="{B8530084-0790-524E-A089-3D469B222FCE}"/>
    <cellStyle name="Hyperlink" xfId="3" builtinId="8"/>
    <cellStyle name="Normal" xfId="0" builtinId="0"/>
    <cellStyle name="Normal 2" xfId="9" xr:uid="{C033483A-4E74-0D44-9F36-38EC83CF1F64}"/>
    <cellStyle name="Normal 2 2" xfId="10" xr:uid="{703C5987-9F46-9248-807F-CE6EE62BD21D}"/>
    <cellStyle name="Normal 3" xfId="4" xr:uid="{833AC57B-F12A-7A4A-B953-B6EC94F97C9A}"/>
    <cellStyle name="Normal 3 2" xfId="18" xr:uid="{5FAF33DC-041F-3E44-BEC1-117ADA4E55BB}"/>
    <cellStyle name="Normal 4" xfId="14" xr:uid="{95320287-EE34-8443-895C-C8EF6A94D2C1}"/>
    <cellStyle name="Normal 5" xfId="17" xr:uid="{B6486B9A-2E0C-934E-BEA5-FA8E36181C53}"/>
    <cellStyle name="Percent" xfId="2" builtinId="5"/>
    <cellStyle name="Percent 2" xfId="6" xr:uid="{00837E10-5BAA-5E40-B34C-74E18216D930}"/>
    <cellStyle name="Percent 2 2" xfId="8" xr:uid="{ECECD045-22D5-7643-B3F9-D736B57E3CA2}"/>
    <cellStyle name="Percent 2 3" xfId="11" xr:uid="{6BBA7C91-102E-084A-AB4A-070898043DC7}"/>
    <cellStyle name="Percent 3" xfId="13" xr:uid="{676446AF-DEDA-B243-BB59-691C9D6E036C}"/>
    <cellStyle name="Percent 3 2" xfId="19" xr:uid="{04CC5583-9FD4-B44E-B639-8E57CDD90302}"/>
    <cellStyle name="Percent 4" xfId="16" xr:uid="{099DB50A-2813-5640-89B5-62F20CA18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/Users/John/Accounting%20HULT%20My%20Files/accounting%20hult%20team%20files/Managerial%20Accounting/Chapter%202/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8667-E1DA-5143-9BEA-3487C6B79507}">
  <sheetPr>
    <pageSetUpPr fitToPage="1"/>
  </sheetPr>
  <dimension ref="B2:K44"/>
  <sheetViews>
    <sheetView showGridLines="0" topLeftCell="A6" zoomScale="44" workbookViewId="0">
      <selection activeCell="F44" sqref="F44"/>
    </sheetView>
  </sheetViews>
  <sheetFormatPr defaultColWidth="10.83203125" defaultRowHeight="15.5"/>
  <cols>
    <col min="1" max="1" width="1.6640625" style="73" customWidth="1"/>
    <col min="2" max="2" width="45" style="73" customWidth="1"/>
    <col min="3" max="3" width="12.33203125" style="73" customWidth="1"/>
    <col min="4" max="4" width="10.6640625" style="73" customWidth="1"/>
    <col min="5" max="5" width="2.83203125" style="73" customWidth="1"/>
    <col min="6" max="6" width="34.5" style="73" customWidth="1"/>
    <col min="7" max="7" width="9.83203125" style="73" customWidth="1"/>
    <col min="8" max="8" width="10.83203125" style="73"/>
    <col min="9" max="9" width="3.83203125" style="73" customWidth="1"/>
    <col min="10" max="10" width="32.83203125" style="73" customWidth="1"/>
    <col min="11" max="16384" width="10.83203125" style="73"/>
  </cols>
  <sheetData>
    <row r="2" spans="2:11" s="131" customFormat="1" ht="28">
      <c r="B2" s="130" t="s">
        <v>116</v>
      </c>
    </row>
    <row r="4" spans="2:11">
      <c r="B4" s="98" t="s">
        <v>117</v>
      </c>
    </row>
    <row r="6" spans="2:11">
      <c r="B6" s="99" t="s">
        <v>118</v>
      </c>
      <c r="C6" s="100">
        <v>2015</v>
      </c>
      <c r="D6" s="100">
        <v>2014</v>
      </c>
      <c r="E6" s="100"/>
      <c r="F6" s="99" t="s">
        <v>119</v>
      </c>
      <c r="G6" s="100">
        <v>2015</v>
      </c>
      <c r="H6" s="100">
        <v>2014</v>
      </c>
      <c r="J6" s="99" t="s">
        <v>120</v>
      </c>
      <c r="K6" s="99"/>
    </row>
    <row r="7" spans="2:11">
      <c r="B7" s="101" t="s">
        <v>121</v>
      </c>
      <c r="F7" s="101" t="s">
        <v>122</v>
      </c>
      <c r="J7" s="73" t="s">
        <v>123</v>
      </c>
      <c r="K7" s="102">
        <v>83176</v>
      </c>
    </row>
    <row r="8" spans="2:11">
      <c r="B8" s="73" t="s">
        <v>124</v>
      </c>
      <c r="C8" s="102">
        <v>1723</v>
      </c>
      <c r="D8" s="102">
        <v>1929</v>
      </c>
      <c r="F8" s="73" t="s">
        <v>125</v>
      </c>
      <c r="G8" s="102">
        <v>328</v>
      </c>
      <c r="H8" s="102">
        <v>33</v>
      </c>
      <c r="J8" s="73" t="s">
        <v>126</v>
      </c>
      <c r="K8" s="102">
        <v>337</v>
      </c>
    </row>
    <row r="9" spans="2:11" ht="17">
      <c r="B9" s="73" t="s">
        <v>127</v>
      </c>
      <c r="C9" s="102">
        <v>1484</v>
      </c>
      <c r="D9" s="102">
        <v>1398</v>
      </c>
      <c r="F9" s="73" t="s">
        <v>52</v>
      </c>
      <c r="G9" s="102">
        <v>9473</v>
      </c>
      <c r="H9" s="102">
        <v>9379</v>
      </c>
      <c r="J9" s="103" t="s">
        <v>128</v>
      </c>
      <c r="K9" s="104">
        <v>54222</v>
      </c>
    </row>
    <row r="10" spans="2:11">
      <c r="B10" s="73" t="s">
        <v>18</v>
      </c>
      <c r="C10" s="102">
        <v>11079</v>
      </c>
      <c r="D10" s="102">
        <v>11057</v>
      </c>
      <c r="F10" s="73" t="s">
        <v>53</v>
      </c>
      <c r="G10" s="102">
        <v>1468</v>
      </c>
      <c r="H10" s="102">
        <v>1337</v>
      </c>
      <c r="J10" s="73" t="s">
        <v>7</v>
      </c>
      <c r="K10" s="102">
        <f>K7+K8-K9</f>
        <v>29291</v>
      </c>
    </row>
    <row r="11" spans="2:11" ht="17">
      <c r="B11" s="73" t="s">
        <v>19</v>
      </c>
      <c r="C11" s="102">
        <v>1016</v>
      </c>
      <c r="D11" s="102">
        <v>895</v>
      </c>
      <c r="F11" s="73" t="s">
        <v>54</v>
      </c>
      <c r="G11" s="102">
        <v>11269</v>
      </c>
      <c r="H11" s="102">
        <v>10749</v>
      </c>
      <c r="J11" s="103" t="s">
        <v>129</v>
      </c>
      <c r="K11" s="104">
        <v>16699</v>
      </c>
    </row>
    <row r="12" spans="2:11">
      <c r="B12" s="73" t="s">
        <v>130</v>
      </c>
      <c r="C12" s="102">
        <v>15302</v>
      </c>
      <c r="D12" s="102">
        <v>15279</v>
      </c>
      <c r="G12" s="102"/>
      <c r="H12" s="102"/>
      <c r="J12" s="73" t="s">
        <v>131</v>
      </c>
      <c r="K12" s="102">
        <f>K10-K11</f>
        <v>12592</v>
      </c>
    </row>
    <row r="13" spans="2:11" ht="17">
      <c r="C13" s="102"/>
      <c r="D13" s="102"/>
      <c r="F13" s="73" t="s">
        <v>132</v>
      </c>
      <c r="G13" s="102">
        <v>16869</v>
      </c>
      <c r="H13" s="102">
        <v>14691</v>
      </c>
      <c r="J13" s="103" t="s">
        <v>133</v>
      </c>
      <c r="K13" s="104">
        <v>1786</v>
      </c>
    </row>
    <row r="14" spans="2:11">
      <c r="B14" s="101" t="s">
        <v>134</v>
      </c>
      <c r="C14" s="102"/>
      <c r="D14" s="102"/>
      <c r="F14" s="73" t="s">
        <v>135</v>
      </c>
      <c r="G14" s="102">
        <v>642</v>
      </c>
      <c r="H14" s="102">
        <v>514</v>
      </c>
      <c r="J14" s="73" t="s">
        <v>136</v>
      </c>
      <c r="K14" s="102">
        <f>K12-K13</f>
        <v>10806</v>
      </c>
    </row>
    <row r="15" spans="2:11" ht="17">
      <c r="B15" s="101" t="s">
        <v>137</v>
      </c>
      <c r="C15" s="102"/>
      <c r="D15" s="102"/>
      <c r="F15" s="73" t="s">
        <v>138</v>
      </c>
      <c r="G15" s="102">
        <v>1844</v>
      </c>
      <c r="H15" s="102">
        <v>2042</v>
      </c>
      <c r="J15" s="103" t="s">
        <v>139</v>
      </c>
      <c r="K15" s="104">
        <v>830</v>
      </c>
    </row>
    <row r="16" spans="2:11">
      <c r="B16" s="73" t="s">
        <v>140</v>
      </c>
      <c r="C16" s="102">
        <v>40353</v>
      </c>
      <c r="D16" s="102">
        <v>39064</v>
      </c>
      <c r="F16" s="101" t="s">
        <v>141</v>
      </c>
      <c r="G16" s="105">
        <v>30624</v>
      </c>
      <c r="H16" s="105">
        <v>27996</v>
      </c>
      <c r="J16" s="73" t="s">
        <v>0</v>
      </c>
      <c r="K16" s="102">
        <f>K14-K15</f>
        <v>9976</v>
      </c>
    </row>
    <row r="17" spans="2:11" ht="17">
      <c r="B17" s="73" t="s">
        <v>142</v>
      </c>
      <c r="C17" s="102">
        <v>17633</v>
      </c>
      <c r="D17" s="102">
        <v>15716</v>
      </c>
      <c r="G17" s="102"/>
      <c r="H17" s="102"/>
      <c r="J17" s="103" t="s">
        <v>143</v>
      </c>
      <c r="K17" s="104">
        <v>3631</v>
      </c>
    </row>
    <row r="18" spans="2:11">
      <c r="B18" s="73" t="s">
        <v>144</v>
      </c>
      <c r="C18" s="102">
        <v>22720</v>
      </c>
      <c r="D18" s="102">
        <v>23348</v>
      </c>
      <c r="F18" s="101" t="s">
        <v>145</v>
      </c>
      <c r="G18" s="102"/>
      <c r="H18" s="102"/>
      <c r="J18" s="98" t="s">
        <v>146</v>
      </c>
      <c r="K18" s="105">
        <f>K16-K17</f>
        <v>6345</v>
      </c>
    </row>
    <row r="19" spans="2:11">
      <c r="B19" s="73" t="s">
        <v>147</v>
      </c>
      <c r="C19" s="102">
        <v>1353</v>
      </c>
      <c r="D19" s="102">
        <v>1289</v>
      </c>
      <c r="F19" s="73" t="s">
        <v>148</v>
      </c>
      <c r="G19" s="102">
        <v>8521</v>
      </c>
      <c r="H19" s="102">
        <v>8536</v>
      </c>
    </row>
    <row r="20" spans="2:11">
      <c r="B20" s="73" t="s">
        <v>149</v>
      </c>
      <c r="C20" s="102">
        <v>571</v>
      </c>
      <c r="D20" s="102">
        <v>602</v>
      </c>
      <c r="F20" s="73" t="s">
        <v>150</v>
      </c>
      <c r="G20" s="102">
        <v>26995</v>
      </c>
      <c r="H20" s="102">
        <v>23180</v>
      </c>
    </row>
    <row r="21" spans="2:11">
      <c r="C21" s="102"/>
      <c r="D21" s="102"/>
      <c r="F21" s="73" t="s">
        <v>151</v>
      </c>
      <c r="G21" s="102">
        <v>-26194</v>
      </c>
      <c r="H21" s="102">
        <v>19194</v>
      </c>
    </row>
    <row r="22" spans="2:11">
      <c r="B22" s="106"/>
      <c r="C22" s="107"/>
      <c r="D22" s="107"/>
      <c r="E22" s="106"/>
      <c r="F22" s="108" t="s">
        <v>152</v>
      </c>
      <c r="G22" s="109">
        <v>9322</v>
      </c>
      <c r="H22" s="109">
        <v>12522</v>
      </c>
    </row>
    <row r="23" spans="2:11">
      <c r="B23" s="98" t="s">
        <v>153</v>
      </c>
      <c r="C23" s="105">
        <v>39946</v>
      </c>
      <c r="D23" s="105">
        <v>40518</v>
      </c>
      <c r="E23" s="98"/>
      <c r="F23" s="98" t="s">
        <v>154</v>
      </c>
      <c r="G23" s="105">
        <v>39946</v>
      </c>
      <c r="H23" s="105">
        <v>40518</v>
      </c>
    </row>
    <row r="25" spans="2:11">
      <c r="B25" s="108" t="s">
        <v>155</v>
      </c>
      <c r="C25" s="106"/>
    </row>
    <row r="26" spans="2:11">
      <c r="B26" s="73" t="s">
        <v>156</v>
      </c>
      <c r="C26" s="110">
        <v>114.75</v>
      </c>
      <c r="D26" s="21"/>
    </row>
    <row r="27" spans="2:11">
      <c r="B27" s="73" t="s">
        <v>157</v>
      </c>
      <c r="C27" s="111">
        <v>1307</v>
      </c>
      <c r="D27" s="21"/>
    </row>
    <row r="28" spans="2:11">
      <c r="B28" s="73" t="s">
        <v>158</v>
      </c>
      <c r="C28" s="111">
        <f>K15</f>
        <v>830</v>
      </c>
      <c r="D28" s="21"/>
    </row>
    <row r="29" spans="2:11">
      <c r="B29" s="73" t="s">
        <v>159</v>
      </c>
      <c r="C29" s="112">
        <v>0.09</v>
      </c>
    </row>
    <row r="30" spans="2:11">
      <c r="B30" s="73" t="s">
        <v>160</v>
      </c>
      <c r="C30" s="112">
        <v>0.12</v>
      </c>
    </row>
    <row r="31" spans="2:11">
      <c r="B31" s="106" t="s">
        <v>161</v>
      </c>
      <c r="C31" s="113">
        <v>0.35</v>
      </c>
    </row>
    <row r="33" spans="2:5" ht="18.5">
      <c r="B33" s="108" t="s">
        <v>230</v>
      </c>
      <c r="C33" s="114"/>
    </row>
    <row r="34" spans="2:5">
      <c r="B34" s="73" t="s">
        <v>162</v>
      </c>
      <c r="C34" s="110">
        <f>C27*C26</f>
        <v>149978.25</v>
      </c>
      <c r="D34" s="115"/>
      <c r="E34" s="115"/>
    </row>
    <row r="35" spans="2:5">
      <c r="B35" s="73" t="s">
        <v>163</v>
      </c>
      <c r="C35" s="110">
        <f>C34-G22</f>
        <v>140656.25</v>
      </c>
      <c r="D35" s="115"/>
      <c r="E35" s="115"/>
    </row>
    <row r="36" spans="2:5">
      <c r="B36" s="73" t="s">
        <v>164</v>
      </c>
      <c r="C36" s="110">
        <f>C34/G22</f>
        <v>16.088634413216049</v>
      </c>
      <c r="D36" s="115"/>
      <c r="E36" s="115"/>
    </row>
    <row r="37" spans="2:5">
      <c r="B37" s="73" t="s">
        <v>165</v>
      </c>
      <c r="C37" s="110">
        <f>C34/K18</f>
        <v>23.637234042553192</v>
      </c>
      <c r="D37" s="115"/>
      <c r="E37" s="115"/>
    </row>
    <row r="38" spans="2:5">
      <c r="D38" s="115"/>
      <c r="E38" s="115"/>
    </row>
    <row r="39" spans="2:5">
      <c r="B39" s="108" t="s">
        <v>166</v>
      </c>
      <c r="C39" s="114"/>
      <c r="D39" s="115"/>
      <c r="E39" s="115"/>
    </row>
    <row r="40" spans="2:5">
      <c r="B40" s="73" t="s">
        <v>167</v>
      </c>
      <c r="C40" s="110">
        <f>(C28*(1-C31)+K18)-(C29*(H13+H22))</f>
        <v>4435.33</v>
      </c>
      <c r="D40" s="115"/>
      <c r="E40" s="115"/>
    </row>
    <row r="41" spans="2:5">
      <c r="B41" s="73" t="s">
        <v>168</v>
      </c>
      <c r="C41" s="110">
        <f>K18-C30*H22</f>
        <v>4842.3600000000006</v>
      </c>
      <c r="D41" s="115"/>
      <c r="E41" s="115"/>
    </row>
    <row r="42" spans="2:5">
      <c r="B42" s="73" t="s">
        <v>169</v>
      </c>
      <c r="C42" s="116">
        <f>(K18+C28*(1-C31))/(H13+H22)</f>
        <v>0.25298570536140813</v>
      </c>
      <c r="D42" s="115"/>
      <c r="E42" s="115"/>
    </row>
    <row r="43" spans="2:5">
      <c r="B43" s="73" t="s">
        <v>170</v>
      </c>
      <c r="C43" s="116">
        <f>(K18+C28*(1-C31))/D23</f>
        <v>0.16991213781529196</v>
      </c>
      <c r="D43" s="115"/>
      <c r="E43" s="115"/>
    </row>
    <row r="44" spans="2:5">
      <c r="B44" s="73" t="s">
        <v>171</v>
      </c>
      <c r="C44" s="116">
        <f>K18/H22</f>
        <v>0.50670819357930041</v>
      </c>
      <c r="D44" s="115"/>
      <c r="E44" s="115"/>
    </row>
  </sheetData>
  <pageMargins left="0.25" right="0.25" top="0.75" bottom="0.75" header="0.3" footer="0.3"/>
  <pageSetup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1A61-4939-FD49-9AA0-B43491F50E8B}">
  <sheetPr>
    <pageSetUpPr fitToPage="1"/>
  </sheetPr>
  <dimension ref="B2:P66"/>
  <sheetViews>
    <sheetView showGridLines="0" zoomScale="50" workbookViewId="0">
      <selection activeCell="L13" sqref="L13"/>
    </sheetView>
  </sheetViews>
  <sheetFormatPr defaultColWidth="10.83203125" defaultRowHeight="15.5"/>
  <cols>
    <col min="1" max="1" width="3.33203125" style="77" customWidth="1"/>
    <col min="2" max="2" width="12.1640625" style="77" customWidth="1"/>
    <col min="3" max="3" width="17" style="77" customWidth="1"/>
    <col min="4" max="4" width="14.1640625" style="77" customWidth="1"/>
    <col min="5" max="5" width="14.5" style="77" customWidth="1"/>
    <col min="6" max="6" width="14.1640625" style="77" customWidth="1"/>
    <col min="7" max="7" width="6.6640625" style="77" customWidth="1"/>
    <col min="8" max="12" width="12" style="77" customWidth="1"/>
    <col min="13" max="13" width="6.6640625" style="77" customWidth="1"/>
    <col min="14" max="14" width="40.6640625" style="77" customWidth="1"/>
    <col min="15" max="16" width="13.6640625" style="77" customWidth="1"/>
    <col min="17" max="16384" width="10.83203125" style="77"/>
  </cols>
  <sheetData>
    <row r="2" spans="2:16" ht="31" customHeight="1">
      <c r="B2" s="145" t="s">
        <v>227</v>
      </c>
    </row>
    <row r="4" spans="2:16" ht="20">
      <c r="B4" s="78" t="s">
        <v>100</v>
      </c>
      <c r="C4" s="78"/>
      <c r="D4" s="78"/>
      <c r="E4" s="79"/>
      <c r="F4" s="79"/>
      <c r="H4" s="78" t="s">
        <v>65</v>
      </c>
      <c r="I4" s="79"/>
      <c r="J4" s="78"/>
      <c r="K4" s="79"/>
      <c r="L4" s="94"/>
      <c r="N4" s="78" t="s">
        <v>101</v>
      </c>
      <c r="O4" s="78"/>
      <c r="P4" s="78"/>
    </row>
    <row r="5" spans="2:16">
      <c r="B5" s="137" t="s">
        <v>11</v>
      </c>
      <c r="C5" s="138" t="s">
        <v>64</v>
      </c>
      <c r="D5" s="139"/>
      <c r="E5" s="140" t="s">
        <v>12</v>
      </c>
      <c r="F5" s="138"/>
    </row>
    <row r="6" spans="2:16" ht="17.5">
      <c r="B6" s="141" t="s">
        <v>13</v>
      </c>
      <c r="C6" s="142" t="s">
        <v>14</v>
      </c>
      <c r="D6" s="143" t="s">
        <v>6</v>
      </c>
      <c r="E6" s="142" t="s">
        <v>14</v>
      </c>
      <c r="F6" s="142" t="s">
        <v>6</v>
      </c>
      <c r="H6" s="93" t="s">
        <v>228</v>
      </c>
      <c r="I6" s="79"/>
      <c r="J6" s="79"/>
      <c r="K6" s="79"/>
      <c r="L6" s="79"/>
      <c r="N6" s="80" t="s">
        <v>216</v>
      </c>
      <c r="O6" s="80"/>
      <c r="P6" s="79"/>
    </row>
    <row r="7" spans="2:16">
      <c r="B7" s="87">
        <v>43191</v>
      </c>
      <c r="C7" s="88">
        <v>242.90104700000001</v>
      </c>
      <c r="D7" s="89"/>
      <c r="E7" s="88">
        <v>39.386451999999998</v>
      </c>
      <c r="F7" s="90"/>
      <c r="H7" s="77" t="s">
        <v>102</v>
      </c>
      <c r="K7" s="95"/>
      <c r="L7" s="117">
        <v>0.04</v>
      </c>
      <c r="N7" s="90" t="s">
        <v>36</v>
      </c>
      <c r="O7" s="8">
        <v>394323</v>
      </c>
      <c r="P7" s="90"/>
    </row>
    <row r="8" spans="2:16">
      <c r="B8" s="87">
        <v>43221</v>
      </c>
      <c r="C8" s="88">
        <v>248.805725</v>
      </c>
      <c r="D8" s="91">
        <f>C8/C7-1</f>
        <v>2.4308985378725056E-2</v>
      </c>
      <c r="E8" s="88">
        <v>44.536780999999998</v>
      </c>
      <c r="F8" s="92">
        <f>E8/E7-1</f>
        <v>0.13076397437372633</v>
      </c>
      <c r="H8" s="77" t="s">
        <v>103</v>
      </c>
      <c r="K8" s="95"/>
      <c r="L8" s="117">
        <v>0.09</v>
      </c>
      <c r="N8" s="126" t="s">
        <v>67</v>
      </c>
      <c r="O8" s="10">
        <v>223546</v>
      </c>
      <c r="P8" s="90"/>
    </row>
    <row r="9" spans="2:16">
      <c r="B9" s="87">
        <v>43252</v>
      </c>
      <c r="C9" s="88">
        <v>249.11795000000001</v>
      </c>
      <c r="D9" s="91">
        <f t="shared" ref="D9:D66" si="0">C9/C8-1</f>
        <v>1.2548947577473157E-3</v>
      </c>
      <c r="E9" s="88">
        <v>44.287436999999997</v>
      </c>
      <c r="F9" s="92">
        <f t="shared" ref="F9:F66" si="1">E9/E8-1</f>
        <v>-5.5986084849733997E-3</v>
      </c>
      <c r="H9" s="77" t="s">
        <v>104</v>
      </c>
      <c r="K9" s="95"/>
      <c r="L9" s="117">
        <f>L8-L7</f>
        <v>4.9999999999999996E-2</v>
      </c>
      <c r="N9" s="90" t="s">
        <v>37</v>
      </c>
      <c r="O9" s="8">
        <f>O7-O8</f>
        <v>170777</v>
      </c>
      <c r="P9" s="90"/>
    </row>
    <row r="10" spans="2:16">
      <c r="B10" s="87">
        <v>43282</v>
      </c>
      <c r="C10" s="88">
        <v>259.50704999999999</v>
      </c>
      <c r="D10" s="91">
        <f t="shared" si="0"/>
        <v>4.1703538424268549E-2</v>
      </c>
      <c r="E10" s="88">
        <v>45.526744999999998</v>
      </c>
      <c r="F10" s="92">
        <f t="shared" si="1"/>
        <v>2.7983285643736977E-2</v>
      </c>
      <c r="H10" s="77" t="s">
        <v>105</v>
      </c>
      <c r="K10" s="95"/>
      <c r="L10" s="118">
        <f>SLOPE(F8:F66,D8:D66)</f>
        <v>1.2400393079519485</v>
      </c>
      <c r="N10" s="90" t="s">
        <v>68</v>
      </c>
      <c r="O10" s="8">
        <v>26251</v>
      </c>
      <c r="P10" s="90"/>
    </row>
    <row r="11" spans="2:16">
      <c r="B11" s="87">
        <v>43313</v>
      </c>
      <c r="C11" s="88">
        <v>267.79037499999998</v>
      </c>
      <c r="D11" s="91">
        <f t="shared" si="0"/>
        <v>3.1919460376895303E-2</v>
      </c>
      <c r="E11" s="88">
        <v>54.460315999999999</v>
      </c>
      <c r="F11" s="92">
        <f t="shared" si="1"/>
        <v>0.19622687719053933</v>
      </c>
      <c r="H11" s="77" t="s">
        <v>196</v>
      </c>
      <c r="L11" s="119">
        <f>L10/(1+(1-L19)*L20/L21)</f>
        <v>1.1815836930832055</v>
      </c>
      <c r="N11" s="126" t="s">
        <v>69</v>
      </c>
      <c r="O11" s="10">
        <v>25094</v>
      </c>
      <c r="P11" s="90"/>
    </row>
    <row r="12" spans="2:16">
      <c r="B12" s="87">
        <v>43344</v>
      </c>
      <c r="C12" s="88">
        <v>268.16867100000002</v>
      </c>
      <c r="D12" s="91">
        <f t="shared" si="0"/>
        <v>1.4126571950170419E-3</v>
      </c>
      <c r="E12" s="88">
        <v>54.197547999999998</v>
      </c>
      <c r="F12" s="92">
        <f t="shared" si="1"/>
        <v>-4.8249444604765435E-3</v>
      </c>
      <c r="G12" s="81"/>
      <c r="H12" s="79" t="s">
        <v>106</v>
      </c>
      <c r="I12" s="79"/>
      <c r="J12" s="79"/>
      <c r="K12" s="96"/>
      <c r="L12" s="120">
        <f>L10*L9</f>
        <v>6.2001965397597419E-2</v>
      </c>
      <c r="N12" s="90" t="s">
        <v>38</v>
      </c>
      <c r="O12" s="8">
        <f>O9-O10-O11</f>
        <v>119432</v>
      </c>
      <c r="P12" s="90"/>
    </row>
    <row r="13" spans="2:16" ht="18">
      <c r="B13" s="87">
        <v>43374</v>
      </c>
      <c r="C13" s="88">
        <v>250.76707500000001</v>
      </c>
      <c r="D13" s="91">
        <f t="shared" si="0"/>
        <v>-6.4890488270346824E-2</v>
      </c>
      <c r="E13" s="88">
        <v>52.545738</v>
      </c>
      <c r="F13" s="92">
        <f t="shared" si="1"/>
        <v>-3.0477578063125565E-2</v>
      </c>
      <c r="G13" s="81"/>
      <c r="H13" s="97" t="s">
        <v>107</v>
      </c>
      <c r="I13" s="82"/>
      <c r="J13" s="82"/>
      <c r="K13" s="82"/>
      <c r="L13" s="121">
        <f>L12+L7</f>
        <v>0.10200196539759743</v>
      </c>
      <c r="N13" s="90" t="s">
        <v>66</v>
      </c>
      <c r="O13" s="8">
        <v>2903</v>
      </c>
      <c r="P13" s="90"/>
    </row>
    <row r="14" spans="2:16">
      <c r="B14" s="87">
        <v>43405</v>
      </c>
      <c r="C14" s="88">
        <v>255.418533</v>
      </c>
      <c r="D14" s="91">
        <f t="shared" si="0"/>
        <v>1.8548918353815003E-2</v>
      </c>
      <c r="E14" s="88">
        <v>42.874980999999998</v>
      </c>
      <c r="F14" s="92">
        <f t="shared" si="1"/>
        <v>-0.184044555621238</v>
      </c>
      <c r="N14" s="126" t="s">
        <v>70</v>
      </c>
      <c r="O14" s="10">
        <v>2645</v>
      </c>
      <c r="P14" s="90"/>
    </row>
    <row r="15" spans="2:16" ht="17.5">
      <c r="B15" s="87">
        <v>43435</v>
      </c>
      <c r="C15" s="88">
        <v>231.577057</v>
      </c>
      <c r="D15" s="91">
        <f t="shared" si="0"/>
        <v>-9.3342780259410563E-2</v>
      </c>
      <c r="E15" s="88">
        <v>38.003677000000003</v>
      </c>
      <c r="F15" s="92">
        <f t="shared" si="1"/>
        <v>-0.11361647017406251</v>
      </c>
      <c r="H15" s="93" t="s">
        <v>229</v>
      </c>
      <c r="I15" s="79"/>
      <c r="J15" s="79"/>
      <c r="K15" s="79"/>
      <c r="L15" s="80"/>
      <c r="N15" s="90" t="s">
        <v>39</v>
      </c>
      <c r="O15" s="8">
        <f>O12+O13-O14</f>
        <v>119690</v>
      </c>
      <c r="P15" s="90"/>
    </row>
    <row r="16" spans="2:16">
      <c r="B16" s="87">
        <v>43466</v>
      </c>
      <c r="C16" s="88">
        <v>251.57905600000001</v>
      </c>
      <c r="D16" s="91">
        <f t="shared" si="0"/>
        <v>8.6372973467747416E-2</v>
      </c>
      <c r="E16" s="88">
        <v>40.099727999999999</v>
      </c>
      <c r="F16" s="92">
        <f t="shared" si="1"/>
        <v>5.5153899976573273E-2</v>
      </c>
      <c r="H16" s="77" t="s">
        <v>235</v>
      </c>
      <c r="L16" s="122">
        <v>158</v>
      </c>
      <c r="N16" s="126" t="s">
        <v>40</v>
      </c>
      <c r="O16" s="10">
        <v>19300</v>
      </c>
      <c r="P16" s="90"/>
    </row>
    <row r="17" spans="2:16" s="82" customFormat="1" ht="18">
      <c r="B17" s="87">
        <v>43497</v>
      </c>
      <c r="C17" s="88">
        <v>259.73419200000001</v>
      </c>
      <c r="D17" s="91">
        <f t="shared" si="0"/>
        <v>3.2415798555186504E-2</v>
      </c>
      <c r="E17" s="88">
        <v>41.716351000000003</v>
      </c>
      <c r="F17" s="92">
        <f t="shared" si="1"/>
        <v>4.0315061488696458E-2</v>
      </c>
      <c r="H17" s="77" t="s">
        <v>28</v>
      </c>
      <c r="I17" s="77"/>
      <c r="J17" s="77"/>
      <c r="K17" s="77"/>
      <c r="L17" s="122">
        <v>16427</v>
      </c>
      <c r="N17" s="90" t="s">
        <v>41</v>
      </c>
      <c r="O17" s="8">
        <v>99803</v>
      </c>
      <c r="P17" s="90"/>
    </row>
    <row r="18" spans="2:16">
      <c r="B18" s="87">
        <v>43525</v>
      </c>
      <c r="C18" s="88">
        <v>263.27587899999997</v>
      </c>
      <c r="D18" s="91">
        <f t="shared" si="0"/>
        <v>1.3635813493511728E-2</v>
      </c>
      <c r="E18" s="88">
        <v>45.960177999999999</v>
      </c>
      <c r="F18" s="92">
        <f t="shared" si="1"/>
        <v>0.10173054206011445</v>
      </c>
      <c r="H18" s="77" t="s">
        <v>108</v>
      </c>
      <c r="L18" s="117">
        <v>3.5999999999999997E-2</v>
      </c>
    </row>
    <row r="19" spans="2:16">
      <c r="B19" s="87">
        <v>43556</v>
      </c>
      <c r="C19" s="88">
        <v>275.23834199999999</v>
      </c>
      <c r="D19" s="91">
        <f t="shared" si="0"/>
        <v>4.5436988171635884E-2</v>
      </c>
      <c r="E19" s="88">
        <v>48.553981999999998</v>
      </c>
      <c r="F19" s="92">
        <f t="shared" si="1"/>
        <v>5.6435899791336785E-2</v>
      </c>
      <c r="H19" s="79" t="s">
        <v>109</v>
      </c>
      <c r="I19" s="79"/>
      <c r="J19" s="79"/>
      <c r="K19" s="79"/>
      <c r="L19" s="123">
        <v>0.13300000000000001</v>
      </c>
      <c r="N19" s="83" t="s">
        <v>42</v>
      </c>
      <c r="O19" s="84">
        <v>2022</v>
      </c>
      <c r="P19" s="84">
        <v>2021</v>
      </c>
    </row>
    <row r="20" spans="2:16">
      <c r="B20" s="87">
        <v>43586</v>
      </c>
      <c r="C20" s="88">
        <v>257.68600500000002</v>
      </c>
      <c r="D20" s="91">
        <f t="shared" si="0"/>
        <v>-6.3771409435390281E-2</v>
      </c>
      <c r="E20" s="88">
        <v>42.359828999999998</v>
      </c>
      <c r="F20" s="92">
        <f t="shared" si="1"/>
        <v>-0.12757250270430964</v>
      </c>
      <c r="H20" s="77" t="s">
        <v>110</v>
      </c>
      <c r="L20" s="122">
        <f>O49</f>
        <v>148101</v>
      </c>
      <c r="N20" s="127" t="s">
        <v>43</v>
      </c>
      <c r="O20" s="90"/>
      <c r="P20" s="90"/>
    </row>
    <row r="21" spans="2:16">
      <c r="B21" s="87">
        <v>43617</v>
      </c>
      <c r="C21" s="88">
        <v>274.283478</v>
      </c>
      <c r="D21" s="91">
        <f t="shared" si="0"/>
        <v>6.4409679524505048E-2</v>
      </c>
      <c r="E21" s="88">
        <v>48.073013000000003</v>
      </c>
      <c r="F21" s="92">
        <f t="shared" si="1"/>
        <v>0.13487268798936847</v>
      </c>
      <c r="H21" s="77" t="s">
        <v>111</v>
      </c>
      <c r="L21" s="122">
        <f>L17*L16</f>
        <v>2595466</v>
      </c>
      <c r="N21" s="127" t="s">
        <v>44</v>
      </c>
      <c r="O21" s="90"/>
      <c r="P21" s="90"/>
    </row>
    <row r="22" spans="2:16">
      <c r="B22" s="87">
        <v>43647</v>
      </c>
      <c r="C22" s="88">
        <v>279.78472900000003</v>
      </c>
      <c r="D22" s="91">
        <f t="shared" si="0"/>
        <v>2.0056807796494436E-2</v>
      </c>
      <c r="E22" s="88">
        <v>51.745528999999998</v>
      </c>
      <c r="F22" s="92">
        <f t="shared" si="1"/>
        <v>7.6394545937863212E-2</v>
      </c>
      <c r="H22" s="79" t="s">
        <v>112</v>
      </c>
      <c r="I22" s="79"/>
      <c r="J22" s="79"/>
      <c r="K22" s="79"/>
      <c r="L22" s="124">
        <f>L20+L21</f>
        <v>2743567</v>
      </c>
      <c r="N22" s="127" t="s">
        <v>15</v>
      </c>
      <c r="O22" s="17">
        <v>23646</v>
      </c>
      <c r="P22" s="128">
        <v>34940</v>
      </c>
    </row>
    <row r="23" spans="2:16">
      <c r="B23" s="87">
        <v>43678</v>
      </c>
      <c r="C23" s="88">
        <v>275.10012799999998</v>
      </c>
      <c r="D23" s="91">
        <f t="shared" si="0"/>
        <v>-1.6743590748300119E-2</v>
      </c>
      <c r="E23" s="88">
        <v>50.701103000000003</v>
      </c>
      <c r="F23" s="92">
        <f t="shared" si="1"/>
        <v>-2.0183888737517641E-2</v>
      </c>
      <c r="H23" s="77" t="s">
        <v>113</v>
      </c>
      <c r="L23" s="117">
        <f>L18</f>
        <v>3.5999999999999997E-2</v>
      </c>
      <c r="N23" s="127" t="s">
        <v>16</v>
      </c>
      <c r="O23" s="19">
        <v>24658</v>
      </c>
      <c r="P23" s="129">
        <v>27699</v>
      </c>
    </row>
    <row r="24" spans="2:16">
      <c r="B24" s="87">
        <v>43709</v>
      </c>
      <c r="C24" s="88">
        <v>279.16384900000003</v>
      </c>
      <c r="D24" s="91">
        <f t="shared" si="0"/>
        <v>1.4771788837553812E-2</v>
      </c>
      <c r="E24" s="88">
        <v>54.607021000000003</v>
      </c>
      <c r="F24" s="92">
        <f t="shared" si="1"/>
        <v>7.7038126764224391E-2</v>
      </c>
      <c r="H24" s="79" t="s">
        <v>114</v>
      </c>
      <c r="I24" s="79"/>
      <c r="J24" s="79"/>
      <c r="K24" s="79"/>
      <c r="L24" s="125">
        <f>L13</f>
        <v>0.10200196539759743</v>
      </c>
      <c r="N24" s="127" t="s">
        <v>45</v>
      </c>
      <c r="O24" s="19">
        <v>28184</v>
      </c>
      <c r="P24" s="129">
        <v>26278</v>
      </c>
    </row>
    <row r="25" spans="2:16" ht="17.5">
      <c r="B25" s="87">
        <v>43739</v>
      </c>
      <c r="C25" s="88">
        <v>286.65234400000003</v>
      </c>
      <c r="D25" s="91">
        <f t="shared" si="0"/>
        <v>2.682473044710032E-2</v>
      </c>
      <c r="E25" s="88">
        <v>60.651173</v>
      </c>
      <c r="F25" s="92">
        <f t="shared" si="1"/>
        <v>0.11068452168449183</v>
      </c>
      <c r="H25" s="97" t="s">
        <v>115</v>
      </c>
      <c r="L25" s="121">
        <f>L23*(1-L19)*L20/L22+L24*L21/L22</f>
        <v>9.8180639122223218E-2</v>
      </c>
      <c r="N25" s="127" t="s">
        <v>18</v>
      </c>
      <c r="O25" s="19">
        <v>4946</v>
      </c>
      <c r="P25" s="129">
        <v>6580</v>
      </c>
    </row>
    <row r="26" spans="2:16">
      <c r="B26" s="87">
        <v>43770</v>
      </c>
      <c r="C26" s="88">
        <v>297.02865600000001</v>
      </c>
      <c r="D26" s="91">
        <f t="shared" si="0"/>
        <v>3.6198245774679449E-2</v>
      </c>
      <c r="E26" s="88">
        <v>65.159294000000003</v>
      </c>
      <c r="F26" s="92">
        <f t="shared" si="1"/>
        <v>7.4328669620289167E-2</v>
      </c>
      <c r="N26" s="127" t="s">
        <v>17</v>
      </c>
      <c r="O26" s="19">
        <v>32748</v>
      </c>
      <c r="P26" s="129">
        <v>25228</v>
      </c>
    </row>
    <row r="27" spans="2:16">
      <c r="B27" s="87">
        <v>43800</v>
      </c>
      <c r="C27" s="88">
        <v>304.163544</v>
      </c>
      <c r="D27" s="91">
        <f t="shared" si="0"/>
        <v>2.4020874268777526E-2</v>
      </c>
      <c r="E27" s="88">
        <v>71.810935999999998</v>
      </c>
      <c r="F27" s="92">
        <f t="shared" si="1"/>
        <v>0.10208278192823883</v>
      </c>
      <c r="N27" s="127" t="s">
        <v>19</v>
      </c>
      <c r="O27" s="19">
        <v>21223</v>
      </c>
      <c r="P27" s="129">
        <v>14111</v>
      </c>
    </row>
    <row r="28" spans="2:16">
      <c r="B28" s="87">
        <v>43831</v>
      </c>
      <c r="C28" s="88">
        <v>305.53555299999999</v>
      </c>
      <c r="D28" s="91">
        <f t="shared" si="0"/>
        <v>4.5107608293779577E-3</v>
      </c>
      <c r="E28" s="88">
        <v>75.689430000000002</v>
      </c>
      <c r="F28" s="92">
        <f t="shared" si="1"/>
        <v>5.4009795945286099E-2</v>
      </c>
      <c r="N28" s="127" t="s">
        <v>46</v>
      </c>
      <c r="O28" s="19">
        <v>135405</v>
      </c>
      <c r="P28" s="129">
        <v>134836</v>
      </c>
    </row>
    <row r="29" spans="2:16">
      <c r="B29" s="87">
        <v>43862</v>
      </c>
      <c r="C29" s="88">
        <v>281.34762599999999</v>
      </c>
      <c r="D29" s="91">
        <f t="shared" si="0"/>
        <v>-7.91656707787457E-2</v>
      </c>
      <c r="E29" s="88">
        <v>66.849082999999993</v>
      </c>
      <c r="F29" s="92">
        <f t="shared" si="1"/>
        <v>-0.11679764268273662</v>
      </c>
      <c r="N29" s="90"/>
      <c r="O29" s="7"/>
      <c r="P29" s="90"/>
    </row>
    <row r="30" spans="2:16">
      <c r="B30" s="87">
        <v>43891</v>
      </c>
      <c r="C30" s="88">
        <v>244.77600100000001</v>
      </c>
      <c r="D30" s="91">
        <f t="shared" si="0"/>
        <v>-0.12998732393782486</v>
      </c>
      <c r="E30" s="88">
        <v>62.333179000000001</v>
      </c>
      <c r="F30" s="92">
        <f t="shared" si="1"/>
        <v>-6.7553716481047243E-2</v>
      </c>
      <c r="N30" s="127" t="s">
        <v>47</v>
      </c>
      <c r="O30" s="7"/>
      <c r="P30" s="90"/>
    </row>
    <row r="31" spans="2:16">
      <c r="B31" s="87">
        <v>43922</v>
      </c>
      <c r="C31" s="88">
        <v>277.48062099999999</v>
      </c>
      <c r="D31" s="91">
        <f t="shared" si="0"/>
        <v>0.13361040243483657</v>
      </c>
      <c r="E31" s="88">
        <v>72.018119999999996</v>
      </c>
      <c r="F31" s="92">
        <f t="shared" si="1"/>
        <v>0.15537376972222128</v>
      </c>
      <c r="N31" s="127" t="s">
        <v>16</v>
      </c>
      <c r="O31" s="19">
        <v>120805</v>
      </c>
      <c r="P31" s="129">
        <v>127877</v>
      </c>
    </row>
    <row r="32" spans="2:16">
      <c r="B32" s="87">
        <v>43952</v>
      </c>
      <c r="C32" s="88">
        <v>290.701233</v>
      </c>
      <c r="D32" s="91">
        <f t="shared" si="0"/>
        <v>4.7645172309168204E-2</v>
      </c>
      <c r="E32" s="88">
        <v>77.935478000000003</v>
      </c>
      <c r="F32" s="92">
        <f t="shared" si="1"/>
        <v>8.216484962395576E-2</v>
      </c>
      <c r="N32" s="127" t="s">
        <v>20</v>
      </c>
      <c r="O32" s="19">
        <v>42117</v>
      </c>
      <c r="P32" s="129">
        <v>39440</v>
      </c>
    </row>
    <row r="33" spans="2:16">
      <c r="B33" s="87">
        <v>43983</v>
      </c>
      <c r="C33" s="88">
        <v>294.56045499999999</v>
      </c>
      <c r="D33" s="91">
        <f t="shared" si="0"/>
        <v>1.3275561166952388E-2</v>
      </c>
      <c r="E33" s="88">
        <v>89.664169000000001</v>
      </c>
      <c r="F33" s="92">
        <f t="shared" si="1"/>
        <v>0.15049232135331225</v>
      </c>
      <c r="N33" s="127" t="s">
        <v>21</v>
      </c>
      <c r="O33" s="19">
        <v>54428</v>
      </c>
      <c r="P33" s="129">
        <v>48849</v>
      </c>
    </row>
    <row r="34" spans="2:16">
      <c r="B34" s="87">
        <v>44013</v>
      </c>
      <c r="C34" s="88">
        <v>313.28036500000002</v>
      </c>
      <c r="D34" s="91">
        <f t="shared" si="0"/>
        <v>6.3552013456796175E-2</v>
      </c>
      <c r="E34" s="88">
        <v>104.470551</v>
      </c>
      <c r="F34" s="92">
        <f t="shared" si="1"/>
        <v>0.16513153654499368</v>
      </c>
      <c r="N34" s="127" t="s">
        <v>48</v>
      </c>
      <c r="O34" s="25">
        <v>217350</v>
      </c>
      <c r="P34" s="129">
        <v>216166</v>
      </c>
    </row>
    <row r="35" spans="2:16">
      <c r="B35" s="87">
        <v>44044</v>
      </c>
      <c r="C35" s="88">
        <v>335.14627100000001</v>
      </c>
      <c r="D35" s="91">
        <f t="shared" si="0"/>
        <v>6.9796605350609831E-2</v>
      </c>
      <c r="E35" s="88">
        <v>126.866928</v>
      </c>
      <c r="F35" s="92">
        <f t="shared" si="1"/>
        <v>0.21437981120631777</v>
      </c>
      <c r="N35" s="127" t="s">
        <v>49</v>
      </c>
      <c r="O35" s="26">
        <v>352755</v>
      </c>
      <c r="P35" s="128">
        <v>351002</v>
      </c>
    </row>
    <row r="36" spans="2:16">
      <c r="B36" s="87">
        <v>44075</v>
      </c>
      <c r="C36" s="88">
        <v>321.31097399999999</v>
      </c>
      <c r="D36" s="91">
        <f t="shared" si="0"/>
        <v>-4.1281369351712227E-2</v>
      </c>
      <c r="E36" s="88">
        <v>114.06502500000001</v>
      </c>
      <c r="F36" s="92">
        <f t="shared" si="1"/>
        <v>-0.10090811846567294</v>
      </c>
      <c r="N36" s="90"/>
      <c r="O36" s="7"/>
      <c r="P36" s="90"/>
    </row>
    <row r="37" spans="2:16">
      <c r="B37" s="87">
        <v>44105</v>
      </c>
      <c r="C37" s="88">
        <v>314.55365</v>
      </c>
      <c r="D37" s="91">
        <f t="shared" si="0"/>
        <v>-2.1030479961135717E-2</v>
      </c>
      <c r="E37" s="88">
        <v>107.219734</v>
      </c>
      <c r="F37" s="92">
        <f t="shared" si="1"/>
        <v>-6.0012181648143259E-2</v>
      </c>
      <c r="N37" s="127" t="s">
        <v>50</v>
      </c>
      <c r="O37" s="7"/>
      <c r="P37" s="90"/>
    </row>
    <row r="38" spans="2:16">
      <c r="B38" s="87">
        <v>44136</v>
      </c>
      <c r="C38" s="88">
        <v>348.76986699999998</v>
      </c>
      <c r="D38" s="91">
        <f t="shared" si="0"/>
        <v>0.10877704645932407</v>
      </c>
      <c r="E38" s="88">
        <v>117.256218</v>
      </c>
      <c r="F38" s="92">
        <f t="shared" si="1"/>
        <v>9.3606686246768822E-2</v>
      </c>
      <c r="N38" s="127" t="s">
        <v>51</v>
      </c>
      <c r="O38" s="7"/>
      <c r="P38" s="90"/>
    </row>
    <row r="39" spans="2:16">
      <c r="B39" s="87">
        <v>44166</v>
      </c>
      <c r="C39" s="88">
        <v>360.15600599999999</v>
      </c>
      <c r="D39" s="91">
        <f t="shared" si="0"/>
        <v>3.2646567485716815E-2</v>
      </c>
      <c r="E39" s="88">
        <v>130.91613799999999</v>
      </c>
      <c r="F39" s="92">
        <f t="shared" si="1"/>
        <v>0.11649633795966352</v>
      </c>
      <c r="N39" s="127" t="s">
        <v>52</v>
      </c>
      <c r="O39" s="17">
        <v>64115</v>
      </c>
      <c r="P39" s="128">
        <v>54763</v>
      </c>
    </row>
    <row r="40" spans="2:16">
      <c r="B40" s="87">
        <v>44197</v>
      </c>
      <c r="C40" s="88">
        <v>358.00543199999998</v>
      </c>
      <c r="D40" s="91">
        <f t="shared" si="0"/>
        <v>-5.9712290345645958E-3</v>
      </c>
      <c r="E40" s="88">
        <v>130.19592299999999</v>
      </c>
      <c r="F40" s="92">
        <f t="shared" si="1"/>
        <v>-5.5013462129474E-3</v>
      </c>
      <c r="N40" s="127" t="s">
        <v>53</v>
      </c>
      <c r="O40" s="19">
        <v>60845</v>
      </c>
      <c r="P40" s="129">
        <v>47493</v>
      </c>
    </row>
    <row r="41" spans="2:16">
      <c r="B41" s="87">
        <v>44228</v>
      </c>
      <c r="C41" s="88">
        <v>367.95986900000003</v>
      </c>
      <c r="D41" s="91">
        <f t="shared" si="0"/>
        <v>2.7805268049675869E-2</v>
      </c>
      <c r="E41" s="88">
        <v>119.638954</v>
      </c>
      <c r="F41" s="92">
        <f t="shared" si="1"/>
        <v>-8.1085250265478748E-2</v>
      </c>
      <c r="N41" s="127" t="s">
        <v>22</v>
      </c>
      <c r="O41" s="19">
        <v>7912</v>
      </c>
      <c r="P41" s="129">
        <v>7612</v>
      </c>
    </row>
    <row r="42" spans="2:16">
      <c r="B42" s="87">
        <v>44256</v>
      </c>
      <c r="C42" s="88">
        <v>383.40924100000001</v>
      </c>
      <c r="D42" s="91">
        <f t="shared" si="0"/>
        <v>4.1986567834113364E-2</v>
      </c>
      <c r="E42" s="88">
        <v>120.697159</v>
      </c>
      <c r="F42" s="92">
        <f t="shared" si="1"/>
        <v>8.8449870599838221E-3</v>
      </c>
      <c r="N42" s="127" t="s">
        <v>23</v>
      </c>
      <c r="O42" s="19">
        <v>9982</v>
      </c>
      <c r="P42" s="129">
        <v>6000</v>
      </c>
    </row>
    <row r="43" spans="2:16">
      <c r="B43" s="87">
        <v>44287</v>
      </c>
      <c r="C43" s="88">
        <v>405.01782200000002</v>
      </c>
      <c r="D43" s="91">
        <f t="shared" si="0"/>
        <v>5.6359051085052014E-2</v>
      </c>
      <c r="E43" s="88">
        <v>129.89639299999999</v>
      </c>
      <c r="F43" s="92">
        <f t="shared" si="1"/>
        <v>7.6217485781914673E-2</v>
      </c>
      <c r="N43" s="127" t="s">
        <v>24</v>
      </c>
      <c r="O43" s="19">
        <v>11128</v>
      </c>
      <c r="P43" s="129">
        <v>9613</v>
      </c>
    </row>
    <row r="44" spans="2:16">
      <c r="B44" s="87">
        <v>44317</v>
      </c>
      <c r="C44" s="88">
        <v>407.67721599999999</v>
      </c>
      <c r="D44" s="91">
        <f t="shared" si="0"/>
        <v>6.5661159967422833E-3</v>
      </c>
      <c r="E44" s="88">
        <v>123.127876</v>
      </c>
      <c r="F44" s="92">
        <f t="shared" si="1"/>
        <v>-5.2107043495811189E-2</v>
      </c>
      <c r="N44" s="127" t="s">
        <v>54</v>
      </c>
      <c r="O44" s="19">
        <v>153982</v>
      </c>
      <c r="P44" s="129">
        <v>125481</v>
      </c>
    </row>
    <row r="45" spans="2:16">
      <c r="B45" s="87">
        <v>44348</v>
      </c>
      <c r="C45" s="88">
        <v>415.46115099999997</v>
      </c>
      <c r="D45" s="91">
        <f t="shared" si="0"/>
        <v>1.9093377541118173E-2</v>
      </c>
      <c r="E45" s="88">
        <v>135.560867</v>
      </c>
      <c r="F45" s="92">
        <f t="shared" si="1"/>
        <v>0.10097624846545727</v>
      </c>
      <c r="N45" s="90"/>
      <c r="O45" s="7"/>
      <c r="P45" s="90"/>
    </row>
    <row r="46" spans="2:16">
      <c r="B46" s="87">
        <v>44378</v>
      </c>
      <c r="C46" s="88">
        <v>426.99603300000001</v>
      </c>
      <c r="D46" s="91">
        <f t="shared" si="0"/>
        <v>2.7764044778280761E-2</v>
      </c>
      <c r="E46" s="88">
        <v>144.369934</v>
      </c>
      <c r="F46" s="92">
        <f t="shared" si="1"/>
        <v>6.4982374301279622E-2</v>
      </c>
      <c r="N46" s="127" t="s">
        <v>26</v>
      </c>
      <c r="O46" s="7"/>
      <c r="P46" s="90"/>
    </row>
    <row r="47" spans="2:16">
      <c r="B47" s="87">
        <v>44409</v>
      </c>
      <c r="C47" s="88">
        <v>439.70336900000001</v>
      </c>
      <c r="D47" s="91">
        <f t="shared" si="0"/>
        <v>2.9759845567464582E-2</v>
      </c>
      <c r="E47" s="88">
        <v>150.27896100000001</v>
      </c>
      <c r="F47" s="92">
        <f t="shared" si="1"/>
        <v>4.0929761732799719E-2</v>
      </c>
      <c r="N47" s="127" t="s">
        <v>24</v>
      </c>
      <c r="O47" s="19">
        <v>98959</v>
      </c>
      <c r="P47" s="129">
        <v>109106</v>
      </c>
    </row>
    <row r="48" spans="2:16">
      <c r="B48" s="87">
        <v>44440</v>
      </c>
      <c r="C48" s="88">
        <v>417.87200899999999</v>
      </c>
      <c r="D48" s="91">
        <f t="shared" si="0"/>
        <v>-4.9650199518939786E-2</v>
      </c>
      <c r="E48" s="88">
        <v>140.26431299999999</v>
      </c>
      <c r="F48" s="92">
        <f t="shared" si="1"/>
        <v>-6.6640386208153379E-2</v>
      </c>
      <c r="N48" s="127" t="s">
        <v>25</v>
      </c>
      <c r="O48" s="19">
        <v>49142</v>
      </c>
      <c r="P48" s="129">
        <v>53325</v>
      </c>
    </row>
    <row r="49" spans="2:16">
      <c r="B49" s="87">
        <v>44470</v>
      </c>
      <c r="C49" s="88">
        <v>448.62408399999998</v>
      </c>
      <c r="D49" s="91">
        <f t="shared" si="0"/>
        <v>7.3592091208961596E-2</v>
      </c>
      <c r="E49" s="88">
        <v>148.491837</v>
      </c>
      <c r="F49" s="92">
        <f t="shared" si="1"/>
        <v>5.8657286547291632E-2</v>
      </c>
      <c r="N49" s="127" t="s">
        <v>55</v>
      </c>
      <c r="O49" s="25">
        <v>148101</v>
      </c>
      <c r="P49" s="129">
        <v>162431</v>
      </c>
    </row>
    <row r="50" spans="2:16">
      <c r="B50" s="87">
        <v>44501</v>
      </c>
      <c r="C50" s="88">
        <v>445.01943999999997</v>
      </c>
      <c r="D50" s="91">
        <f t="shared" si="0"/>
        <v>-8.0348874002938997E-3</v>
      </c>
      <c r="E50" s="88">
        <v>163.85649100000001</v>
      </c>
      <c r="F50" s="92">
        <f t="shared" si="1"/>
        <v>0.10347137129160844</v>
      </c>
      <c r="N50" s="127" t="s">
        <v>56</v>
      </c>
      <c r="O50" s="35">
        <v>302083</v>
      </c>
      <c r="P50" s="129">
        <v>287912</v>
      </c>
    </row>
    <row r="51" spans="2:16">
      <c r="B51" s="87">
        <v>44531</v>
      </c>
      <c r="C51" s="88">
        <v>463.97058099999998</v>
      </c>
      <c r="D51" s="91">
        <f t="shared" si="0"/>
        <v>4.2584973366556866E-2</v>
      </c>
      <c r="E51" s="88">
        <v>176.27621500000001</v>
      </c>
      <c r="F51" s="92">
        <f t="shared" si="1"/>
        <v>7.5796350356361453E-2</v>
      </c>
      <c r="N51" s="90"/>
      <c r="O51" s="7"/>
      <c r="P51" s="90"/>
    </row>
    <row r="52" spans="2:16">
      <c r="B52" s="87">
        <v>44562</v>
      </c>
      <c r="C52" s="88">
        <v>441.04424999999998</v>
      </c>
      <c r="D52" s="91">
        <f t="shared" si="0"/>
        <v>-4.9413329074844969E-2</v>
      </c>
      <c r="E52" s="88">
        <v>173.50654599999999</v>
      </c>
      <c r="F52" s="92">
        <f t="shared" si="1"/>
        <v>-1.5712097063123487E-2</v>
      </c>
      <c r="N52" s="127" t="s">
        <v>57</v>
      </c>
      <c r="O52" s="7"/>
      <c r="P52" s="90"/>
    </row>
    <row r="53" spans="2:16">
      <c r="B53" s="87">
        <v>44593</v>
      </c>
      <c r="C53" s="88">
        <v>428.02590900000001</v>
      </c>
      <c r="D53" s="91">
        <f t="shared" si="0"/>
        <v>-2.9517085870635396E-2</v>
      </c>
      <c r="E53" s="88">
        <v>163.91691599999999</v>
      </c>
      <c r="F53" s="92">
        <f t="shared" si="1"/>
        <v>-5.5269557380273171E-2</v>
      </c>
      <c r="N53" s="127" t="s">
        <v>58</v>
      </c>
      <c r="O53" s="7"/>
      <c r="P53" s="90"/>
    </row>
    <row r="54" spans="2:16">
      <c r="B54" s="87">
        <v>44621</v>
      </c>
      <c r="C54" s="88">
        <v>442.74017300000003</v>
      </c>
      <c r="D54" s="91">
        <f t="shared" si="0"/>
        <v>3.4377040479575349E-2</v>
      </c>
      <c r="E54" s="88">
        <v>173.55864</v>
      </c>
      <c r="F54" s="92">
        <f t="shared" si="1"/>
        <v>5.8820799190731465E-2</v>
      </c>
      <c r="N54" s="127" t="s">
        <v>59</v>
      </c>
      <c r="O54" s="7"/>
      <c r="P54" s="90"/>
    </row>
    <row r="55" spans="2:16">
      <c r="B55" s="87">
        <v>44652</v>
      </c>
      <c r="C55" s="88">
        <v>405.135986</v>
      </c>
      <c r="D55" s="91">
        <f t="shared" si="0"/>
        <v>-8.4935113850624133E-2</v>
      </c>
      <c r="E55" s="88">
        <v>156.700729</v>
      </c>
      <c r="F55" s="92">
        <f t="shared" si="1"/>
        <v>-9.7130923588707563E-2</v>
      </c>
      <c r="N55" s="127" t="s">
        <v>60</v>
      </c>
      <c r="O55" s="19">
        <v>64849</v>
      </c>
      <c r="P55" s="129">
        <v>57365</v>
      </c>
    </row>
    <row r="56" spans="2:16">
      <c r="B56" s="87">
        <v>44682</v>
      </c>
      <c r="C56" s="88">
        <v>406.050476</v>
      </c>
      <c r="D56" s="91">
        <f t="shared" si="0"/>
        <v>2.2572420905606627E-3</v>
      </c>
      <c r="E56" s="88">
        <v>147.943817</v>
      </c>
      <c r="F56" s="92">
        <f t="shared" si="1"/>
        <v>-5.5883032937262267E-2</v>
      </c>
      <c r="N56" s="127" t="s">
        <v>27</v>
      </c>
      <c r="O56" s="19">
        <v>-3068</v>
      </c>
      <c r="P56" s="129">
        <v>5562</v>
      </c>
    </row>
    <row r="57" spans="2:16">
      <c r="B57" s="87">
        <v>44713</v>
      </c>
      <c r="C57" s="88">
        <v>370.96493500000003</v>
      </c>
      <c r="D57" s="91">
        <f t="shared" si="0"/>
        <v>-8.6406846128164516E-2</v>
      </c>
      <c r="E57" s="88">
        <v>136.096451</v>
      </c>
      <c r="F57" s="92">
        <f t="shared" si="1"/>
        <v>-8.0080169893142594E-2</v>
      </c>
      <c r="N57" s="127" t="s">
        <v>61</v>
      </c>
      <c r="O57" s="19">
        <v>-11109</v>
      </c>
      <c r="P57" s="129">
        <v>163</v>
      </c>
    </row>
    <row r="58" spans="2:16">
      <c r="B58" s="87">
        <v>44743</v>
      </c>
      <c r="C58" s="88">
        <v>406.87616000000003</v>
      </c>
      <c r="D58" s="91">
        <f t="shared" si="0"/>
        <v>9.6804904215542553E-2</v>
      </c>
      <c r="E58" s="88">
        <v>161.76881399999999</v>
      </c>
      <c r="F58" s="92">
        <f t="shared" si="1"/>
        <v>0.1886335963308845</v>
      </c>
      <c r="N58" s="127" t="s">
        <v>62</v>
      </c>
      <c r="O58" s="36">
        <v>50672</v>
      </c>
      <c r="P58" s="129">
        <v>63090</v>
      </c>
    </row>
    <row r="59" spans="2:16">
      <c r="B59" s="87">
        <v>44774</v>
      </c>
      <c r="C59" s="88">
        <v>390.27484099999998</v>
      </c>
      <c r="D59" s="91">
        <f t="shared" si="0"/>
        <v>-4.0801896577081442E-2</v>
      </c>
      <c r="E59" s="88">
        <v>156.50294500000001</v>
      </c>
      <c r="F59" s="92">
        <f t="shared" si="1"/>
        <v>-3.2551818053138337E-2</v>
      </c>
      <c r="N59" s="127" t="s">
        <v>63</v>
      </c>
      <c r="O59" s="26">
        <v>352755</v>
      </c>
      <c r="P59" s="128">
        <v>351002</v>
      </c>
    </row>
    <row r="60" spans="2:16">
      <c r="B60" s="87">
        <v>44805</v>
      </c>
      <c r="C60" s="88">
        <v>352.74648999999999</v>
      </c>
      <c r="D60" s="91">
        <f t="shared" si="0"/>
        <v>-9.615877596373168E-2</v>
      </c>
      <c r="E60" s="88">
        <v>137.760773</v>
      </c>
      <c r="F60" s="92">
        <f t="shared" si="1"/>
        <v>-0.11975603398389734</v>
      </c>
      <c r="N60" s="85"/>
      <c r="P60" s="86"/>
    </row>
    <row r="61" spans="2:16">
      <c r="B61" s="87">
        <v>44835</v>
      </c>
      <c r="C61" s="88">
        <v>382.98294099999998</v>
      </c>
      <c r="D61" s="91">
        <f t="shared" si="0"/>
        <v>8.5717227122515061E-2</v>
      </c>
      <c r="E61" s="88">
        <v>152.85266100000001</v>
      </c>
      <c r="F61" s="92">
        <f t="shared" si="1"/>
        <v>0.10955141780454447</v>
      </c>
    </row>
    <row r="62" spans="2:16">
      <c r="B62" s="87">
        <v>44866</v>
      </c>
      <c r="C62" s="88">
        <v>404.27355999999997</v>
      </c>
      <c r="D62" s="91">
        <f t="shared" si="0"/>
        <v>5.5591559625106202E-2</v>
      </c>
      <c r="E62" s="88">
        <v>147.55955499999999</v>
      </c>
      <c r="F62" s="92">
        <f t="shared" si="1"/>
        <v>-3.4628811597856468E-2</v>
      </c>
    </row>
    <row r="63" spans="2:16">
      <c r="B63" s="87">
        <v>44896</v>
      </c>
      <c r="C63" s="88">
        <v>379.23452800000001</v>
      </c>
      <c r="D63" s="91">
        <f t="shared" si="0"/>
        <v>-6.1935863428713822E-2</v>
      </c>
      <c r="E63" s="88">
        <v>129.73191800000001</v>
      </c>
      <c r="F63" s="92">
        <f t="shared" si="1"/>
        <v>-0.12081655437358818</v>
      </c>
    </row>
    <row r="64" spans="2:16">
      <c r="B64" s="87">
        <v>44927</v>
      </c>
      <c r="C64" s="88">
        <v>404.93457000000001</v>
      </c>
      <c r="D64" s="91">
        <f t="shared" si="0"/>
        <v>6.7768201739267786E-2</v>
      </c>
      <c r="E64" s="88">
        <v>144.07002299999999</v>
      </c>
      <c r="F64" s="92">
        <f t="shared" si="1"/>
        <v>0.11052102844883538</v>
      </c>
    </row>
    <row r="65" spans="2:6">
      <c r="B65" s="87">
        <v>44958</v>
      </c>
      <c r="C65" s="88">
        <v>394.75341800000001</v>
      </c>
      <c r="D65" s="91">
        <f t="shared" si="0"/>
        <v>-2.5142708857877949E-2</v>
      </c>
      <c r="E65" s="88">
        <v>147.185272</v>
      </c>
      <c r="F65" s="92">
        <f t="shared" si="1"/>
        <v>2.1623158899613637E-2</v>
      </c>
    </row>
    <row r="66" spans="2:6">
      <c r="B66" s="87">
        <v>44986</v>
      </c>
      <c r="C66" s="88">
        <v>390.61917099999999</v>
      </c>
      <c r="D66" s="91">
        <f t="shared" si="0"/>
        <v>-1.0472985948914659E-2</v>
      </c>
      <c r="E66" s="88">
        <v>157.83000200000001</v>
      </c>
      <c r="F66" s="92">
        <f t="shared" si="1"/>
        <v>7.232197797616613E-2</v>
      </c>
    </row>
  </sheetData>
  <pageMargins left="0.25" right="0.25" top="0.75" bottom="0.75" header="0.3" footer="0.3"/>
  <pageSetup scale="4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03C7-7FED-3D42-A8FE-29FC9970C718}">
  <sheetPr>
    <pageSetUpPr fitToPage="1"/>
  </sheetPr>
  <dimension ref="B2:R124"/>
  <sheetViews>
    <sheetView showGridLines="0" topLeftCell="A33" zoomScale="44" workbookViewId="0">
      <selection activeCell="L65" sqref="L65"/>
    </sheetView>
  </sheetViews>
  <sheetFormatPr defaultColWidth="10.83203125" defaultRowHeight="15.5"/>
  <cols>
    <col min="1" max="1" width="2" style="1" customWidth="1"/>
    <col min="2" max="2" width="40.1640625" style="1" customWidth="1"/>
    <col min="3" max="4" width="12.83203125" style="1" customWidth="1"/>
    <col min="5" max="5" width="12.83203125" style="39" customWidth="1"/>
    <col min="6" max="9" width="12.83203125" style="1" customWidth="1"/>
    <col min="10" max="10" width="3.1640625" style="1" customWidth="1"/>
    <col min="11" max="11" width="3" style="1" customWidth="1"/>
    <col min="12" max="12" width="51.5" style="1" customWidth="1"/>
    <col min="13" max="13" width="12.83203125" style="1" customWidth="1"/>
    <col min="14" max="14" width="12.83203125" style="47" customWidth="1"/>
    <col min="15" max="18" width="12.83203125" style="1" customWidth="1"/>
    <col min="19" max="19" width="5.6640625" style="1" customWidth="1"/>
    <col min="20" max="16384" width="10.83203125" style="1"/>
  </cols>
  <sheetData>
    <row r="2" spans="2:18" ht="30" customHeight="1">
      <c r="B2" s="146" t="s">
        <v>215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2:18" ht="17.5">
      <c r="E3" s="1"/>
      <c r="G3" s="2"/>
    </row>
    <row r="4" spans="2:18" ht="20">
      <c r="B4" s="144" t="s">
        <v>35</v>
      </c>
      <c r="C4" s="3"/>
      <c r="D4" s="3"/>
      <c r="E4" s="3"/>
      <c r="F4" s="3"/>
      <c r="G4" s="3"/>
      <c r="H4" s="3"/>
      <c r="I4" s="3"/>
      <c r="L4" s="144" t="s">
        <v>78</v>
      </c>
      <c r="M4" s="3"/>
      <c r="N4" s="3"/>
      <c r="O4" s="3"/>
      <c r="P4" s="3"/>
      <c r="Q4" s="3"/>
      <c r="R4" s="3"/>
    </row>
    <row r="5" spans="2:18" ht="17.5">
      <c r="B5" s="2"/>
      <c r="E5" s="1"/>
      <c r="L5" s="2"/>
      <c r="N5" s="1"/>
    </row>
    <row r="6" spans="2:18">
      <c r="B6" s="4" t="s">
        <v>80</v>
      </c>
      <c r="E6" s="1"/>
      <c r="L6" s="47"/>
      <c r="N6" s="1"/>
    </row>
    <row r="7" spans="2:18" ht="17.5">
      <c r="B7" s="5" t="s">
        <v>214</v>
      </c>
      <c r="C7" s="6" t="s">
        <v>81</v>
      </c>
      <c r="D7" s="6" t="s">
        <v>213</v>
      </c>
      <c r="E7" s="5">
        <v>2023</v>
      </c>
      <c r="F7" s="5">
        <v>2024</v>
      </c>
      <c r="G7" s="5">
        <v>2025</v>
      </c>
      <c r="H7" s="5">
        <v>2026</v>
      </c>
      <c r="I7" s="5">
        <v>2027</v>
      </c>
      <c r="L7" s="48" t="s">
        <v>74</v>
      </c>
      <c r="M7" s="6" t="s">
        <v>213</v>
      </c>
      <c r="N7" s="5">
        <v>2023</v>
      </c>
      <c r="O7" s="5">
        <v>2024</v>
      </c>
      <c r="P7" s="5">
        <v>2025</v>
      </c>
      <c r="Q7" s="5">
        <v>2026</v>
      </c>
      <c r="R7" s="5">
        <v>2027</v>
      </c>
    </row>
    <row r="8" spans="2:18">
      <c r="B8" s="1" t="s">
        <v>36</v>
      </c>
      <c r="C8" s="132"/>
      <c r="D8" s="8">
        <v>394323</v>
      </c>
      <c r="E8" s="8">
        <f>D8*(1+N8)</f>
        <v>433755.30000000005</v>
      </c>
      <c r="F8" s="8">
        <f t="shared" ref="F8:I8" si="0">E8*(1+O8)</f>
        <v>498818.59500000003</v>
      </c>
      <c r="G8" s="8">
        <f t="shared" si="0"/>
        <v>598582.31400000001</v>
      </c>
      <c r="H8" s="8">
        <f t="shared" si="0"/>
        <v>688369.66109999991</v>
      </c>
      <c r="I8" s="8">
        <f t="shared" si="0"/>
        <v>722788.14415499999</v>
      </c>
      <c r="L8" s="1" t="s">
        <v>203</v>
      </c>
      <c r="N8" s="9">
        <v>0.1</v>
      </c>
      <c r="O8" s="9">
        <v>0.15</v>
      </c>
      <c r="P8" s="9">
        <v>0.2</v>
      </c>
      <c r="Q8" s="9">
        <v>0.15</v>
      </c>
      <c r="R8" s="9">
        <v>0.05</v>
      </c>
    </row>
    <row r="9" spans="2:18" ht="17">
      <c r="B9" s="22" t="s">
        <v>82</v>
      </c>
      <c r="C9" s="132">
        <f>D9/$D$8</f>
        <v>0.56691088270275891</v>
      </c>
      <c r="D9" s="10">
        <v>223546</v>
      </c>
      <c r="E9" s="11">
        <f>E8*N9</f>
        <v>260253.18000000002</v>
      </c>
      <c r="F9" s="11">
        <f t="shared" ref="F9:I9" si="1">F8*O9</f>
        <v>309267.52890000003</v>
      </c>
      <c r="G9" s="11">
        <f t="shared" si="1"/>
        <v>383092.68096000003</v>
      </c>
      <c r="H9" s="11">
        <f t="shared" si="1"/>
        <v>433672.88649299997</v>
      </c>
      <c r="I9" s="11">
        <f t="shared" si="1"/>
        <v>448128.64937609999</v>
      </c>
      <c r="L9" s="1" t="s">
        <v>204</v>
      </c>
      <c r="M9" s="9">
        <f>D9/D8</f>
        <v>0.56691088270275891</v>
      </c>
      <c r="N9" s="9">
        <v>0.6</v>
      </c>
      <c r="O9" s="9">
        <v>0.62</v>
      </c>
      <c r="P9" s="9">
        <v>0.64</v>
      </c>
      <c r="Q9" s="9">
        <v>0.63</v>
      </c>
      <c r="R9" s="9">
        <v>0.62</v>
      </c>
    </row>
    <row r="10" spans="2:18">
      <c r="B10" s="1" t="s">
        <v>37</v>
      </c>
      <c r="C10" s="132">
        <f t="shared" ref="C10:C20" si="2">D10/$D$8</f>
        <v>0.43308911729724109</v>
      </c>
      <c r="D10" s="8">
        <f>D8-D9</f>
        <v>170777</v>
      </c>
      <c r="E10" s="8">
        <f>E8-E9</f>
        <v>173502.12000000002</v>
      </c>
      <c r="F10" s="8">
        <f t="shared" ref="F10:I10" si="3">F8-F9</f>
        <v>189551.0661</v>
      </c>
      <c r="G10" s="8">
        <f t="shared" si="3"/>
        <v>215489.63303999999</v>
      </c>
      <c r="H10" s="8">
        <f t="shared" si="3"/>
        <v>254696.77460699994</v>
      </c>
      <c r="I10" s="8">
        <f t="shared" si="3"/>
        <v>274659.4947789</v>
      </c>
      <c r="L10" s="1" t="s">
        <v>205</v>
      </c>
      <c r="M10" s="9">
        <f>D11/D8</f>
        <v>6.6572327761758768E-2</v>
      </c>
      <c r="N10" s="9">
        <v>7.0000000000000007E-2</v>
      </c>
      <c r="O10" s="9">
        <v>0.08</v>
      </c>
      <c r="P10" s="9">
        <v>0.09</v>
      </c>
      <c r="Q10" s="9">
        <v>0.08</v>
      </c>
      <c r="R10" s="9">
        <v>7.0000000000000007E-2</v>
      </c>
    </row>
    <row r="11" spans="2:18">
      <c r="B11" s="1" t="s">
        <v>83</v>
      </c>
      <c r="C11" s="132">
        <f t="shared" si="2"/>
        <v>6.6572327761758768E-2</v>
      </c>
      <c r="D11" s="8">
        <v>26251</v>
      </c>
      <c r="E11" s="8">
        <f>E8*N10</f>
        <v>30362.871000000006</v>
      </c>
      <c r="F11" s="8">
        <f t="shared" ref="F11:I11" si="4">F8*O10</f>
        <v>39905.4876</v>
      </c>
      <c r="G11" s="8">
        <f t="shared" si="4"/>
        <v>53872.408259999997</v>
      </c>
      <c r="H11" s="8">
        <f t="shared" si="4"/>
        <v>55069.572887999995</v>
      </c>
      <c r="I11" s="8">
        <f t="shared" si="4"/>
        <v>50595.170090850006</v>
      </c>
      <c r="L11" s="1" t="s">
        <v>206</v>
      </c>
      <c r="M11" s="9">
        <f>D12/D8</f>
        <v>6.3638184939757508E-2</v>
      </c>
      <c r="N11" s="9">
        <v>0.08</v>
      </c>
      <c r="O11" s="9">
        <v>0.09</v>
      </c>
      <c r="P11" s="9">
        <v>0.1</v>
      </c>
      <c r="Q11" s="9">
        <v>0.08</v>
      </c>
      <c r="R11" s="9">
        <v>7.0000000000000007E-2</v>
      </c>
    </row>
    <row r="12" spans="2:18" ht="17">
      <c r="B12" s="22" t="s">
        <v>84</v>
      </c>
      <c r="C12" s="132">
        <f t="shared" si="2"/>
        <v>6.3638184939757508E-2</v>
      </c>
      <c r="D12" s="10">
        <v>25094</v>
      </c>
      <c r="E12" s="11">
        <f>E8*N11</f>
        <v>34700.424000000006</v>
      </c>
      <c r="F12" s="11">
        <f t="shared" ref="F12:I12" si="5">F8*O11</f>
        <v>44893.67355</v>
      </c>
      <c r="G12" s="11">
        <f t="shared" si="5"/>
        <v>59858.231400000004</v>
      </c>
      <c r="H12" s="11">
        <f t="shared" si="5"/>
        <v>55069.572887999995</v>
      </c>
      <c r="I12" s="11">
        <f t="shared" si="5"/>
        <v>50595.170090850006</v>
      </c>
      <c r="L12" s="1" t="s">
        <v>207</v>
      </c>
      <c r="M12" s="12">
        <f>D14/D8</f>
        <v>7.3619849717110088E-3</v>
      </c>
      <c r="N12" s="12">
        <v>0.01</v>
      </c>
      <c r="O12" s="12">
        <v>1.2E-2</v>
      </c>
      <c r="P12" s="12">
        <v>1.4E-2</v>
      </c>
      <c r="Q12" s="12">
        <v>1.2999999999999999E-2</v>
      </c>
      <c r="R12" s="12">
        <v>1.2E-2</v>
      </c>
    </row>
    <row r="13" spans="2:18">
      <c r="B13" s="1" t="s">
        <v>38</v>
      </c>
      <c r="C13" s="132">
        <f t="shared" si="2"/>
        <v>0.3028786045957248</v>
      </c>
      <c r="D13" s="8">
        <f>D10-D11-D12</f>
        <v>119432</v>
      </c>
      <c r="E13" s="8">
        <f>E10-E11-E12</f>
        <v>108438.82500000001</v>
      </c>
      <c r="F13" s="8">
        <f t="shared" ref="F13:I13" si="6">F10-F11-F12</f>
        <v>104751.90495</v>
      </c>
      <c r="G13" s="8">
        <f t="shared" si="6"/>
        <v>101758.99337999999</v>
      </c>
      <c r="H13" s="8">
        <f t="shared" si="6"/>
        <v>144557.62883099995</v>
      </c>
      <c r="I13" s="8">
        <f t="shared" si="6"/>
        <v>173469.15459719999</v>
      </c>
      <c r="L13" s="1" t="s">
        <v>208</v>
      </c>
      <c r="M13" s="12">
        <v>7.0000000000000001E-3</v>
      </c>
      <c r="N13" s="12">
        <v>8.0000000000000002E-3</v>
      </c>
      <c r="O13" s="12">
        <v>8.9999999999999993E-3</v>
      </c>
      <c r="P13" s="12">
        <v>8.0000000000000002E-3</v>
      </c>
      <c r="Q13" s="12">
        <v>7.0000000000000001E-3</v>
      </c>
      <c r="R13" s="12">
        <v>6.0000000000000001E-3</v>
      </c>
    </row>
    <row r="14" spans="2:18">
      <c r="B14" s="1" t="s">
        <v>66</v>
      </c>
      <c r="C14" s="132">
        <f t="shared" si="2"/>
        <v>7.3619849717110088E-3</v>
      </c>
      <c r="D14" s="8">
        <v>2903</v>
      </c>
      <c r="E14" s="8">
        <f>E8*N12</f>
        <v>4337.5530000000008</v>
      </c>
      <c r="F14" s="8">
        <f t="shared" ref="F14:I14" si="7">F8*O12</f>
        <v>5985.8231400000004</v>
      </c>
      <c r="G14" s="8">
        <f t="shared" si="7"/>
        <v>8380.1523959999995</v>
      </c>
      <c r="H14" s="8">
        <f t="shared" si="7"/>
        <v>8948.8055942999981</v>
      </c>
      <c r="I14" s="8">
        <f t="shared" si="7"/>
        <v>8673.4577298599997</v>
      </c>
      <c r="L14" s="1" t="s">
        <v>209</v>
      </c>
      <c r="M14" s="12">
        <v>0.22900000000000001</v>
      </c>
      <c r="N14" s="12">
        <v>0.15</v>
      </c>
      <c r="O14" s="12">
        <v>0.1</v>
      </c>
      <c r="P14" s="12">
        <v>0.05</v>
      </c>
      <c r="Q14" s="12">
        <v>0.1</v>
      </c>
      <c r="R14" s="12">
        <v>0.15</v>
      </c>
    </row>
    <row r="15" spans="2:18" ht="17">
      <c r="B15" s="22" t="s">
        <v>85</v>
      </c>
      <c r="C15" s="132">
        <f t="shared" si="2"/>
        <v>6.7076990183174709E-3</v>
      </c>
      <c r="D15" s="10">
        <v>2645</v>
      </c>
      <c r="E15" s="11">
        <f>E8*N13</f>
        <v>3470.0424000000003</v>
      </c>
      <c r="F15" s="11">
        <f t="shared" ref="F15:I15" si="8">F8*O13</f>
        <v>4489.3673550000003</v>
      </c>
      <c r="G15" s="11">
        <f t="shared" si="8"/>
        <v>4788.658512</v>
      </c>
      <c r="H15" s="11">
        <f t="shared" si="8"/>
        <v>4818.5876276999998</v>
      </c>
      <c r="I15" s="11">
        <f t="shared" si="8"/>
        <v>4336.7288649299999</v>
      </c>
      <c r="L15" s="1" t="s">
        <v>210</v>
      </c>
      <c r="M15" s="9">
        <f>D38/D8</f>
        <v>0.10680837790339391</v>
      </c>
      <c r="N15" s="9">
        <v>0.12</v>
      </c>
      <c r="O15" s="9">
        <v>0.13</v>
      </c>
      <c r="P15" s="9">
        <v>0.14000000000000001</v>
      </c>
      <c r="Q15" s="9">
        <v>0.15</v>
      </c>
      <c r="R15" s="9">
        <v>0.15</v>
      </c>
    </row>
    <row r="16" spans="2:18">
      <c r="B16" s="1" t="s">
        <v>39</v>
      </c>
      <c r="C16" s="132">
        <f t="shared" si="2"/>
        <v>0.30353289054911836</v>
      </c>
      <c r="D16" s="8">
        <f>D13+D14-D15</f>
        <v>119690</v>
      </c>
      <c r="E16" s="8">
        <f>E13+E14-E15</f>
        <v>109306.33560000001</v>
      </c>
      <c r="F16" s="8">
        <f t="shared" ref="F16:I16" si="9">F13+F14-F15</f>
        <v>106248.36073499999</v>
      </c>
      <c r="G16" s="8">
        <f t="shared" si="9"/>
        <v>105350.487264</v>
      </c>
      <c r="H16" s="8">
        <f t="shared" si="9"/>
        <v>148687.84679759995</v>
      </c>
      <c r="I16" s="8">
        <f t="shared" si="9"/>
        <v>177805.88346213</v>
      </c>
      <c r="L16" s="1" t="s">
        <v>211</v>
      </c>
      <c r="M16" s="9">
        <f>11284/(D38+11284)</f>
        <v>0.21130690436508678</v>
      </c>
      <c r="N16" s="9">
        <f>M16</f>
        <v>0.21130690436508678</v>
      </c>
      <c r="O16" s="9">
        <f>N16</f>
        <v>0.21130690436508678</v>
      </c>
      <c r="P16" s="9">
        <f t="shared" ref="P16:R16" si="10">O16</f>
        <v>0.21130690436508678</v>
      </c>
      <c r="Q16" s="9">
        <f t="shared" si="10"/>
        <v>0.21130690436508678</v>
      </c>
      <c r="R16" s="9">
        <f t="shared" si="10"/>
        <v>0.21130690436508678</v>
      </c>
    </row>
    <row r="17" spans="2:18" ht="17">
      <c r="B17" s="22" t="s">
        <v>86</v>
      </c>
      <c r="C17" s="132">
        <f t="shared" si="2"/>
        <v>4.8944646901144494E-2</v>
      </c>
      <c r="D17" s="10">
        <v>19300</v>
      </c>
      <c r="E17" s="11">
        <f>E16*N17</f>
        <v>14209.823628000002</v>
      </c>
      <c r="F17" s="11">
        <f t="shared" ref="F17:I17" si="11">F16*O17</f>
        <v>12749.803288199999</v>
      </c>
      <c r="G17" s="11">
        <f t="shared" si="11"/>
        <v>12642.058471679999</v>
      </c>
      <c r="H17" s="11">
        <f t="shared" si="11"/>
        <v>16355.663147735995</v>
      </c>
      <c r="I17" s="11">
        <f t="shared" si="11"/>
        <v>19558.647180834301</v>
      </c>
      <c r="L17" s="3" t="s">
        <v>212</v>
      </c>
      <c r="M17" s="13">
        <f>D17/D16</f>
        <v>0.16124989556353914</v>
      </c>
      <c r="N17" s="13">
        <v>0.13</v>
      </c>
      <c r="O17" s="13">
        <v>0.12</v>
      </c>
      <c r="P17" s="13">
        <v>0.12</v>
      </c>
      <c r="Q17" s="13">
        <v>0.11</v>
      </c>
      <c r="R17" s="13">
        <v>0.11</v>
      </c>
    </row>
    <row r="18" spans="2:18" ht="19" customHeight="1">
      <c r="B18" s="1" t="s">
        <v>41</v>
      </c>
      <c r="C18" s="132">
        <f t="shared" si="2"/>
        <v>0.2530996163044002</v>
      </c>
      <c r="D18" s="8">
        <v>99803</v>
      </c>
      <c r="E18" s="8">
        <f>E16-E17</f>
        <v>95096.511972000008</v>
      </c>
      <c r="F18" s="8">
        <f t="shared" ref="F18:I18" si="12">F16-F17</f>
        <v>93498.557446799998</v>
      </c>
      <c r="G18" s="8">
        <f t="shared" si="12"/>
        <v>92708.428792320003</v>
      </c>
      <c r="H18" s="8">
        <f t="shared" si="12"/>
        <v>132332.18364986396</v>
      </c>
      <c r="I18" s="8">
        <f t="shared" si="12"/>
        <v>158247.23628129571</v>
      </c>
      <c r="L18" s="1" t="s">
        <v>193</v>
      </c>
      <c r="M18" s="8">
        <f>M19/D18</f>
        <v>26.005891606464736</v>
      </c>
      <c r="N18" s="8">
        <f>$M18+1*($R18-$M18)/5</f>
        <v>26.80471328517179</v>
      </c>
      <c r="O18" s="8">
        <f>$M18+2*($R18-$M18)/5</f>
        <v>27.603534963878843</v>
      </c>
      <c r="P18" s="8">
        <f>$M18+3*($R18-$M18)/5</f>
        <v>28.402356642585893</v>
      </c>
      <c r="Q18" s="8">
        <f>$M18+4*($R18-$M18)/5</f>
        <v>29.201178321292947</v>
      </c>
      <c r="R18" s="8">
        <v>30</v>
      </c>
    </row>
    <row r="19" spans="2:18">
      <c r="B19" s="1" t="s">
        <v>87</v>
      </c>
      <c r="C19" s="132">
        <f t="shared" si="2"/>
        <v>3.7514930653296918E-2</v>
      </c>
      <c r="D19" s="8">
        <v>14793</v>
      </c>
      <c r="E19" s="8">
        <f>E8*$C$19</f>
        <v>16272.300000000003</v>
      </c>
      <c r="F19" s="8">
        <f t="shared" ref="F19:I19" si="13">F8*$C$19</f>
        <v>18713.145</v>
      </c>
      <c r="G19" s="8">
        <f t="shared" si="13"/>
        <v>22455.774000000001</v>
      </c>
      <c r="H19" s="8">
        <f t="shared" si="13"/>
        <v>25824.140099999997</v>
      </c>
      <c r="I19" s="8">
        <f t="shared" si="13"/>
        <v>27115.347105000001</v>
      </c>
      <c r="L19" s="1" t="s">
        <v>194</v>
      </c>
      <c r="M19" s="8">
        <f>WACC!L21</f>
        <v>2595466</v>
      </c>
      <c r="N19" s="8">
        <f>N18*E18</f>
        <v>2549034.7378293667</v>
      </c>
      <c r="O19" s="8">
        <f>O18*F18</f>
        <v>2580890.6995549784</v>
      </c>
      <c r="P19" s="8">
        <f>P18*G18</f>
        <v>2633137.8583332514</v>
      </c>
      <c r="Q19" s="8">
        <f>Q18*H18</f>
        <v>3864255.6924057645</v>
      </c>
      <c r="R19" s="8">
        <f>R18*I18</f>
        <v>4747417.0884388713</v>
      </c>
    </row>
    <row r="20" spans="2:18">
      <c r="B20" s="1" t="s">
        <v>88</v>
      </c>
      <c r="C20" s="132">
        <f t="shared" si="2"/>
        <v>0.22871098059205272</v>
      </c>
      <c r="D20" s="8">
        <v>90186</v>
      </c>
      <c r="E20" s="8">
        <f>E8*N14</f>
        <v>65063.295000000006</v>
      </c>
      <c r="F20" s="8">
        <f t="shared" ref="F20:I20" si="14">F8*O14</f>
        <v>49881.859500000006</v>
      </c>
      <c r="G20" s="8">
        <f t="shared" si="14"/>
        <v>29929.115700000002</v>
      </c>
      <c r="H20" s="8">
        <f t="shared" si="14"/>
        <v>68836.966109999994</v>
      </c>
      <c r="I20" s="8">
        <f t="shared" si="14"/>
        <v>108418.22162324999</v>
      </c>
      <c r="J20" s="4"/>
      <c r="K20" s="4"/>
      <c r="L20" s="1" t="s">
        <v>195</v>
      </c>
      <c r="M20" s="8">
        <f t="shared" ref="M20:R20" si="15">D55</f>
        <v>148101</v>
      </c>
      <c r="N20" s="8">
        <f t="shared" si="15"/>
        <v>162911.1</v>
      </c>
      <c r="O20" s="8">
        <f t="shared" si="15"/>
        <v>187347.76500000001</v>
      </c>
      <c r="P20" s="8">
        <f t="shared" si="15"/>
        <v>224817.31799999997</v>
      </c>
      <c r="Q20" s="8">
        <f t="shared" si="15"/>
        <v>258539.91569999995</v>
      </c>
      <c r="R20" s="8">
        <f t="shared" si="15"/>
        <v>271466.91148499999</v>
      </c>
    </row>
    <row r="21" spans="2:18">
      <c r="D21" s="15"/>
      <c r="E21" s="1"/>
      <c r="L21" s="1" t="s">
        <v>197</v>
      </c>
      <c r="M21" s="33">
        <f>WACC!L10</f>
        <v>1.2400393079519485</v>
      </c>
      <c r="N21" s="33">
        <f>WACC!$L$11*(1+(1-'Company Valuation'!N17)*'Company Valuation'!N20/'Company Valuation'!N19)</f>
        <v>1.2472826785866997</v>
      </c>
      <c r="O21" s="33">
        <f>WACC!$L$11*(1+(1-'Company Valuation'!O17)*'Company Valuation'!O20/'Company Valuation'!O19)</f>
        <v>1.257062680397943</v>
      </c>
      <c r="P21" s="33">
        <f>WACC!$L$11*(1+(1-'Company Valuation'!P17)*'Company Valuation'!P20/'Company Valuation'!P19)</f>
        <v>1.2703612779358615</v>
      </c>
      <c r="Q21" s="33">
        <f>WACC!$L$11*(1+(1-'Company Valuation'!Q17)*'Company Valuation'!Q20/'Company Valuation'!Q19)</f>
        <v>1.2519421397595734</v>
      </c>
      <c r="R21" s="33">
        <f>WACC!$L$11*(1+(1-'Company Valuation'!R17)*'Company Valuation'!R20/'Company Valuation'!R19)</f>
        <v>1.2417168505799607</v>
      </c>
    </row>
    <row r="22" spans="2:18">
      <c r="B22" s="47"/>
      <c r="E22" s="47"/>
      <c r="L22" s="1" t="s">
        <v>198</v>
      </c>
      <c r="M22" s="38">
        <f>WACC!$L$7+WACC!$L$9*'Company Valuation'!M21</f>
        <v>0.10200196539759743</v>
      </c>
      <c r="N22" s="38">
        <f>WACC!$L$7+WACC!$L$9*'Company Valuation'!N21</f>
        <v>0.10236413392933498</v>
      </c>
      <c r="O22" s="38">
        <f>WACC!$L$7+WACC!$L$9*'Company Valuation'!O21</f>
        <v>0.10285313401989715</v>
      </c>
      <c r="P22" s="38">
        <f>WACC!$L$7+WACC!$L$9*'Company Valuation'!P21</f>
        <v>0.10351806389679308</v>
      </c>
      <c r="Q22" s="38">
        <f>WACC!$L$7+WACC!$L$9*'Company Valuation'!Q21</f>
        <v>0.10259710698797866</v>
      </c>
      <c r="R22" s="38">
        <f>WACC!$L$7+WACC!$L$9*'Company Valuation'!R21</f>
        <v>0.10208584252899802</v>
      </c>
    </row>
    <row r="23" spans="2:18">
      <c r="B23" s="4" t="s">
        <v>89</v>
      </c>
      <c r="E23" s="47"/>
      <c r="L23" s="4" t="s">
        <v>79</v>
      </c>
      <c r="M23" s="49">
        <f>WACC!L25</f>
        <v>9.8180639122223218E-2</v>
      </c>
      <c r="N23" s="50">
        <f>WACC!$L$18*(1-'Company Valuation'!N17)*'Company Valuation'!N20/('Company Valuation'!N20+'Company Valuation'!N19)+'Company Valuation'!N22*'Company Valuation'!N19/('Company Valuation'!N19+'Company Valuation'!N20)</f>
        <v>9.8096394564658365E-2</v>
      </c>
      <c r="O23" s="50">
        <f>WACC!$L$18*(1-'Company Valuation'!O17)*'Company Valuation'!O20/('Company Valuation'!O20+'Company Valuation'!O19)+'Company Valuation'!O22*'Company Valuation'!O19/('Company Valuation'!O19+'Company Valuation'!O20)</f>
        <v>9.8036306366714163E-2</v>
      </c>
      <c r="P23" s="50">
        <f>WACC!$L$18*(1-'Company Valuation'!P17)*'Company Valuation'!P20/('Company Valuation'!P20+'Company Valuation'!P19)+'Company Valuation'!P22*'Company Valuation'!P19/('Company Valuation'!P19+'Company Valuation'!P20)</f>
        <v>9.7867016256392145E-2</v>
      </c>
      <c r="Q23" s="50">
        <f>WACC!$L$18*(1-'Company Valuation'!Q17)*'Company Valuation'!Q20/('Company Valuation'!Q20+'Company Valuation'!Q19)+'Company Valuation'!Q22*'Company Valuation'!Q19/('Company Valuation'!Q19+'Company Valuation'!Q20)</f>
        <v>9.8172481023780261E-2</v>
      </c>
      <c r="R23" s="50">
        <f>WACC!$L$18*(1-'Company Valuation'!R17)*'Company Valuation'!R20/('Company Valuation'!R20+'Company Valuation'!R19)+'Company Valuation'!R22*'Company Valuation'!R19/('Company Valuation'!R19+'Company Valuation'!R20)</f>
        <v>9.8297126046608674E-2</v>
      </c>
    </row>
    <row r="24" spans="2:18">
      <c r="B24" s="16" t="s">
        <v>90</v>
      </c>
      <c r="C24" s="6" t="s">
        <v>81</v>
      </c>
      <c r="D24" s="6" t="s">
        <v>213</v>
      </c>
      <c r="E24" s="5">
        <v>2023</v>
      </c>
      <c r="F24" s="5">
        <v>2024</v>
      </c>
      <c r="G24" s="5">
        <v>2025</v>
      </c>
      <c r="H24" s="5">
        <v>2026</v>
      </c>
      <c r="I24" s="5">
        <v>2027</v>
      </c>
      <c r="L24" s="4"/>
      <c r="N24" s="1"/>
      <c r="P24" s="4"/>
      <c r="Q24" s="51"/>
    </row>
    <row r="25" spans="2:18">
      <c r="B25" s="42" t="s">
        <v>43</v>
      </c>
      <c r="E25" s="1"/>
      <c r="N25" s="1"/>
      <c r="P25" s="4"/>
      <c r="Q25" s="51"/>
      <c r="R25" s="4"/>
    </row>
    <row r="26" spans="2:18" ht="17.5">
      <c r="B26" s="42" t="s">
        <v>44</v>
      </c>
      <c r="E26" s="1"/>
      <c r="L26" s="48" t="s">
        <v>91</v>
      </c>
      <c r="M26" s="6" t="s">
        <v>213</v>
      </c>
      <c r="N26" s="5">
        <v>2023</v>
      </c>
      <c r="O26" s="5">
        <v>2024</v>
      </c>
      <c r="P26" s="5">
        <v>2025</v>
      </c>
      <c r="Q26" s="5">
        <v>2026</v>
      </c>
      <c r="R26" s="5">
        <v>2027</v>
      </c>
    </row>
    <row r="27" spans="2:18">
      <c r="B27" s="42" t="s">
        <v>15</v>
      </c>
      <c r="C27" s="133">
        <f>D27/$D$8</f>
        <v>5.9966068426137963E-2</v>
      </c>
      <c r="D27" s="17">
        <v>23646</v>
      </c>
      <c r="E27" s="18">
        <f>$C27*E$8</f>
        <v>26010.600000000002</v>
      </c>
      <c r="F27" s="18">
        <f t="shared" ref="F27:I27" si="16">$C27*F$8</f>
        <v>29912.190000000002</v>
      </c>
      <c r="G27" s="18">
        <f t="shared" si="16"/>
        <v>35894.627999999997</v>
      </c>
      <c r="H27" s="18">
        <f t="shared" si="16"/>
        <v>41278.822199999995</v>
      </c>
      <c r="I27" s="18">
        <f t="shared" si="16"/>
        <v>43342.763310000002</v>
      </c>
      <c r="L27" s="4" t="s">
        <v>92</v>
      </c>
      <c r="N27" s="1"/>
    </row>
    <row r="28" spans="2:18">
      <c r="B28" s="45" t="s">
        <v>93</v>
      </c>
      <c r="C28" s="133"/>
      <c r="D28" s="17">
        <v>0</v>
      </c>
      <c r="E28" s="18">
        <f>E41-E40-E27-E29-E30-E31-E32-E33</f>
        <v>1860.8809719999917</v>
      </c>
      <c r="F28" s="18">
        <f t="shared" ref="F28:I28" si="17">F41-F40-F27-F29-F30-F31-F32-F33</f>
        <v>10724.092568800028</v>
      </c>
      <c r="G28" s="18">
        <f t="shared" si="17"/>
        <v>27117.533051119899</v>
      </c>
      <c r="H28" s="18">
        <f t="shared" si="17"/>
        <v>40857.192485983847</v>
      </c>
      <c r="I28" s="18">
        <f t="shared" si="17"/>
        <v>56691.715340779716</v>
      </c>
      <c r="L28" s="1" t="s">
        <v>1</v>
      </c>
      <c r="M28" s="8">
        <f>D18</f>
        <v>99803</v>
      </c>
      <c r="N28" s="8">
        <f>E18</f>
        <v>95096.511972000008</v>
      </c>
      <c r="O28" s="8">
        <f t="shared" ref="O28:R28" si="18">F18</f>
        <v>93498.557446799998</v>
      </c>
      <c r="P28" s="8">
        <f t="shared" si="18"/>
        <v>92708.428792320003</v>
      </c>
      <c r="Q28" s="8">
        <f t="shared" si="18"/>
        <v>132332.18364986396</v>
      </c>
      <c r="R28" s="8">
        <f t="shared" si="18"/>
        <v>158247.23628129571</v>
      </c>
    </row>
    <row r="29" spans="2:18">
      <c r="B29" s="42" t="s">
        <v>16</v>
      </c>
      <c r="C29" s="133">
        <f>D29/$D$8</f>
        <v>6.2532492398363781E-2</v>
      </c>
      <c r="D29" s="19">
        <v>24658</v>
      </c>
      <c r="E29" s="18">
        <f>$C29*E$8</f>
        <v>27123.800000000003</v>
      </c>
      <c r="F29" s="18">
        <f t="shared" ref="F29:I29" si="19">$C29*F$8</f>
        <v>31192.370000000003</v>
      </c>
      <c r="G29" s="18">
        <f t="shared" si="19"/>
        <v>37430.844000000005</v>
      </c>
      <c r="H29" s="18">
        <f t="shared" si="19"/>
        <v>43045.470599999993</v>
      </c>
      <c r="I29" s="18">
        <f t="shared" si="19"/>
        <v>45197.744129999999</v>
      </c>
      <c r="L29" s="1" t="s">
        <v>71</v>
      </c>
      <c r="M29" s="20"/>
      <c r="N29" s="18">
        <f>E15*(1-N17)</f>
        <v>3018.9368880000002</v>
      </c>
      <c r="O29" s="18">
        <f t="shared" ref="O29:R29" si="20">F15*(1-O17)</f>
        <v>3950.6432724000001</v>
      </c>
      <c r="P29" s="18">
        <f t="shared" si="20"/>
        <v>4214.0194905600001</v>
      </c>
      <c r="Q29" s="18">
        <f t="shared" si="20"/>
        <v>4288.5429886530001</v>
      </c>
      <c r="R29" s="18">
        <f t="shared" si="20"/>
        <v>3859.6886897876998</v>
      </c>
    </row>
    <row r="30" spans="2:18">
      <c r="B30" s="42" t="s">
        <v>45</v>
      </c>
      <c r="C30" s="133">
        <f t="shared" ref="C30:C33" si="21">D30/$D$8</f>
        <v>7.1474400428075457E-2</v>
      </c>
      <c r="D30" s="19">
        <v>28184</v>
      </c>
      <c r="E30" s="18">
        <f t="shared" ref="E30:I33" si="22">$C30*E$8</f>
        <v>31002.400000000001</v>
      </c>
      <c r="F30" s="18">
        <f t="shared" si="22"/>
        <v>35652.76</v>
      </c>
      <c r="G30" s="18">
        <f t="shared" si="22"/>
        <v>42783.311999999998</v>
      </c>
      <c r="H30" s="18">
        <f t="shared" si="22"/>
        <v>49200.808799999992</v>
      </c>
      <c r="I30" s="18">
        <f t="shared" si="22"/>
        <v>51660.849239999996</v>
      </c>
      <c r="L30" s="22" t="s">
        <v>72</v>
      </c>
      <c r="M30" s="23"/>
      <c r="N30" s="24">
        <f>N15*N16*E8</f>
        <v>10998.658763393943</v>
      </c>
      <c r="O30" s="24">
        <f t="shared" ref="O30:R30" si="23">O15*O16*F8</f>
        <v>13702.495709394956</v>
      </c>
      <c r="P30" s="24">
        <f t="shared" si="23"/>
        <v>17707.840609064249</v>
      </c>
      <c r="Q30" s="24">
        <f t="shared" si="23"/>
        <v>21818.589321882733</v>
      </c>
      <c r="R30" s="24">
        <f t="shared" si="23"/>
        <v>22909.518787976871</v>
      </c>
    </row>
    <row r="31" spans="2:18">
      <c r="B31" s="42" t="s">
        <v>18</v>
      </c>
      <c r="C31" s="133">
        <f t="shared" si="21"/>
        <v>1.2543016765443558E-2</v>
      </c>
      <c r="D31" s="19">
        <v>4946</v>
      </c>
      <c r="E31" s="18">
        <f t="shared" si="22"/>
        <v>5440.6</v>
      </c>
      <c r="F31" s="18">
        <f t="shared" si="22"/>
        <v>6256.6900000000005</v>
      </c>
      <c r="G31" s="18">
        <f t="shared" si="22"/>
        <v>7508.0280000000002</v>
      </c>
      <c r="H31" s="18">
        <f t="shared" si="22"/>
        <v>8634.2321999999986</v>
      </c>
      <c r="I31" s="18">
        <f t="shared" si="22"/>
        <v>9065.9438100000007</v>
      </c>
      <c r="L31" s="1" t="s">
        <v>2</v>
      </c>
      <c r="M31" s="20"/>
      <c r="N31" s="18">
        <f>N28+N29+N30</f>
        <v>109114.10762339395</v>
      </c>
      <c r="O31" s="18">
        <f t="shared" ref="O31:R31" si="24">O28+O29+O30</f>
        <v>111151.69642859497</v>
      </c>
      <c r="P31" s="18">
        <f t="shared" si="24"/>
        <v>114630.28889194426</v>
      </c>
      <c r="Q31" s="18">
        <f t="shared" si="24"/>
        <v>158439.31596039969</v>
      </c>
      <c r="R31" s="18">
        <f t="shared" si="24"/>
        <v>185016.44375906029</v>
      </c>
    </row>
    <row r="32" spans="2:18">
      <c r="B32" s="42" t="s">
        <v>17</v>
      </c>
      <c r="C32" s="133">
        <f t="shared" si="21"/>
        <v>8.304866822376579E-2</v>
      </c>
      <c r="D32" s="19">
        <v>32748</v>
      </c>
      <c r="E32" s="18">
        <f t="shared" si="22"/>
        <v>36022.800000000003</v>
      </c>
      <c r="F32" s="18">
        <f t="shared" si="22"/>
        <v>41426.22</v>
      </c>
      <c r="G32" s="18">
        <f t="shared" si="22"/>
        <v>49711.464</v>
      </c>
      <c r="H32" s="18">
        <f t="shared" si="22"/>
        <v>57168.183599999989</v>
      </c>
      <c r="I32" s="18">
        <f t="shared" si="22"/>
        <v>60026.592779999992</v>
      </c>
      <c r="L32" s="4" t="s">
        <v>94</v>
      </c>
      <c r="N32" s="1"/>
    </row>
    <row r="33" spans="2:18">
      <c r="B33" s="42" t="s">
        <v>19</v>
      </c>
      <c r="C33" s="133">
        <f t="shared" si="21"/>
        <v>5.3821359646787026E-2</v>
      </c>
      <c r="D33" s="19">
        <v>21223</v>
      </c>
      <c r="E33" s="18">
        <f t="shared" si="22"/>
        <v>23345.300000000003</v>
      </c>
      <c r="F33" s="18">
        <f t="shared" si="22"/>
        <v>26847.095000000001</v>
      </c>
      <c r="G33" s="18">
        <f t="shared" si="22"/>
        <v>32216.514000000003</v>
      </c>
      <c r="H33" s="18">
        <f t="shared" si="22"/>
        <v>37048.991099999999</v>
      </c>
      <c r="I33" s="18">
        <f t="shared" si="22"/>
        <v>38901.440654999999</v>
      </c>
      <c r="L33" s="22" t="s">
        <v>9</v>
      </c>
      <c r="M33" s="24">
        <f>D34-D28-D50</f>
        <v>-18577</v>
      </c>
      <c r="N33" s="24">
        <f>E34-E28-E50</f>
        <v>-20434.699999999983</v>
      </c>
      <c r="O33" s="24">
        <f t="shared" ref="O33:R33" si="25">F34-F28-F50</f>
        <v>-23499.905000000028</v>
      </c>
      <c r="P33" s="24">
        <f t="shared" si="25"/>
        <v>-28199.886000000057</v>
      </c>
      <c r="Q33" s="24">
        <f t="shared" si="25"/>
        <v>-32429.868899999943</v>
      </c>
      <c r="R33" s="24">
        <f t="shared" si="25"/>
        <v>-34051.36234500006</v>
      </c>
    </row>
    <row r="34" spans="2:18">
      <c r="B34" s="42" t="s">
        <v>46</v>
      </c>
      <c r="C34" s="133"/>
      <c r="D34" s="19">
        <v>135405</v>
      </c>
      <c r="E34" s="18">
        <f>SUM(E27:E33)</f>
        <v>150806.38097200001</v>
      </c>
      <c r="F34" s="18">
        <f t="shared" ref="F34:I34" si="26">SUM(F27:F33)</f>
        <v>182011.41756880004</v>
      </c>
      <c r="G34" s="18">
        <f t="shared" si="26"/>
        <v>232662.32305111989</v>
      </c>
      <c r="H34" s="18">
        <f t="shared" si="26"/>
        <v>277233.70098598383</v>
      </c>
      <c r="I34" s="18">
        <f t="shared" si="26"/>
        <v>304887.04926577967</v>
      </c>
      <c r="L34" s="1" t="s">
        <v>8</v>
      </c>
      <c r="M34" s="20"/>
      <c r="N34" s="18">
        <f>M33-N33</f>
        <v>1857.6999999999825</v>
      </c>
      <c r="O34" s="18">
        <f t="shared" ref="O34:R34" si="27">N33-O33</f>
        <v>3065.2050000000454</v>
      </c>
      <c r="P34" s="18">
        <f t="shared" si="27"/>
        <v>4699.9810000000289</v>
      </c>
      <c r="Q34" s="18">
        <f t="shared" si="27"/>
        <v>4229.9828999998863</v>
      </c>
      <c r="R34" s="18">
        <f t="shared" si="27"/>
        <v>1621.4934450001165</v>
      </c>
    </row>
    <row r="35" spans="2:18">
      <c r="C35" s="133"/>
      <c r="D35" s="7"/>
      <c r="E35" s="18"/>
      <c r="F35" s="18"/>
      <c r="G35" s="18"/>
      <c r="H35" s="18"/>
      <c r="I35" s="18"/>
      <c r="L35" s="4" t="s">
        <v>95</v>
      </c>
      <c r="N35" s="20"/>
      <c r="O35" s="20"/>
      <c r="P35" s="20"/>
      <c r="Q35" s="20"/>
      <c r="R35" s="20"/>
    </row>
    <row r="36" spans="2:18">
      <c r="B36" s="42" t="s">
        <v>47</v>
      </c>
      <c r="C36" s="133"/>
      <c r="D36" s="7"/>
      <c r="E36" s="18"/>
      <c r="F36" s="18"/>
      <c r="G36" s="18"/>
      <c r="H36" s="18"/>
      <c r="I36" s="18"/>
      <c r="L36" s="22" t="s">
        <v>10</v>
      </c>
      <c r="M36" s="24">
        <f>M15*D8</f>
        <v>42117</v>
      </c>
      <c r="N36" s="24">
        <f>N15*E8</f>
        <v>52050.636000000006</v>
      </c>
      <c r="O36" s="24">
        <f t="shared" ref="O36:R36" si="28">O15*F8</f>
        <v>64846.417350000003</v>
      </c>
      <c r="P36" s="24">
        <f t="shared" si="28"/>
        <v>83801.523960000006</v>
      </c>
      <c r="Q36" s="24">
        <f t="shared" si="28"/>
        <v>103255.44916499998</v>
      </c>
      <c r="R36" s="24">
        <f t="shared" si="28"/>
        <v>108418.22162324999</v>
      </c>
    </row>
    <row r="37" spans="2:18">
      <c r="B37" s="42" t="s">
        <v>16</v>
      </c>
      <c r="C37" s="133">
        <f t="shared" ref="C37:C39" si="29">D37/$D$8</f>
        <v>0.30636052170428812</v>
      </c>
      <c r="D37" s="19">
        <v>120805</v>
      </c>
      <c r="E37" s="18">
        <f t="shared" ref="E37:I37" si="30">$C37*E$8</f>
        <v>132885.50000000003</v>
      </c>
      <c r="F37" s="18">
        <f t="shared" si="30"/>
        <v>152818.32500000001</v>
      </c>
      <c r="G37" s="18">
        <f t="shared" si="30"/>
        <v>183381.99000000002</v>
      </c>
      <c r="H37" s="18">
        <f t="shared" si="30"/>
        <v>210889.2885</v>
      </c>
      <c r="I37" s="18">
        <f t="shared" si="30"/>
        <v>221433.75292500001</v>
      </c>
      <c r="L37" s="1" t="s">
        <v>96</v>
      </c>
      <c r="M37" s="52"/>
      <c r="N37" s="18">
        <f>M36-N36</f>
        <v>-9933.6360000000059</v>
      </c>
      <c r="O37" s="18">
        <f t="shared" ref="O37:R37" si="31">N36-O36</f>
        <v>-12795.781349999997</v>
      </c>
      <c r="P37" s="18">
        <f t="shared" si="31"/>
        <v>-18955.106610000003</v>
      </c>
      <c r="Q37" s="18">
        <f t="shared" si="31"/>
        <v>-19453.925204999978</v>
      </c>
      <c r="R37" s="18">
        <f t="shared" si="31"/>
        <v>-5162.7724582500086</v>
      </c>
    </row>
    <row r="38" spans="2:18">
      <c r="B38" s="42" t="s">
        <v>20</v>
      </c>
      <c r="C38" s="133"/>
      <c r="D38" s="19">
        <v>42117</v>
      </c>
      <c r="E38" s="18">
        <f>E8*N15</f>
        <v>52050.636000000006</v>
      </c>
      <c r="F38" s="18">
        <f t="shared" ref="F38:I38" si="32">F8*O15</f>
        <v>64846.417350000003</v>
      </c>
      <c r="G38" s="18">
        <f t="shared" si="32"/>
        <v>83801.523960000006</v>
      </c>
      <c r="H38" s="18">
        <f t="shared" si="32"/>
        <v>103255.44916499998</v>
      </c>
      <c r="I38" s="18">
        <f t="shared" si="32"/>
        <v>108418.22162324999</v>
      </c>
      <c r="L38" s="4" t="s">
        <v>97</v>
      </c>
      <c r="N38" s="20"/>
      <c r="O38" s="20"/>
      <c r="P38" s="20"/>
      <c r="Q38" s="20"/>
      <c r="R38" s="20"/>
    </row>
    <row r="39" spans="2:18">
      <c r="B39" s="42" t="s">
        <v>21</v>
      </c>
      <c r="C39" s="133">
        <f t="shared" si="29"/>
        <v>0.13802897624536231</v>
      </c>
      <c r="D39" s="19">
        <v>54428</v>
      </c>
      <c r="E39" s="18">
        <f t="shared" ref="E39:I39" si="33">$C39*E$8</f>
        <v>59870.80000000001</v>
      </c>
      <c r="F39" s="18">
        <f t="shared" si="33"/>
        <v>68851.420000000013</v>
      </c>
      <c r="G39" s="18">
        <f t="shared" si="33"/>
        <v>82621.704000000012</v>
      </c>
      <c r="H39" s="18">
        <f t="shared" si="33"/>
        <v>95014.959599999987</v>
      </c>
      <c r="I39" s="18">
        <f t="shared" si="33"/>
        <v>99765.707580000002</v>
      </c>
      <c r="L39" s="1" t="s">
        <v>3</v>
      </c>
      <c r="M39" s="20"/>
      <c r="N39" s="18">
        <f>N37+N34+N31</f>
        <v>101038.17162339392</v>
      </c>
      <c r="O39" s="18">
        <f t="shared" ref="O39:R39" si="34">O37+O34+O31</f>
        <v>101421.12007859501</v>
      </c>
      <c r="P39" s="18">
        <f t="shared" si="34"/>
        <v>100375.16328194429</v>
      </c>
      <c r="Q39" s="18">
        <f t="shared" si="34"/>
        <v>143215.3736553996</v>
      </c>
      <c r="R39" s="18">
        <f t="shared" si="34"/>
        <v>181475.16474581038</v>
      </c>
    </row>
    <row r="40" spans="2:18">
      <c r="B40" s="44" t="s">
        <v>48</v>
      </c>
      <c r="C40" s="133"/>
      <c r="D40" s="25">
        <v>217350</v>
      </c>
      <c r="E40" s="24">
        <f>SUM(E37:E39)</f>
        <v>244806.93600000005</v>
      </c>
      <c r="F40" s="24">
        <f t="shared" ref="F40:I40" si="35">SUM(F37:F39)</f>
        <v>286516.16235</v>
      </c>
      <c r="G40" s="24">
        <f t="shared" si="35"/>
        <v>349805.21796000004</v>
      </c>
      <c r="H40" s="24">
        <f t="shared" si="35"/>
        <v>409159.69726499997</v>
      </c>
      <c r="I40" s="24">
        <f t="shared" si="35"/>
        <v>429617.68212824996</v>
      </c>
      <c r="L40" s="3" t="s">
        <v>98</v>
      </c>
      <c r="M40" s="28"/>
      <c r="N40" s="28"/>
      <c r="O40" s="28"/>
      <c r="P40" s="28"/>
      <c r="Q40" s="28"/>
      <c r="R40" s="148">
        <f>R39*(1+R8)/(R23-R8)</f>
        <v>3945347.0336767766</v>
      </c>
    </row>
    <row r="41" spans="2:18">
      <c r="B41" s="45" t="s">
        <v>49</v>
      </c>
      <c r="C41" s="133"/>
      <c r="D41" s="26">
        <v>352755</v>
      </c>
      <c r="E41" s="27">
        <f>E66</f>
        <v>395613.31697200006</v>
      </c>
      <c r="F41" s="27">
        <f t="shared" ref="F41:I41" si="36">F66</f>
        <v>468527.57991880004</v>
      </c>
      <c r="G41" s="27">
        <f t="shared" si="36"/>
        <v>582467.54101111996</v>
      </c>
      <c r="H41" s="27">
        <f t="shared" si="36"/>
        <v>686393.3982509838</v>
      </c>
      <c r="I41" s="27">
        <f t="shared" si="36"/>
        <v>734504.73139402969</v>
      </c>
      <c r="L41" s="4" t="s">
        <v>4</v>
      </c>
      <c r="M41" s="20"/>
      <c r="N41" s="27">
        <f>N39</f>
        <v>101038.17162339392</v>
      </c>
      <c r="O41" s="27">
        <f t="shared" ref="O41:R41" si="37">O39</f>
        <v>101421.12007859501</v>
      </c>
      <c r="P41" s="27">
        <f t="shared" si="37"/>
        <v>100375.16328194429</v>
      </c>
      <c r="Q41" s="27">
        <f t="shared" si="37"/>
        <v>143215.3736553996</v>
      </c>
      <c r="R41" s="27">
        <f>R39+R40</f>
        <v>4126822.198422587</v>
      </c>
    </row>
    <row r="42" spans="2:18">
      <c r="C42" s="43"/>
      <c r="E42" s="20"/>
      <c r="F42" s="20"/>
      <c r="G42" s="20"/>
      <c r="H42" s="20"/>
      <c r="I42" s="20"/>
      <c r="M42" s="14"/>
      <c r="N42" s="1"/>
    </row>
    <row r="43" spans="2:18" ht="17.5">
      <c r="B43" s="42" t="s">
        <v>50</v>
      </c>
      <c r="C43" s="43"/>
      <c r="E43" s="20"/>
      <c r="F43" s="20"/>
      <c r="G43" s="20"/>
      <c r="H43" s="20"/>
      <c r="I43" s="20"/>
      <c r="L43" s="48" t="s">
        <v>234</v>
      </c>
      <c r="M43" s="53" t="s">
        <v>29</v>
      </c>
      <c r="N43" s="1"/>
      <c r="O43" s="4"/>
      <c r="Q43" s="47"/>
      <c r="R43" s="54"/>
    </row>
    <row r="44" spans="2:18">
      <c r="B44" s="42" t="s">
        <v>51</v>
      </c>
      <c r="C44" s="43"/>
      <c r="E44" s="20"/>
      <c r="F44" s="20"/>
      <c r="G44" s="20"/>
      <c r="H44" s="20"/>
      <c r="I44" s="20"/>
      <c r="L44" s="1" t="s">
        <v>33</v>
      </c>
      <c r="M44" s="30">
        <f>NPV(M23,N41:R41)</f>
        <v>2934087.0726275551</v>
      </c>
    </row>
    <row r="45" spans="2:18">
      <c r="B45" s="42" t="s">
        <v>52</v>
      </c>
      <c r="C45" s="133">
        <f t="shared" ref="C45:C49" si="38">D45/$D$8</f>
        <v>0.16259513140242898</v>
      </c>
      <c r="D45" s="17">
        <v>64115</v>
      </c>
      <c r="E45" s="18">
        <f t="shared" ref="E45:I49" si="39">$C45*E$8</f>
        <v>70526.500000000015</v>
      </c>
      <c r="F45" s="18">
        <f t="shared" si="39"/>
        <v>81105.475000000006</v>
      </c>
      <c r="G45" s="18">
        <f t="shared" si="39"/>
        <v>97326.57</v>
      </c>
      <c r="H45" s="18">
        <f t="shared" si="39"/>
        <v>111925.55549999999</v>
      </c>
      <c r="I45" s="18">
        <f t="shared" si="39"/>
        <v>117521.83327500001</v>
      </c>
      <c r="L45" s="3" t="s">
        <v>5</v>
      </c>
      <c r="M45" s="31">
        <f>D55</f>
        <v>148101</v>
      </c>
    </row>
    <row r="46" spans="2:18">
      <c r="B46" s="42" t="s">
        <v>53</v>
      </c>
      <c r="C46" s="133">
        <f t="shared" si="38"/>
        <v>0.15430243734197599</v>
      </c>
      <c r="D46" s="19">
        <v>60845</v>
      </c>
      <c r="E46" s="18">
        <f t="shared" si="39"/>
        <v>66929.5</v>
      </c>
      <c r="F46" s="18">
        <f t="shared" si="39"/>
        <v>76968.925000000003</v>
      </c>
      <c r="G46" s="18">
        <f t="shared" si="39"/>
        <v>92362.71</v>
      </c>
      <c r="H46" s="18">
        <f t="shared" si="39"/>
        <v>106217.11649999999</v>
      </c>
      <c r="I46" s="18">
        <f t="shared" si="39"/>
        <v>111527.972325</v>
      </c>
      <c r="L46" s="4" t="s">
        <v>34</v>
      </c>
      <c r="M46" s="32">
        <f>M44-M45</f>
        <v>2785986.0726275551</v>
      </c>
    </row>
    <row r="47" spans="2:18">
      <c r="B47" s="42" t="s">
        <v>22</v>
      </c>
      <c r="C47" s="133">
        <f t="shared" si="38"/>
        <v>2.0064769237401827E-2</v>
      </c>
      <c r="D47" s="19">
        <v>7912</v>
      </c>
      <c r="E47" s="18">
        <f t="shared" si="39"/>
        <v>8703.2000000000007</v>
      </c>
      <c r="F47" s="18">
        <f t="shared" si="39"/>
        <v>10008.680000000002</v>
      </c>
      <c r="G47" s="18">
        <f t="shared" si="39"/>
        <v>12010.416000000001</v>
      </c>
      <c r="H47" s="18">
        <f t="shared" si="39"/>
        <v>13811.9784</v>
      </c>
      <c r="I47" s="18">
        <f t="shared" si="39"/>
        <v>14502.57732</v>
      </c>
      <c r="L47" s="3" t="s">
        <v>28</v>
      </c>
      <c r="M47" s="29">
        <f>WACC!L17</f>
        <v>16427</v>
      </c>
    </row>
    <row r="48" spans="2:18">
      <c r="B48" s="42" t="s">
        <v>23</v>
      </c>
      <c r="C48" s="133">
        <f t="shared" si="38"/>
        <v>2.5314272816954628E-2</v>
      </c>
      <c r="D48" s="19">
        <v>9982</v>
      </c>
      <c r="E48" s="18">
        <f t="shared" si="39"/>
        <v>10980.2</v>
      </c>
      <c r="F48" s="18">
        <f t="shared" si="39"/>
        <v>12627.23</v>
      </c>
      <c r="G48" s="18">
        <f t="shared" si="39"/>
        <v>15152.675999999999</v>
      </c>
      <c r="H48" s="18">
        <f t="shared" si="39"/>
        <v>17425.577399999998</v>
      </c>
      <c r="I48" s="18">
        <f t="shared" si="39"/>
        <v>18296.85627</v>
      </c>
      <c r="L48" s="4" t="s">
        <v>75</v>
      </c>
      <c r="M48" s="147">
        <f>M46/M47</f>
        <v>169.59798335834634</v>
      </c>
    </row>
    <row r="49" spans="2:16">
      <c r="B49" s="42" t="s">
        <v>24</v>
      </c>
      <c r="C49" s="133">
        <f t="shared" si="38"/>
        <v>2.8220519726214296E-2</v>
      </c>
      <c r="D49" s="19">
        <v>11128</v>
      </c>
      <c r="E49" s="18">
        <f t="shared" si="39"/>
        <v>12240.800000000001</v>
      </c>
      <c r="F49" s="18">
        <f t="shared" si="39"/>
        <v>14076.92</v>
      </c>
      <c r="G49" s="18">
        <f t="shared" si="39"/>
        <v>16892.304</v>
      </c>
      <c r="H49" s="18">
        <f t="shared" si="39"/>
        <v>19426.149599999997</v>
      </c>
      <c r="I49" s="18">
        <f t="shared" si="39"/>
        <v>20397.45708</v>
      </c>
      <c r="N49" s="1"/>
    </row>
    <row r="50" spans="2:16" ht="17.5">
      <c r="B50" s="42" t="s">
        <v>54</v>
      </c>
      <c r="C50" s="133"/>
      <c r="D50" s="19">
        <v>153982</v>
      </c>
      <c r="E50" s="18">
        <f>SUM(E45:E49)</f>
        <v>169380.2</v>
      </c>
      <c r="F50" s="18">
        <f t="shared" ref="F50:I50" si="40">SUM(F45:F49)</f>
        <v>194787.23000000004</v>
      </c>
      <c r="G50" s="18">
        <f t="shared" si="40"/>
        <v>233744.67600000004</v>
      </c>
      <c r="H50" s="18">
        <f t="shared" si="40"/>
        <v>268806.37739999994</v>
      </c>
      <c r="I50" s="18">
        <f t="shared" si="40"/>
        <v>282246.69627000001</v>
      </c>
      <c r="L50" s="48" t="s">
        <v>233</v>
      </c>
      <c r="M50" s="53" t="s">
        <v>31</v>
      </c>
      <c r="N50" s="55" t="s">
        <v>231</v>
      </c>
      <c r="O50" s="55" t="s">
        <v>232</v>
      </c>
    </row>
    <row r="51" spans="2:16">
      <c r="C51" s="133"/>
      <c r="D51" s="7"/>
      <c r="E51" s="18"/>
      <c r="F51" s="18"/>
      <c r="G51" s="18"/>
      <c r="H51" s="18"/>
      <c r="I51" s="18"/>
      <c r="L51" s="1" t="s">
        <v>77</v>
      </c>
      <c r="M51" s="34">
        <f>O51*E18/M47</f>
        <v>162.49827059438974</v>
      </c>
      <c r="N51" s="33">
        <f>M58/(N28/M47)</f>
        <v>27.292967388374905</v>
      </c>
      <c r="O51" s="34">
        <v>28.07</v>
      </c>
      <c r="P51" s="47"/>
    </row>
    <row r="52" spans="2:16">
      <c r="B52" s="42" t="s">
        <v>26</v>
      </c>
      <c r="C52" s="133"/>
      <c r="D52" s="7"/>
      <c r="E52" s="18"/>
      <c r="F52" s="18"/>
      <c r="G52" s="18"/>
      <c r="H52" s="18"/>
      <c r="I52" s="18"/>
      <c r="L52" s="1" t="s">
        <v>199</v>
      </c>
      <c r="M52" s="34">
        <f>O52*D65/M47</f>
        <v>19.248388628477507</v>
      </c>
      <c r="N52" s="33">
        <f>M19/E65</f>
        <v>40.988365881454378</v>
      </c>
      <c r="O52" s="7">
        <v>6.24</v>
      </c>
      <c r="P52" s="47"/>
    </row>
    <row r="53" spans="2:16">
      <c r="B53" s="42" t="s">
        <v>24</v>
      </c>
      <c r="C53" s="133">
        <f t="shared" ref="C53:C54" si="41">D53/$D$8</f>
        <v>0.2509592389995004</v>
      </c>
      <c r="D53" s="19">
        <v>98959</v>
      </c>
      <c r="E53" s="18">
        <f t="shared" ref="E53:I54" si="42">$C53*E$8</f>
        <v>108854.90000000001</v>
      </c>
      <c r="F53" s="18">
        <f t="shared" si="42"/>
        <v>125183.13500000001</v>
      </c>
      <c r="G53" s="18">
        <f t="shared" si="42"/>
        <v>150219.76199999999</v>
      </c>
      <c r="H53" s="18">
        <f t="shared" si="42"/>
        <v>172752.72629999998</v>
      </c>
      <c r="I53" s="18">
        <f t="shared" si="42"/>
        <v>181390.36261499999</v>
      </c>
      <c r="L53" s="1" t="s">
        <v>200</v>
      </c>
      <c r="M53" s="34">
        <f>O53*D8/M47</f>
        <v>81.855568880501622</v>
      </c>
      <c r="N53" s="33">
        <f>M19/E8</f>
        <v>5.9837101702273143</v>
      </c>
      <c r="O53" s="7">
        <v>3.41</v>
      </c>
    </row>
    <row r="54" spans="2:16">
      <c r="B54" s="42" t="s">
        <v>25</v>
      </c>
      <c r="C54" s="133">
        <f t="shared" si="41"/>
        <v>0.12462372217699703</v>
      </c>
      <c r="D54" s="19">
        <v>49142</v>
      </c>
      <c r="E54" s="18">
        <f t="shared" si="42"/>
        <v>54056.200000000004</v>
      </c>
      <c r="F54" s="18">
        <f t="shared" si="42"/>
        <v>62164.630000000005</v>
      </c>
      <c r="G54" s="18">
        <f t="shared" si="42"/>
        <v>74597.555999999997</v>
      </c>
      <c r="H54" s="18">
        <f t="shared" si="42"/>
        <v>85787.189399999988</v>
      </c>
      <c r="I54" s="18">
        <f t="shared" si="42"/>
        <v>90076.548869999999</v>
      </c>
      <c r="L54" s="1" t="s">
        <v>201</v>
      </c>
      <c r="M54" s="34">
        <f>((E13+N30)*O54-M45)/M47</f>
        <v>171.00938077443445</v>
      </c>
      <c r="N54" s="33">
        <f>M44/(E13+N30)</f>
        <v>24.565881498642344</v>
      </c>
      <c r="O54" s="7">
        <v>24.76</v>
      </c>
    </row>
    <row r="55" spans="2:16">
      <c r="B55" s="44" t="s">
        <v>55</v>
      </c>
      <c r="C55" s="134"/>
      <c r="D55" s="25">
        <v>148101</v>
      </c>
      <c r="E55" s="24">
        <f>SUM(E53:E54)</f>
        <v>162911.1</v>
      </c>
      <c r="F55" s="24">
        <f t="shared" ref="F55:I55" si="43">SUM(F53:F54)</f>
        <v>187347.76500000001</v>
      </c>
      <c r="G55" s="24">
        <f t="shared" si="43"/>
        <v>224817.31799999997</v>
      </c>
      <c r="H55" s="24">
        <f t="shared" si="43"/>
        <v>258539.91569999995</v>
      </c>
      <c r="I55" s="24">
        <f t="shared" si="43"/>
        <v>271466.91148499999</v>
      </c>
      <c r="N55" s="1"/>
    </row>
    <row r="56" spans="2:16" ht="18" thickBot="1">
      <c r="B56" s="45" t="s">
        <v>56</v>
      </c>
      <c r="C56" s="135"/>
      <c r="D56" s="35">
        <v>302083</v>
      </c>
      <c r="E56" s="27">
        <f>E55+E50</f>
        <v>332291.30000000005</v>
      </c>
      <c r="F56" s="27">
        <f t="shared" ref="F56:I56" si="44">F55+F50</f>
        <v>382134.99500000005</v>
      </c>
      <c r="G56" s="27">
        <f t="shared" si="44"/>
        <v>458561.99400000001</v>
      </c>
      <c r="H56" s="27">
        <f t="shared" si="44"/>
        <v>527346.29309999989</v>
      </c>
      <c r="I56" s="27">
        <f t="shared" si="44"/>
        <v>553713.607755</v>
      </c>
      <c r="L56" s="48" t="s">
        <v>202</v>
      </c>
      <c r="M56" s="54" t="s">
        <v>31</v>
      </c>
      <c r="N56" s="1"/>
    </row>
    <row r="57" spans="2:16">
      <c r="C57" s="43"/>
      <c r="E57" s="20"/>
      <c r="F57" s="20"/>
      <c r="G57" s="20"/>
      <c r="H57" s="20"/>
      <c r="I57" s="20"/>
      <c r="L57" s="4" t="s">
        <v>217</v>
      </c>
      <c r="M57" s="56">
        <f>M48*50%+M51*25%+M54*25%</f>
        <v>168.17590452137921</v>
      </c>
      <c r="N57" s="1"/>
    </row>
    <row r="58" spans="2:16" ht="16" thickBot="1">
      <c r="B58" s="42" t="s">
        <v>57</v>
      </c>
      <c r="C58" s="43"/>
      <c r="E58" s="20"/>
      <c r="F58" s="20"/>
      <c r="G58" s="20"/>
      <c r="H58" s="20"/>
      <c r="I58" s="20"/>
      <c r="L58" s="5" t="s">
        <v>73</v>
      </c>
      <c r="M58" s="57">
        <f>WACC!L16</f>
        <v>158</v>
      </c>
      <c r="N58" s="1"/>
    </row>
    <row r="59" spans="2:16">
      <c r="B59" s="45" t="s">
        <v>99</v>
      </c>
      <c r="C59" s="43"/>
      <c r="E59" s="20"/>
      <c r="F59" s="20"/>
      <c r="G59" s="20"/>
      <c r="H59" s="20"/>
      <c r="I59" s="20"/>
      <c r="L59" s="4" t="s">
        <v>30</v>
      </c>
      <c r="M59" s="56">
        <f>M57-M58</f>
        <v>10.175904521379209</v>
      </c>
      <c r="N59" s="1"/>
    </row>
    <row r="60" spans="2:16" ht="16" thickBot="1">
      <c r="B60" s="42" t="s">
        <v>58</v>
      </c>
      <c r="C60" s="43"/>
      <c r="E60" s="20"/>
      <c r="F60" s="20"/>
      <c r="G60" s="20"/>
      <c r="H60" s="20"/>
      <c r="I60" s="20"/>
      <c r="L60" s="5" t="s">
        <v>32</v>
      </c>
      <c r="M60" s="58">
        <f>M59/M58</f>
        <v>6.4404458996070946E-2</v>
      </c>
      <c r="N60" s="1"/>
    </row>
    <row r="61" spans="2:16" ht="16" thickBot="1">
      <c r="B61" s="42" t="s">
        <v>59</v>
      </c>
      <c r="C61" s="43"/>
      <c r="E61" s="20"/>
      <c r="F61" s="20"/>
      <c r="G61" s="20"/>
      <c r="H61" s="20"/>
      <c r="I61" s="20"/>
      <c r="L61" s="4" t="s">
        <v>76</v>
      </c>
      <c r="M61" s="59" t="s">
        <v>236</v>
      </c>
      <c r="N61" s="1"/>
    </row>
    <row r="62" spans="2:16">
      <c r="B62" s="42" t="s">
        <v>60</v>
      </c>
      <c r="C62" s="133"/>
      <c r="D62" s="19">
        <v>64849</v>
      </c>
      <c r="E62" s="18">
        <f>D62</f>
        <v>64849</v>
      </c>
      <c r="F62" s="18">
        <f t="shared" ref="F62:I62" si="45">E62</f>
        <v>64849</v>
      </c>
      <c r="G62" s="18">
        <f t="shared" si="45"/>
        <v>64849</v>
      </c>
      <c r="H62" s="18">
        <f t="shared" si="45"/>
        <v>64849</v>
      </c>
      <c r="I62" s="18">
        <f t="shared" si="45"/>
        <v>64849</v>
      </c>
    </row>
    <row r="63" spans="2:16">
      <c r="B63" s="42" t="s">
        <v>27</v>
      </c>
      <c r="C63" s="133"/>
      <c r="D63" s="19">
        <v>-3068</v>
      </c>
      <c r="E63" s="18">
        <f>D63+E18-E19-E20</f>
        <v>10692.916971999999</v>
      </c>
      <c r="F63" s="18">
        <f t="shared" ref="F63:I63" si="46">E63+F18-F19-F20</f>
        <v>35596.469918799994</v>
      </c>
      <c r="G63" s="18">
        <f t="shared" si="46"/>
        <v>75920.009011119982</v>
      </c>
      <c r="H63" s="18">
        <f t="shared" si="46"/>
        <v>113591.08645098396</v>
      </c>
      <c r="I63" s="18">
        <f t="shared" si="46"/>
        <v>136304.75400402967</v>
      </c>
      <c r="N63" s="1"/>
    </row>
    <row r="64" spans="2:16">
      <c r="B64" s="42" t="s">
        <v>61</v>
      </c>
      <c r="C64" s="133">
        <f>D64/D8</f>
        <v>-2.8172335876933376E-2</v>
      </c>
      <c r="D64" s="19">
        <v>-11109</v>
      </c>
      <c r="E64" s="18">
        <f t="shared" ref="E64:I64" si="47">$C64*E$8</f>
        <v>-12219.900000000001</v>
      </c>
      <c r="F64" s="18">
        <f t="shared" si="47"/>
        <v>-14052.885</v>
      </c>
      <c r="G64" s="18">
        <f t="shared" si="47"/>
        <v>-16863.462</v>
      </c>
      <c r="H64" s="18">
        <f t="shared" si="47"/>
        <v>-19392.981299999996</v>
      </c>
      <c r="I64" s="18">
        <f t="shared" si="47"/>
        <v>-20362.630365000001</v>
      </c>
      <c r="N64" s="1"/>
    </row>
    <row r="65" spans="2:14">
      <c r="B65" s="46" t="s">
        <v>62</v>
      </c>
      <c r="C65" s="136"/>
      <c r="D65" s="36">
        <v>50672</v>
      </c>
      <c r="E65" s="37">
        <f>SUM(E62:E64)</f>
        <v>63322.016972000005</v>
      </c>
      <c r="F65" s="37">
        <f t="shared" ref="F65:I65" si="48">SUM(F62:F64)</f>
        <v>86392.584918799999</v>
      </c>
      <c r="G65" s="37">
        <f t="shared" si="48"/>
        <v>123905.54701111998</v>
      </c>
      <c r="H65" s="37">
        <f t="shared" si="48"/>
        <v>159047.10515098396</v>
      </c>
      <c r="I65" s="37">
        <f t="shared" si="48"/>
        <v>180791.12363902968</v>
      </c>
      <c r="N65" s="1"/>
    </row>
    <row r="66" spans="2:14">
      <c r="B66" s="45" t="s">
        <v>63</v>
      </c>
      <c r="C66" s="135"/>
      <c r="D66" s="26">
        <v>352755</v>
      </c>
      <c r="E66" s="27">
        <f>E56+E65</f>
        <v>395613.31697200006</v>
      </c>
      <c r="F66" s="27">
        <f t="shared" ref="F66:I66" si="49">F56+F65</f>
        <v>468527.57991880004</v>
      </c>
      <c r="G66" s="27">
        <f t="shared" si="49"/>
        <v>582467.54101111996</v>
      </c>
      <c r="H66" s="27">
        <f t="shared" si="49"/>
        <v>686393.3982509838</v>
      </c>
      <c r="I66" s="27">
        <f t="shared" si="49"/>
        <v>734504.73139402969</v>
      </c>
      <c r="N66" s="1"/>
    </row>
    <row r="67" spans="2:14">
      <c r="E67" s="1"/>
      <c r="N67" s="1"/>
    </row>
    <row r="68" spans="2:14">
      <c r="B68" s="4"/>
      <c r="E68" s="1"/>
      <c r="N68" s="1"/>
    </row>
    <row r="69" spans="2:14">
      <c r="E69" s="1"/>
    </row>
    <row r="70" spans="2:14">
      <c r="E70" s="1"/>
      <c r="N70" s="1"/>
    </row>
    <row r="71" spans="2:14">
      <c r="E71" s="1"/>
      <c r="N71" s="1"/>
    </row>
    <row r="72" spans="2:14">
      <c r="E72" s="1"/>
      <c r="N72" s="1"/>
    </row>
    <row r="73" spans="2:14">
      <c r="E73" s="1"/>
      <c r="N73" s="1"/>
    </row>
    <row r="74" spans="2:14">
      <c r="E74" s="1"/>
      <c r="N74" s="1"/>
    </row>
    <row r="75" spans="2:14">
      <c r="E75" s="1"/>
    </row>
    <row r="76" spans="2:14">
      <c r="E76" s="1"/>
    </row>
    <row r="77" spans="2:14">
      <c r="E77" s="1"/>
    </row>
    <row r="78" spans="2:14">
      <c r="E78" s="1"/>
    </row>
    <row r="79" spans="2:14">
      <c r="E79" s="1"/>
    </row>
    <row r="80" spans="2:14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13E7-315E-0B42-84AE-C13452B7C993}">
  <sheetPr>
    <pageSetUpPr fitToPage="1"/>
  </sheetPr>
  <dimension ref="B2:T125"/>
  <sheetViews>
    <sheetView showGridLines="0" tabSelected="1" zoomScale="38" zoomScaleNormal="79" workbookViewId="0">
      <selection activeCell="M63" sqref="M63"/>
    </sheetView>
  </sheetViews>
  <sheetFormatPr defaultColWidth="10.83203125" defaultRowHeight="15.5"/>
  <cols>
    <col min="1" max="1" width="2" style="1" customWidth="1"/>
    <col min="2" max="2" width="39.5" style="1" customWidth="1"/>
    <col min="3" max="4" width="12.83203125" style="1" customWidth="1"/>
    <col min="5" max="5" width="12.83203125" style="39" customWidth="1"/>
    <col min="6" max="10" width="12.83203125" style="1" customWidth="1"/>
    <col min="11" max="11" width="4.33203125" style="1" customWidth="1"/>
    <col min="12" max="12" width="38.6640625" style="1" customWidth="1"/>
    <col min="13" max="13" width="12.83203125" style="1" customWidth="1"/>
    <col min="14" max="14" width="12.83203125" style="47" customWidth="1"/>
    <col min="15" max="18" width="12.83203125" style="1" customWidth="1"/>
    <col min="19" max="19" width="14.1640625" style="1" customWidth="1"/>
    <col min="20" max="16384" width="10.83203125" style="1"/>
  </cols>
  <sheetData>
    <row r="2" spans="2:19" ht="30" customHeight="1">
      <c r="B2" s="146" t="s">
        <v>223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2:19" ht="17.5">
      <c r="E3" s="1"/>
      <c r="G3" s="2"/>
    </row>
    <row r="4" spans="2:19" ht="20">
      <c r="B4" s="144" t="s">
        <v>35</v>
      </c>
      <c r="C4" s="3"/>
      <c r="D4" s="3"/>
      <c r="E4" s="3"/>
      <c r="F4" s="3"/>
      <c r="G4" s="3"/>
      <c r="H4" s="3"/>
      <c r="I4" s="3"/>
      <c r="J4" s="3"/>
      <c r="L4" s="144" t="s">
        <v>222</v>
      </c>
      <c r="M4" s="3"/>
      <c r="N4" s="3"/>
      <c r="O4" s="3"/>
      <c r="P4" s="3"/>
      <c r="Q4" s="3"/>
      <c r="R4" s="3"/>
      <c r="S4" s="3"/>
    </row>
    <row r="5" spans="2:19" ht="17.5">
      <c r="B5" s="2"/>
      <c r="E5" s="1"/>
      <c r="L5" s="2"/>
      <c r="N5" s="1"/>
    </row>
    <row r="6" spans="2:19">
      <c r="B6" s="4" t="s">
        <v>80</v>
      </c>
      <c r="E6" s="1"/>
      <c r="L6" s="47"/>
      <c r="N6" s="1"/>
    </row>
    <row r="7" spans="2:19" ht="17.5">
      <c r="B7" s="5" t="s">
        <v>214</v>
      </c>
      <c r="C7" s="6" t="s">
        <v>81</v>
      </c>
      <c r="D7" s="6" t="s">
        <v>213</v>
      </c>
      <c r="E7" s="5">
        <v>2023</v>
      </c>
      <c r="F7" s="5">
        <v>2024</v>
      </c>
      <c r="G7" s="5">
        <v>2025</v>
      </c>
      <c r="H7" s="5">
        <v>2026</v>
      </c>
      <c r="I7" s="5">
        <v>2027</v>
      </c>
      <c r="J7" s="55" t="s">
        <v>226</v>
      </c>
      <c r="L7" s="48" t="s">
        <v>74</v>
      </c>
      <c r="M7" s="6" t="s">
        <v>213</v>
      </c>
      <c r="N7" s="5">
        <v>2023</v>
      </c>
      <c r="O7" s="5">
        <v>2024</v>
      </c>
      <c r="P7" s="5">
        <v>2025</v>
      </c>
      <c r="Q7" s="5">
        <v>2026</v>
      </c>
      <c r="R7" s="5">
        <v>2027</v>
      </c>
      <c r="S7" s="55" t="s">
        <v>226</v>
      </c>
    </row>
    <row r="8" spans="2:19">
      <c r="B8" s="1" t="s">
        <v>36</v>
      </c>
      <c r="C8" s="132">
        <f t="shared" ref="C8:C20" si="0">D8/$D$8</f>
        <v>1</v>
      </c>
      <c r="D8" s="8">
        <v>394323</v>
      </c>
      <c r="E8" s="8">
        <f>D8*(1+N8)</f>
        <v>433755.30000000005</v>
      </c>
      <c r="F8" s="8">
        <f>E8*(1+O8)</f>
        <v>498818.59500000003</v>
      </c>
      <c r="G8" s="8">
        <f>F8*(1+P8)</f>
        <v>598582.31400000001</v>
      </c>
      <c r="H8" s="8">
        <f>G8*(1+Q8)</f>
        <v>688369.66109999991</v>
      </c>
      <c r="I8" s="8">
        <f>H8*(1+R8)</f>
        <v>722788.14415499999</v>
      </c>
      <c r="J8" s="40"/>
      <c r="L8" s="1" t="s">
        <v>203</v>
      </c>
      <c r="N8" s="9">
        <v>0.1</v>
      </c>
      <c r="O8" s="9">
        <v>0.15</v>
      </c>
      <c r="P8" s="9">
        <v>0.2</v>
      </c>
      <c r="Q8" s="9">
        <v>0.15</v>
      </c>
      <c r="R8" s="9">
        <v>0.05</v>
      </c>
      <c r="S8" s="40"/>
    </row>
    <row r="9" spans="2:19" ht="17">
      <c r="B9" s="22" t="s">
        <v>82</v>
      </c>
      <c r="C9" s="132">
        <f t="shared" si="0"/>
        <v>0.56691088270275891</v>
      </c>
      <c r="D9" s="10">
        <v>223546</v>
      </c>
      <c r="E9" s="11">
        <f>N9*E8</f>
        <v>260253.18000000002</v>
      </c>
      <c r="F9" s="11">
        <f>O9*F8</f>
        <v>309267.52890000003</v>
      </c>
      <c r="G9" s="11">
        <f>P9*G8</f>
        <v>383092.68096000003</v>
      </c>
      <c r="H9" s="11">
        <f>Q9*H8</f>
        <v>433672.88649299997</v>
      </c>
      <c r="I9" s="11">
        <f>R9*I8</f>
        <v>448128.64937609999</v>
      </c>
      <c r="J9" s="41"/>
      <c r="L9" s="1" t="s">
        <v>204</v>
      </c>
      <c r="M9" s="9">
        <v>0.56999999999999995</v>
      </c>
      <c r="N9" s="9">
        <v>0.6</v>
      </c>
      <c r="O9" s="9">
        <v>0.62</v>
      </c>
      <c r="P9" s="9">
        <v>0.64</v>
      </c>
      <c r="Q9" s="9">
        <v>0.63</v>
      </c>
      <c r="R9" s="9">
        <v>0.62</v>
      </c>
      <c r="S9" s="41"/>
    </row>
    <row r="10" spans="2:19">
      <c r="B10" s="1" t="s">
        <v>37</v>
      </c>
      <c r="C10" s="132">
        <f t="shared" si="0"/>
        <v>0.43308911729724109</v>
      </c>
      <c r="D10" s="8">
        <f>D8-D9</f>
        <v>170777</v>
      </c>
      <c r="E10" s="8">
        <f t="shared" ref="E10:I10" si="1">E8-E9</f>
        <v>173502.12000000002</v>
      </c>
      <c r="F10" s="8">
        <f t="shared" si="1"/>
        <v>189551.0661</v>
      </c>
      <c r="G10" s="8">
        <f t="shared" si="1"/>
        <v>215489.63303999999</v>
      </c>
      <c r="H10" s="8">
        <f t="shared" si="1"/>
        <v>254696.77460699994</v>
      </c>
      <c r="I10" s="8">
        <f t="shared" si="1"/>
        <v>274659.4947789</v>
      </c>
      <c r="J10" s="40"/>
      <c r="L10" s="1" t="s">
        <v>205</v>
      </c>
      <c r="M10" s="9">
        <v>7.0000000000000007E-2</v>
      </c>
      <c r="N10" s="9">
        <v>7.0000000000000007E-2</v>
      </c>
      <c r="O10" s="9">
        <v>0.08</v>
      </c>
      <c r="P10" s="9">
        <v>0.09</v>
      </c>
      <c r="Q10" s="9">
        <v>0.08</v>
      </c>
      <c r="R10" s="9">
        <v>7.0000000000000007E-2</v>
      </c>
      <c r="S10" s="40"/>
    </row>
    <row r="11" spans="2:19">
      <c r="B11" s="1" t="s">
        <v>83</v>
      </c>
      <c r="C11" s="132">
        <f t="shared" si="0"/>
        <v>6.6572327761758768E-2</v>
      </c>
      <c r="D11" s="8">
        <v>26251</v>
      </c>
      <c r="E11" s="8">
        <f>E8*N10</f>
        <v>30362.871000000006</v>
      </c>
      <c r="F11" s="8">
        <f>F8*O10</f>
        <v>39905.4876</v>
      </c>
      <c r="G11" s="8">
        <f>G8*P10</f>
        <v>53872.408259999997</v>
      </c>
      <c r="H11" s="8">
        <f>H8*Q10</f>
        <v>55069.572887999995</v>
      </c>
      <c r="I11" s="8">
        <f>I8*R10</f>
        <v>50595.170090850006</v>
      </c>
      <c r="J11" s="40"/>
      <c r="L11" s="1" t="s">
        <v>206</v>
      </c>
      <c r="M11" s="9">
        <v>0.06</v>
      </c>
      <c r="N11" s="9">
        <v>0.08</v>
      </c>
      <c r="O11" s="9">
        <v>0.09</v>
      </c>
      <c r="P11" s="9">
        <v>0.1</v>
      </c>
      <c r="Q11" s="9">
        <v>0.08</v>
      </c>
      <c r="R11" s="9">
        <v>7.0000000000000007E-2</v>
      </c>
      <c r="S11" s="40"/>
    </row>
    <row r="12" spans="2:19" ht="17">
      <c r="B12" s="22" t="s">
        <v>84</v>
      </c>
      <c r="C12" s="132">
        <f t="shared" si="0"/>
        <v>6.3638184939757508E-2</v>
      </c>
      <c r="D12" s="10">
        <v>25094</v>
      </c>
      <c r="E12" s="11">
        <f>N11*E8</f>
        <v>34700.424000000006</v>
      </c>
      <c r="F12" s="11">
        <f>O11*F8</f>
        <v>44893.67355</v>
      </c>
      <c r="G12" s="11">
        <f>P11*G8</f>
        <v>59858.231400000004</v>
      </c>
      <c r="H12" s="11">
        <f>Q11*H8</f>
        <v>55069.572887999995</v>
      </c>
      <c r="I12" s="11">
        <f>R11*I8</f>
        <v>50595.170090850006</v>
      </c>
      <c r="J12" s="40"/>
      <c r="L12" s="1" t="s">
        <v>207</v>
      </c>
      <c r="M12" s="12">
        <v>7.0000000000000001E-3</v>
      </c>
      <c r="N12" s="12">
        <v>0.01</v>
      </c>
      <c r="O12" s="12">
        <v>1.2E-2</v>
      </c>
      <c r="P12" s="12">
        <v>1.4E-2</v>
      </c>
      <c r="Q12" s="12">
        <v>1.2999999999999999E-2</v>
      </c>
      <c r="R12" s="12">
        <v>1.2E-2</v>
      </c>
      <c r="S12" s="40"/>
    </row>
    <row r="13" spans="2:19">
      <c r="B13" s="1" t="s">
        <v>38</v>
      </c>
      <c r="C13" s="132">
        <f t="shared" si="0"/>
        <v>0.3028786045957248</v>
      </c>
      <c r="D13" s="8">
        <f>D10-D11-D12</f>
        <v>119432</v>
      </c>
      <c r="E13" s="8">
        <f>E10-E11-E12</f>
        <v>108438.82500000001</v>
      </c>
      <c r="F13" s="8">
        <f t="shared" ref="F13:I13" si="2">F10-F11-F12</f>
        <v>104751.90495</v>
      </c>
      <c r="G13" s="8">
        <f t="shared" si="2"/>
        <v>101758.99337999999</v>
      </c>
      <c r="H13" s="8">
        <f t="shared" si="2"/>
        <v>144557.62883099995</v>
      </c>
      <c r="I13" s="8">
        <f t="shared" si="2"/>
        <v>173469.15459719999</v>
      </c>
      <c r="J13" s="40"/>
      <c r="L13" s="1" t="s">
        <v>208</v>
      </c>
      <c r="M13" s="12">
        <v>7.0000000000000001E-3</v>
      </c>
      <c r="N13" s="12">
        <v>8.0000000000000002E-3</v>
      </c>
      <c r="O13" s="12">
        <v>8.9999999999999993E-3</v>
      </c>
      <c r="P13" s="12">
        <v>8.0000000000000002E-3</v>
      </c>
      <c r="Q13" s="12">
        <v>7.0000000000000001E-3</v>
      </c>
      <c r="R13" s="12">
        <v>6.0000000000000001E-3</v>
      </c>
      <c r="S13" s="40"/>
    </row>
    <row r="14" spans="2:19">
      <c r="B14" s="1" t="s">
        <v>66</v>
      </c>
      <c r="C14" s="132">
        <f t="shared" si="0"/>
        <v>7.3619849717110088E-3</v>
      </c>
      <c r="D14" s="8">
        <v>2903</v>
      </c>
      <c r="E14" s="8">
        <f>E8*N12</f>
        <v>4337.5530000000008</v>
      </c>
      <c r="F14" s="8">
        <f>F8*O12</f>
        <v>5985.8231400000004</v>
      </c>
      <c r="G14" s="8">
        <f>G8*P12</f>
        <v>8380.1523959999995</v>
      </c>
      <c r="H14" s="8">
        <f>H8*Q12</f>
        <v>8948.8055942999981</v>
      </c>
      <c r="I14" s="8">
        <f>I8*R12</f>
        <v>8673.4577298599997</v>
      </c>
      <c r="J14" s="40"/>
      <c r="L14" s="1" t="s">
        <v>209</v>
      </c>
      <c r="M14" s="12">
        <v>0.22900000000000001</v>
      </c>
      <c r="N14" s="12">
        <v>0.15</v>
      </c>
      <c r="O14" s="12">
        <v>0.1</v>
      </c>
      <c r="P14" s="12">
        <v>0.05</v>
      </c>
      <c r="Q14" s="12">
        <v>0.1</v>
      </c>
      <c r="R14" s="12">
        <v>0.15</v>
      </c>
      <c r="S14" s="40"/>
    </row>
    <row r="15" spans="2:19" ht="17">
      <c r="B15" s="22" t="s">
        <v>85</v>
      </c>
      <c r="C15" s="132">
        <f t="shared" si="0"/>
        <v>6.7076990183174709E-3</v>
      </c>
      <c r="D15" s="10">
        <v>2645</v>
      </c>
      <c r="E15" s="11">
        <f>N13*E8</f>
        <v>3470.0424000000003</v>
      </c>
      <c r="F15" s="11">
        <f>O13*F8</f>
        <v>4489.3673550000003</v>
      </c>
      <c r="G15" s="11">
        <f>P13*G8</f>
        <v>4788.658512</v>
      </c>
      <c r="H15" s="11">
        <f>Q13*H8</f>
        <v>4818.5876276999998</v>
      </c>
      <c r="I15" s="11">
        <f>R13*I8</f>
        <v>4336.7288649299999</v>
      </c>
      <c r="J15" s="40"/>
      <c r="L15" s="1" t="s">
        <v>210</v>
      </c>
      <c r="M15" s="9">
        <v>0.11</v>
      </c>
      <c r="N15" s="9">
        <v>0.12</v>
      </c>
      <c r="O15" s="9">
        <v>0.13</v>
      </c>
      <c r="P15" s="9">
        <v>0.14000000000000001</v>
      </c>
      <c r="Q15" s="9">
        <v>0.15</v>
      </c>
      <c r="R15" s="9">
        <v>0.15</v>
      </c>
      <c r="S15" s="40"/>
    </row>
    <row r="16" spans="2:19">
      <c r="B16" s="1" t="s">
        <v>39</v>
      </c>
      <c r="C16" s="132">
        <f t="shared" si="0"/>
        <v>0.30353289054911836</v>
      </c>
      <c r="D16" s="8">
        <f>D13+D14-D15</f>
        <v>119690</v>
      </c>
      <c r="E16" s="8">
        <f>E13+E14-E15</f>
        <v>109306.33560000001</v>
      </c>
      <c r="F16" s="8">
        <f t="shared" ref="F16:I16" si="3">F13+F14-F15</f>
        <v>106248.36073499999</v>
      </c>
      <c r="G16" s="8">
        <f t="shared" si="3"/>
        <v>105350.487264</v>
      </c>
      <c r="H16" s="8">
        <f t="shared" si="3"/>
        <v>148687.84679759995</v>
      </c>
      <c r="I16" s="8">
        <f t="shared" si="3"/>
        <v>177805.88346213</v>
      </c>
      <c r="J16" s="40"/>
      <c r="L16" s="1" t="s">
        <v>211</v>
      </c>
      <c r="M16" s="9">
        <v>0.21</v>
      </c>
      <c r="N16" s="9">
        <f>M16</f>
        <v>0.21</v>
      </c>
      <c r="O16" s="9">
        <f>N16</f>
        <v>0.21</v>
      </c>
      <c r="P16" s="9">
        <f t="shared" ref="P16:R16" si="4">O16</f>
        <v>0.21</v>
      </c>
      <c r="Q16" s="9">
        <f t="shared" si="4"/>
        <v>0.21</v>
      </c>
      <c r="R16" s="9">
        <f t="shared" si="4"/>
        <v>0.21</v>
      </c>
      <c r="S16" s="40"/>
    </row>
    <row r="17" spans="2:19" ht="17">
      <c r="B17" s="22" t="s">
        <v>86</v>
      </c>
      <c r="C17" s="132">
        <f t="shared" si="0"/>
        <v>4.8944646901144494E-2</v>
      </c>
      <c r="D17" s="10">
        <v>19300</v>
      </c>
      <c r="E17" s="11">
        <f>E16*N17</f>
        <v>14209.823628000002</v>
      </c>
      <c r="F17" s="11">
        <f>F16*O17</f>
        <v>12749.803288199999</v>
      </c>
      <c r="G17" s="11">
        <f>G16*P17</f>
        <v>12642.058471679999</v>
      </c>
      <c r="H17" s="11">
        <f>H16*Q17</f>
        <v>16355.663147735995</v>
      </c>
      <c r="I17" s="11">
        <f>I16*R17</f>
        <v>19558.647180834301</v>
      </c>
      <c r="J17" s="40"/>
      <c r="L17" s="3" t="s">
        <v>212</v>
      </c>
      <c r="M17" s="13">
        <f>E17/E16</f>
        <v>0.13</v>
      </c>
      <c r="N17" s="13">
        <v>0.13</v>
      </c>
      <c r="O17" s="13">
        <v>0.12</v>
      </c>
      <c r="P17" s="13">
        <v>0.12</v>
      </c>
      <c r="Q17" s="13">
        <v>0.11</v>
      </c>
      <c r="R17" s="13">
        <v>0.11</v>
      </c>
      <c r="S17" s="61"/>
    </row>
    <row r="18" spans="2:19" ht="19" customHeight="1">
      <c r="B18" s="1" t="s">
        <v>41</v>
      </c>
      <c r="C18" s="132">
        <f t="shared" si="0"/>
        <v>0.2530996163044002</v>
      </c>
      <c r="D18" s="8">
        <v>99803</v>
      </c>
      <c r="E18" s="8">
        <f>E16-E17</f>
        <v>95096.511972000008</v>
      </c>
      <c r="F18" s="8">
        <f t="shared" ref="F18:I18" si="5">F16-F17</f>
        <v>93498.557446799998</v>
      </c>
      <c r="G18" s="8">
        <f t="shared" si="5"/>
        <v>92708.428792320003</v>
      </c>
      <c r="H18" s="8">
        <f t="shared" si="5"/>
        <v>132332.18364986396</v>
      </c>
      <c r="I18" s="8">
        <f t="shared" si="5"/>
        <v>158247.23628129571</v>
      </c>
      <c r="J18" s="40"/>
      <c r="L18" s="1" t="s">
        <v>193</v>
      </c>
      <c r="M18" s="8">
        <f>M19/D18</f>
        <v>26.005891606464736</v>
      </c>
      <c r="N18" s="8">
        <f>$M18+1*($R18-$M18)/5</f>
        <v>26.80471328517179</v>
      </c>
      <c r="O18" s="8">
        <f>$M18+2*($R18-$M18)/5</f>
        <v>27.603534963878843</v>
      </c>
      <c r="P18" s="8">
        <f>$M18+3*($R18-$M18)/5</f>
        <v>28.402356642585893</v>
      </c>
      <c r="Q18" s="8">
        <f>$M18+4*($R18-$M18)/5</f>
        <v>29.201178321292947</v>
      </c>
      <c r="R18" s="8">
        <v>30</v>
      </c>
      <c r="S18" s="40"/>
    </row>
    <row r="19" spans="2:19">
      <c r="B19" s="1" t="s">
        <v>87</v>
      </c>
      <c r="C19" s="132">
        <f t="shared" si="0"/>
        <v>3.7514930653296918E-2</v>
      </c>
      <c r="D19" s="8">
        <v>14793</v>
      </c>
      <c r="E19" s="8">
        <f>$C$19*E8</f>
        <v>16272.300000000003</v>
      </c>
      <c r="F19" s="8">
        <f>$C$19*F8</f>
        <v>18713.145</v>
      </c>
      <c r="G19" s="8">
        <f>$C$19*G8</f>
        <v>22455.774000000001</v>
      </c>
      <c r="H19" s="8">
        <f>$C$19*H8</f>
        <v>25824.140099999997</v>
      </c>
      <c r="I19" s="8">
        <f>$C$19*I8</f>
        <v>27115.347105000001</v>
      </c>
      <c r="J19" s="40"/>
      <c r="L19" s="1" t="s">
        <v>194</v>
      </c>
      <c r="M19" s="8">
        <f>WACC!L21</f>
        <v>2595466</v>
      </c>
      <c r="N19" s="8">
        <f>N18*E18</f>
        <v>2549034.7378293667</v>
      </c>
      <c r="O19" s="8">
        <f>O18*F18</f>
        <v>2580890.6995549784</v>
      </c>
      <c r="P19" s="8">
        <f>P18*G18</f>
        <v>2633137.8583332514</v>
      </c>
      <c r="Q19" s="8">
        <f>Q18*H18</f>
        <v>3864255.6924057645</v>
      </c>
      <c r="R19" s="8">
        <f>R18*I18</f>
        <v>4747417.0884388713</v>
      </c>
      <c r="S19" s="40"/>
    </row>
    <row r="20" spans="2:19">
      <c r="B20" s="1" t="s">
        <v>88</v>
      </c>
      <c r="C20" s="132">
        <f t="shared" si="0"/>
        <v>0.22871098059205272</v>
      </c>
      <c r="D20" s="8">
        <v>90186</v>
      </c>
      <c r="E20" s="8">
        <f>E8*N14</f>
        <v>65063.295000000006</v>
      </c>
      <c r="F20" s="8">
        <f>F8*O14</f>
        <v>49881.859500000006</v>
      </c>
      <c r="G20" s="8">
        <f>G8*P14</f>
        <v>29929.115700000002</v>
      </c>
      <c r="H20" s="8">
        <f>H8*Q14</f>
        <v>68836.966109999994</v>
      </c>
      <c r="I20" s="8">
        <f>I8*R14</f>
        <v>108418.22162324999</v>
      </c>
      <c r="J20" s="40"/>
      <c r="K20" s="4"/>
      <c r="L20" s="1" t="s">
        <v>195</v>
      </c>
      <c r="M20" s="8">
        <f t="shared" ref="M20:R20" si="6">D55</f>
        <v>148101</v>
      </c>
      <c r="N20" s="8">
        <f t="shared" si="6"/>
        <v>162911.1</v>
      </c>
      <c r="O20" s="8">
        <f t="shared" si="6"/>
        <v>187347.76500000001</v>
      </c>
      <c r="P20" s="8">
        <f t="shared" si="6"/>
        <v>224817.318</v>
      </c>
      <c r="Q20" s="8">
        <f t="shared" si="6"/>
        <v>258539.91569999995</v>
      </c>
      <c r="R20" s="8">
        <f t="shared" si="6"/>
        <v>271466.91148499999</v>
      </c>
      <c r="S20" s="40"/>
    </row>
    <row r="21" spans="2:19">
      <c r="D21" s="15"/>
      <c r="E21" s="1"/>
      <c r="L21" s="1" t="s">
        <v>197</v>
      </c>
      <c r="M21" s="33">
        <f>WACC!L10</f>
        <v>1.2400393079519485</v>
      </c>
      <c r="N21" s="33">
        <f>WACC!$L$11*(1+(1-'Company Valuation'!N17)*'Company Valuation'!N20/'Company Valuation'!N19)</f>
        <v>1.2472826785866997</v>
      </c>
      <c r="O21" s="33">
        <f>WACC!$L$11*(1+(1-'Company Valuation'!O17)*'Company Valuation'!O20/'Company Valuation'!O19)</f>
        <v>1.257062680397943</v>
      </c>
      <c r="P21" s="33">
        <f>WACC!$L$11*(1+(1-'Company Valuation'!P17)*'Company Valuation'!P20/'Company Valuation'!P19)</f>
        <v>1.2703612779358615</v>
      </c>
      <c r="Q21" s="33">
        <f>WACC!$L$11*(1+(1-'Company Valuation'!Q17)*'Company Valuation'!Q20/'Company Valuation'!Q19)</f>
        <v>1.2519421397595734</v>
      </c>
      <c r="R21" s="33">
        <f>WACC!$L$11*(1+(1-'Company Valuation'!R17)*'Company Valuation'!R20/'Company Valuation'!R19)</f>
        <v>1.2417168505799607</v>
      </c>
      <c r="S21" s="40"/>
    </row>
    <row r="22" spans="2:19">
      <c r="B22" s="47"/>
      <c r="E22" s="47"/>
      <c r="L22" s="1" t="s">
        <v>198</v>
      </c>
      <c r="M22" s="38">
        <f>WACC!$L$7+WACC!$L$9*'Company Valuation'!M21</f>
        <v>0.10200196539759743</v>
      </c>
      <c r="N22" s="38">
        <f>WACC!$L$7+WACC!$L$9*'Company Valuation'!N21</f>
        <v>0.10236413392933498</v>
      </c>
      <c r="O22" s="38">
        <f>WACC!$L$7+WACC!$L$9*'Company Valuation'!O21</f>
        <v>0.10285313401989715</v>
      </c>
      <c r="P22" s="38">
        <f>WACC!$L$7+WACC!$L$9*'Company Valuation'!P21</f>
        <v>0.10351806389679308</v>
      </c>
      <c r="Q22" s="38">
        <f>WACC!$L$7+WACC!$L$9*'Company Valuation'!Q21</f>
        <v>0.10259710698797866</v>
      </c>
      <c r="R22" s="38">
        <f>WACC!$L$7+WACC!$L$9*'Company Valuation'!R21</f>
        <v>0.10208584252899802</v>
      </c>
      <c r="S22" s="40"/>
    </row>
    <row r="23" spans="2:19">
      <c r="B23" s="4" t="s">
        <v>89</v>
      </c>
      <c r="E23" s="47"/>
      <c r="L23" s="4" t="s">
        <v>79</v>
      </c>
      <c r="M23" s="49">
        <f>WACC!L25</f>
        <v>9.8180639122223218E-2</v>
      </c>
      <c r="N23" s="50">
        <f>WACC!$L$18*(1-'Company Valuation'!N17)*'Company Valuation'!N20/('Company Valuation'!N20+'Company Valuation'!N19)+'Company Valuation'!N22*'Company Valuation'!N19/('Company Valuation'!N19+'Company Valuation'!N20)</f>
        <v>9.8096394564658365E-2</v>
      </c>
      <c r="O23" s="50">
        <f>WACC!$L$18*(1-'Company Valuation'!O17)*'Company Valuation'!O20/('Company Valuation'!O20+'Company Valuation'!O19)+'Company Valuation'!O22*'Company Valuation'!O19/('Company Valuation'!O19+'Company Valuation'!O20)</f>
        <v>9.8036306366714163E-2</v>
      </c>
      <c r="P23" s="50">
        <f>WACC!$L$18*(1-'Company Valuation'!P17)*'Company Valuation'!P20/('Company Valuation'!P20+'Company Valuation'!P19)+'Company Valuation'!P22*'Company Valuation'!P19/('Company Valuation'!P19+'Company Valuation'!P20)</f>
        <v>9.7867016256392145E-2</v>
      </c>
      <c r="Q23" s="50">
        <f>WACC!$L$18*(1-'Company Valuation'!Q17)*'Company Valuation'!Q20/('Company Valuation'!Q20+'Company Valuation'!Q19)+'Company Valuation'!Q22*'Company Valuation'!Q19/('Company Valuation'!Q19+'Company Valuation'!Q20)</f>
        <v>9.8172481023780261E-2</v>
      </c>
      <c r="R23" s="50">
        <f>WACC!$L$18*(1-'Company Valuation'!R17)*'Company Valuation'!R20/('Company Valuation'!R20+'Company Valuation'!R19)+'Company Valuation'!R22*'Company Valuation'!R19/('Company Valuation'!R19+'Company Valuation'!R20)</f>
        <v>9.8297126046608674E-2</v>
      </c>
      <c r="S23" s="40"/>
    </row>
    <row r="24" spans="2:19">
      <c r="B24" s="16" t="s">
        <v>90</v>
      </c>
      <c r="C24" s="6" t="s">
        <v>81</v>
      </c>
      <c r="D24" s="6" t="s">
        <v>213</v>
      </c>
      <c r="E24" s="5">
        <v>2023</v>
      </c>
      <c r="F24" s="5">
        <v>2024</v>
      </c>
      <c r="G24" s="5">
        <v>2025</v>
      </c>
      <c r="H24" s="5">
        <v>2026</v>
      </c>
      <c r="I24" s="5">
        <v>2027</v>
      </c>
      <c r="J24" s="64"/>
      <c r="N24" s="1"/>
    </row>
    <row r="25" spans="2:19">
      <c r="B25" s="42" t="s">
        <v>43</v>
      </c>
      <c r="E25" s="1"/>
      <c r="N25" s="1"/>
    </row>
    <row r="26" spans="2:19" ht="17.5">
      <c r="B26" s="42" t="s">
        <v>44</v>
      </c>
      <c r="E26" s="1"/>
      <c r="J26" s="64"/>
      <c r="L26" s="48" t="s">
        <v>225</v>
      </c>
      <c r="M26" s="6" t="s">
        <v>213</v>
      </c>
      <c r="N26" s="5">
        <v>2023</v>
      </c>
      <c r="O26" s="5">
        <v>2024</v>
      </c>
      <c r="P26" s="5">
        <v>2025</v>
      </c>
      <c r="Q26" s="5">
        <v>2026</v>
      </c>
      <c r="R26" s="5">
        <v>2027</v>
      </c>
      <c r="S26" s="55" t="s">
        <v>226</v>
      </c>
    </row>
    <row r="27" spans="2:19">
      <c r="B27" s="42" t="s">
        <v>15</v>
      </c>
      <c r="C27" s="133">
        <f>D27/$D$8</f>
        <v>5.9966068426137963E-2</v>
      </c>
      <c r="D27" s="17">
        <v>23646</v>
      </c>
      <c r="E27" s="18">
        <f>$C27*E$8</f>
        <v>26010.600000000002</v>
      </c>
      <c r="F27" s="18">
        <f>$C27*F$8</f>
        <v>29912.190000000002</v>
      </c>
      <c r="G27" s="18">
        <f>$C27*G$8</f>
        <v>35894.627999999997</v>
      </c>
      <c r="H27" s="18">
        <f>$C27*H$8</f>
        <v>41278.822199999995</v>
      </c>
      <c r="I27" s="18">
        <f>$C27*I$8</f>
        <v>43342.763310000002</v>
      </c>
      <c r="L27" s="68" t="s">
        <v>172</v>
      </c>
      <c r="M27" s="62"/>
      <c r="N27" s="62"/>
      <c r="O27" s="62"/>
      <c r="P27" s="62"/>
      <c r="Q27" s="62"/>
      <c r="R27" s="62"/>
      <c r="S27" s="62"/>
    </row>
    <row r="28" spans="2:19">
      <c r="B28" s="45" t="s">
        <v>93</v>
      </c>
      <c r="C28" s="133"/>
      <c r="D28" s="17">
        <v>0</v>
      </c>
      <c r="E28" s="27">
        <f>E41-E27-E29-E30-E31-E32-E33-E40</f>
        <v>1860.8809720000718</v>
      </c>
      <c r="F28" s="27">
        <f t="shared" ref="F28:I28" si="7">F41-F27-F29-F30-F31-F32-F33-F40</f>
        <v>10724.092568800086</v>
      </c>
      <c r="G28" s="27">
        <f>G41-G27-G29-G30-G31-G32-G33-G40</f>
        <v>27117.533051119943</v>
      </c>
      <c r="H28" s="27">
        <f t="shared" si="7"/>
        <v>40857.192485983833</v>
      </c>
      <c r="I28" s="27">
        <f t="shared" si="7"/>
        <v>56691.715340779861</v>
      </c>
      <c r="L28" s="75" t="s">
        <v>173</v>
      </c>
      <c r="M28" s="72">
        <f>D34/D50</f>
        <v>0.87935602862672257</v>
      </c>
      <c r="N28" s="72">
        <f t="shared" ref="N28:R28" si="8">E34/E50</f>
        <v>0.89034244245785565</v>
      </c>
      <c r="O28" s="72">
        <f t="shared" si="8"/>
        <v>0.93441144765393547</v>
      </c>
      <c r="P28" s="72">
        <f t="shared" si="8"/>
        <v>0.99536950758664533</v>
      </c>
      <c r="Q28" s="72">
        <f t="shared" si="8"/>
        <v>1.0313509064312247</v>
      </c>
      <c r="R28" s="72">
        <f t="shared" si="8"/>
        <v>1.0802147670636397</v>
      </c>
    </row>
    <row r="29" spans="2:19">
      <c r="B29" s="42" t="s">
        <v>16</v>
      </c>
      <c r="C29" s="133">
        <f>D29/$D$8</f>
        <v>6.2532492398363781E-2</v>
      </c>
      <c r="D29" s="19">
        <v>24658</v>
      </c>
      <c r="E29" s="18">
        <f t="shared" ref="E29:I33" si="9">$C29*E$8</f>
        <v>27123.800000000003</v>
      </c>
      <c r="F29" s="18">
        <f t="shared" si="9"/>
        <v>31192.370000000003</v>
      </c>
      <c r="G29" s="18">
        <f t="shared" si="9"/>
        <v>37430.844000000005</v>
      </c>
      <c r="H29" s="18">
        <f t="shared" si="9"/>
        <v>43045.470599999993</v>
      </c>
      <c r="I29" s="18">
        <f t="shared" si="9"/>
        <v>45197.744129999999</v>
      </c>
      <c r="L29" s="75" t="s">
        <v>174</v>
      </c>
      <c r="M29" s="72">
        <f>(D27+D28+D29+D30)/D50</f>
        <v>0.49673338442155579</v>
      </c>
      <c r="N29" s="72">
        <f t="shared" ref="N29:R29" si="10">(E27+E28+E29+E30)/E50</f>
        <v>0.50771979825268887</v>
      </c>
      <c r="O29" s="72">
        <f t="shared" si="10"/>
        <v>0.55178880344876857</v>
      </c>
      <c r="P29" s="72">
        <f t="shared" si="10"/>
        <v>0.61274686338147843</v>
      </c>
      <c r="Q29" s="72">
        <f t="shared" si="10"/>
        <v>0.64872826222605784</v>
      </c>
      <c r="R29" s="72">
        <f t="shared" si="10"/>
        <v>0.69759212285847283</v>
      </c>
    </row>
    <row r="30" spans="2:19">
      <c r="B30" s="42" t="s">
        <v>45</v>
      </c>
      <c r="C30" s="133">
        <f>D30/$D$8</f>
        <v>7.1474400428075457E-2</v>
      </c>
      <c r="D30" s="19">
        <v>28184</v>
      </c>
      <c r="E30" s="18">
        <f t="shared" si="9"/>
        <v>31002.400000000001</v>
      </c>
      <c r="F30" s="18">
        <f t="shared" si="9"/>
        <v>35652.76</v>
      </c>
      <c r="G30" s="18">
        <f t="shared" si="9"/>
        <v>42783.311999999998</v>
      </c>
      <c r="H30" s="18">
        <f t="shared" si="9"/>
        <v>49200.808799999992</v>
      </c>
      <c r="I30" s="18">
        <f t="shared" si="9"/>
        <v>51660.849239999996</v>
      </c>
      <c r="L30" s="75" t="s">
        <v>175</v>
      </c>
      <c r="M30" s="72">
        <f>D8/D30</f>
        <v>13.991023275617371</v>
      </c>
      <c r="N30" s="72">
        <f t="shared" ref="N30:R30" si="11">E8/E30</f>
        <v>13.991023275617373</v>
      </c>
      <c r="O30" s="72">
        <f t="shared" si="11"/>
        <v>13.991023275617371</v>
      </c>
      <c r="P30" s="72">
        <f t="shared" si="11"/>
        <v>13.991023275617373</v>
      </c>
      <c r="Q30" s="72">
        <f t="shared" si="11"/>
        <v>13.991023275617373</v>
      </c>
      <c r="R30" s="72">
        <f t="shared" si="11"/>
        <v>13.991023275617373</v>
      </c>
    </row>
    <row r="31" spans="2:19">
      <c r="B31" s="42" t="s">
        <v>18</v>
      </c>
      <c r="C31" s="133">
        <f>D31/$D$8</f>
        <v>1.2543016765443558E-2</v>
      </c>
      <c r="D31" s="19">
        <v>4946</v>
      </c>
      <c r="E31" s="18">
        <f t="shared" si="9"/>
        <v>5440.6</v>
      </c>
      <c r="F31" s="18">
        <f t="shared" si="9"/>
        <v>6256.6900000000005</v>
      </c>
      <c r="G31" s="18">
        <f t="shared" si="9"/>
        <v>7508.0280000000002</v>
      </c>
      <c r="H31" s="18">
        <f t="shared" si="9"/>
        <v>8634.2321999999986</v>
      </c>
      <c r="I31" s="18">
        <f t="shared" si="9"/>
        <v>9065.9438100000007</v>
      </c>
      <c r="L31" s="75" t="s">
        <v>176</v>
      </c>
      <c r="M31" s="72">
        <f>365/M30</f>
        <v>26.088156156247546</v>
      </c>
      <c r="N31" s="72">
        <f t="shared" ref="N31:R31" si="12">365/N30</f>
        <v>26.088156156247543</v>
      </c>
      <c r="O31" s="72">
        <f t="shared" si="12"/>
        <v>26.088156156247546</v>
      </c>
      <c r="P31" s="72">
        <f t="shared" si="12"/>
        <v>26.088156156247543</v>
      </c>
      <c r="Q31" s="72">
        <f t="shared" si="12"/>
        <v>26.088156156247543</v>
      </c>
      <c r="R31" s="72">
        <f t="shared" si="12"/>
        <v>26.088156156247543</v>
      </c>
    </row>
    <row r="32" spans="2:19">
      <c r="B32" s="42" t="s">
        <v>17</v>
      </c>
      <c r="C32" s="133">
        <f>D32/$D$8</f>
        <v>8.304866822376579E-2</v>
      </c>
      <c r="D32" s="19">
        <v>32748</v>
      </c>
      <c r="E32" s="18">
        <f t="shared" si="9"/>
        <v>36022.800000000003</v>
      </c>
      <c r="F32" s="18">
        <f t="shared" si="9"/>
        <v>41426.22</v>
      </c>
      <c r="G32" s="18">
        <f t="shared" si="9"/>
        <v>49711.464</v>
      </c>
      <c r="H32" s="18">
        <f t="shared" si="9"/>
        <v>57168.183599999989</v>
      </c>
      <c r="I32" s="18">
        <f t="shared" si="9"/>
        <v>60026.592779999992</v>
      </c>
      <c r="L32" s="73" t="s">
        <v>219</v>
      </c>
      <c r="M32" s="33">
        <f>D9/D45</f>
        <v>3.486641191608828</v>
      </c>
      <c r="N32" s="33">
        <f t="shared" ref="N32:R32" si="13">E9/E45</f>
        <v>3.6901473914060667</v>
      </c>
      <c r="O32" s="33">
        <f t="shared" si="13"/>
        <v>3.8131523044529363</v>
      </c>
      <c r="P32" s="33">
        <f t="shared" si="13"/>
        <v>3.936157217499805</v>
      </c>
      <c r="Q32" s="33">
        <f t="shared" si="13"/>
        <v>3.8746547609763708</v>
      </c>
      <c r="R32" s="33">
        <f t="shared" si="13"/>
        <v>3.8131523044529358</v>
      </c>
    </row>
    <row r="33" spans="2:20">
      <c r="B33" s="42" t="s">
        <v>19</v>
      </c>
      <c r="C33" s="133">
        <f>D33/$D$8</f>
        <v>5.3821359646787026E-2</v>
      </c>
      <c r="D33" s="19">
        <v>21223</v>
      </c>
      <c r="E33" s="18">
        <f t="shared" si="9"/>
        <v>23345.300000000003</v>
      </c>
      <c r="F33" s="18">
        <f t="shared" si="9"/>
        <v>26847.095000000001</v>
      </c>
      <c r="G33" s="18">
        <f t="shared" si="9"/>
        <v>32216.514000000003</v>
      </c>
      <c r="H33" s="18">
        <f t="shared" si="9"/>
        <v>37048.991099999999</v>
      </c>
      <c r="I33" s="18">
        <f t="shared" si="9"/>
        <v>38901.440654999999</v>
      </c>
      <c r="L33" s="73" t="s">
        <v>220</v>
      </c>
      <c r="M33" s="33">
        <f>365/M32</f>
        <v>104.68527730310539</v>
      </c>
      <c r="N33" s="33">
        <f t="shared" ref="N33:R33" si="14">365/N32</f>
        <v>98.912038269810978</v>
      </c>
      <c r="O33" s="33">
        <f t="shared" si="14"/>
        <v>95.721327357881563</v>
      </c>
      <c r="P33" s="33">
        <f t="shared" si="14"/>
        <v>92.73003587794777</v>
      </c>
      <c r="Q33" s="33">
        <f t="shared" si="14"/>
        <v>94.201941209343758</v>
      </c>
      <c r="R33" s="33">
        <f t="shared" si="14"/>
        <v>95.721327357881577</v>
      </c>
    </row>
    <row r="34" spans="2:20">
      <c r="B34" s="42" t="s">
        <v>46</v>
      </c>
      <c r="C34" s="133"/>
      <c r="D34" s="19">
        <v>135405</v>
      </c>
      <c r="E34" s="18">
        <f>SUM(E27:E33)</f>
        <v>150806.3809720001</v>
      </c>
      <c r="F34" s="18">
        <f t="shared" ref="F34:I34" si="15">SUM(F27:F33)</f>
        <v>182011.4175688001</v>
      </c>
      <c r="G34" s="18">
        <f t="shared" si="15"/>
        <v>232662.32305111995</v>
      </c>
      <c r="H34" s="18">
        <f t="shared" si="15"/>
        <v>277233.70098598383</v>
      </c>
      <c r="I34" s="18">
        <f t="shared" si="15"/>
        <v>304887.04926577985</v>
      </c>
      <c r="L34" s="68" t="s">
        <v>177</v>
      </c>
      <c r="M34" s="74"/>
      <c r="N34" s="74"/>
      <c r="O34" s="74"/>
      <c r="P34" s="74"/>
      <c r="Q34" s="74"/>
      <c r="R34" s="74"/>
    </row>
    <row r="35" spans="2:20">
      <c r="C35" s="133"/>
      <c r="D35" s="7"/>
      <c r="E35" s="18"/>
      <c r="F35" s="18"/>
      <c r="G35" s="18"/>
      <c r="H35" s="18"/>
      <c r="I35" s="18"/>
      <c r="L35" s="75" t="s">
        <v>178</v>
      </c>
      <c r="M35" s="72">
        <f>D9/D31</f>
        <v>45.197331176708452</v>
      </c>
      <c r="N35" s="72">
        <f t="shared" ref="N35:R35" si="16">E9/E31</f>
        <v>47.83538212697129</v>
      </c>
      <c r="O35" s="72">
        <f t="shared" si="16"/>
        <v>49.429894864536998</v>
      </c>
      <c r="P35" s="72">
        <f t="shared" si="16"/>
        <v>51.024407602102713</v>
      </c>
      <c r="Q35" s="72">
        <f t="shared" si="16"/>
        <v>50.227151233319859</v>
      </c>
      <c r="R35" s="72">
        <f t="shared" si="16"/>
        <v>49.429894864536998</v>
      </c>
      <c r="T35" s="65"/>
    </row>
    <row r="36" spans="2:20">
      <c r="B36" s="42" t="s">
        <v>47</v>
      </c>
      <c r="C36" s="133"/>
      <c r="D36" s="7"/>
      <c r="E36" s="18"/>
      <c r="F36" s="18"/>
      <c r="G36" s="18"/>
      <c r="H36" s="18"/>
      <c r="I36" s="18"/>
      <c r="L36" s="75" t="s">
        <v>179</v>
      </c>
      <c r="M36" s="72">
        <f>365/M35</f>
        <v>8.0756980666171607</v>
      </c>
      <c r="N36" s="72">
        <f t="shared" ref="N36:R36" si="17">365/N35</f>
        <v>7.6303351989781643</v>
      </c>
      <c r="O36" s="72">
        <f t="shared" si="17"/>
        <v>7.3841953538498366</v>
      </c>
      <c r="P36" s="72">
        <f t="shared" si="17"/>
        <v>7.1534392490420284</v>
      </c>
      <c r="Q36" s="72">
        <f t="shared" si="17"/>
        <v>7.2669859037887274</v>
      </c>
      <c r="R36" s="72">
        <f t="shared" si="17"/>
        <v>7.3841953538498366</v>
      </c>
    </row>
    <row r="37" spans="2:20">
      <c r="B37" s="42" t="s">
        <v>16</v>
      </c>
      <c r="C37" s="133">
        <f>D37/$D$8</f>
        <v>0.30636052170428812</v>
      </c>
      <c r="D37" s="19">
        <v>120805</v>
      </c>
      <c r="E37" s="18">
        <f t="shared" ref="E37:I37" si="18">$C37*E$8</f>
        <v>132885.50000000003</v>
      </c>
      <c r="F37" s="18">
        <f t="shared" si="18"/>
        <v>152818.32500000001</v>
      </c>
      <c r="G37" s="18">
        <f t="shared" si="18"/>
        <v>183381.99000000002</v>
      </c>
      <c r="H37" s="18">
        <f t="shared" si="18"/>
        <v>210889.2885</v>
      </c>
      <c r="I37" s="18">
        <f t="shared" si="18"/>
        <v>221433.75292500001</v>
      </c>
      <c r="L37" s="75" t="s">
        <v>180</v>
      </c>
      <c r="M37" s="72">
        <f>D8/D41</f>
        <v>1.1178381596292044</v>
      </c>
      <c r="N37" s="72">
        <f t="shared" ref="N37:R37" si="19">E8/E41</f>
        <v>1.0964122828825287</v>
      </c>
      <c r="O37" s="72">
        <f t="shared" si="19"/>
        <v>1.0646515090668722</v>
      </c>
      <c r="P37" s="72">
        <f t="shared" si="19"/>
        <v>1.0276663880031942</v>
      </c>
      <c r="Q37" s="72">
        <f t="shared" si="19"/>
        <v>1.0028791985092687</v>
      </c>
      <c r="R37" s="72">
        <f t="shared" si="19"/>
        <v>0.98404831618062882</v>
      </c>
    </row>
    <row r="38" spans="2:20">
      <c r="B38" s="42" t="s">
        <v>20</v>
      </c>
      <c r="C38" s="133">
        <f>D38/$D$8</f>
        <v>0.10680837790339391</v>
      </c>
      <c r="D38" s="19">
        <v>42117</v>
      </c>
      <c r="E38" s="18">
        <f>E8*N15</f>
        <v>52050.636000000006</v>
      </c>
      <c r="F38" s="18">
        <f>F8*O15</f>
        <v>64846.417350000003</v>
      </c>
      <c r="G38" s="18">
        <f>G8*P15</f>
        <v>83801.523960000006</v>
      </c>
      <c r="H38" s="18">
        <f>H8*Q15</f>
        <v>103255.44916499998</v>
      </c>
      <c r="I38" s="18">
        <f>I8*R15</f>
        <v>108418.22162324999</v>
      </c>
      <c r="L38" s="75" t="s">
        <v>181</v>
      </c>
      <c r="M38" s="72">
        <f>D8/D38</f>
        <v>9.3625614359997158</v>
      </c>
      <c r="N38" s="72">
        <f t="shared" ref="N38:R38" si="20">E8/E38</f>
        <v>8.3333333333333339</v>
      </c>
      <c r="O38" s="72">
        <f t="shared" si="20"/>
        <v>7.6923076923076925</v>
      </c>
      <c r="P38" s="72">
        <f t="shared" si="20"/>
        <v>7.1428571428571423</v>
      </c>
      <c r="Q38" s="72">
        <f t="shared" si="20"/>
        <v>6.666666666666667</v>
      </c>
      <c r="R38" s="72">
        <f t="shared" si="20"/>
        <v>6.666666666666667</v>
      </c>
    </row>
    <row r="39" spans="2:20">
      <c r="B39" s="42" t="s">
        <v>21</v>
      </c>
      <c r="C39" s="133">
        <f>D39/$D$8</f>
        <v>0.13802897624536231</v>
      </c>
      <c r="D39" s="19">
        <v>54428</v>
      </c>
      <c r="E39" s="18">
        <f>$C39*E$8</f>
        <v>59870.80000000001</v>
      </c>
      <c r="F39" s="18">
        <f>$C39*F$8</f>
        <v>68851.420000000013</v>
      </c>
      <c r="G39" s="18">
        <f>$C39*G$8</f>
        <v>82621.704000000012</v>
      </c>
      <c r="H39" s="18">
        <f>$C39*H$8</f>
        <v>95014.959599999987</v>
      </c>
      <c r="I39" s="18">
        <f>$C39*I$8</f>
        <v>99765.707580000002</v>
      </c>
      <c r="L39" s="68" t="s">
        <v>182</v>
      </c>
      <c r="M39" s="68"/>
      <c r="N39" s="68"/>
      <c r="O39" s="68"/>
      <c r="P39" s="68"/>
      <c r="Q39" s="68"/>
      <c r="R39" s="68"/>
    </row>
    <row r="40" spans="2:20">
      <c r="B40" s="44" t="s">
        <v>48</v>
      </c>
      <c r="C40" s="133">
        <f t="shared" ref="C40:C41" si="21">D40/$D$8</f>
        <v>0.55119787585304436</v>
      </c>
      <c r="D40" s="25">
        <v>217350</v>
      </c>
      <c r="E40" s="24">
        <f>SUM(E37:E39)</f>
        <v>244806.93600000005</v>
      </c>
      <c r="F40" s="24">
        <f t="shared" ref="F40:I40" si="22">SUM(F37:F39)</f>
        <v>286516.16235</v>
      </c>
      <c r="G40" s="24">
        <f t="shared" si="22"/>
        <v>349805.21796000004</v>
      </c>
      <c r="H40" s="24">
        <f t="shared" si="22"/>
        <v>409159.69726499997</v>
      </c>
      <c r="I40" s="24">
        <f t="shared" si="22"/>
        <v>429617.68212824996</v>
      </c>
      <c r="L40" s="73" t="s">
        <v>224</v>
      </c>
      <c r="M40" s="38">
        <f>D10/D8</f>
        <v>0.43308911729724109</v>
      </c>
      <c r="N40" s="38">
        <f t="shared" ref="N40:R40" si="23">E10/E8</f>
        <v>0.4</v>
      </c>
      <c r="O40" s="38">
        <f t="shared" si="23"/>
        <v>0.37999999999999995</v>
      </c>
      <c r="P40" s="38">
        <f t="shared" si="23"/>
        <v>0.36</v>
      </c>
      <c r="Q40" s="38">
        <f t="shared" si="23"/>
        <v>0.36999999999999994</v>
      </c>
      <c r="R40" s="38">
        <f t="shared" si="23"/>
        <v>0.38</v>
      </c>
      <c r="T40" s="65"/>
    </row>
    <row r="41" spans="2:20">
      <c r="B41" s="45" t="s">
        <v>49</v>
      </c>
      <c r="C41" s="133">
        <f t="shared" si="21"/>
        <v>0.89458388174161796</v>
      </c>
      <c r="D41" s="26">
        <v>352755</v>
      </c>
      <c r="E41" s="27">
        <f>E66</f>
        <v>395613.31697200006</v>
      </c>
      <c r="F41" s="27">
        <f t="shared" ref="F41:I41" si="24">F66</f>
        <v>468527.57991880004</v>
      </c>
      <c r="G41" s="27">
        <f t="shared" si="24"/>
        <v>582467.54101111996</v>
      </c>
      <c r="H41" s="27">
        <f t="shared" si="24"/>
        <v>686393.3982509838</v>
      </c>
      <c r="I41" s="27">
        <f t="shared" si="24"/>
        <v>734504.73139402969</v>
      </c>
      <c r="L41" s="75" t="s">
        <v>183</v>
      </c>
      <c r="M41" s="70">
        <f>D13/D8</f>
        <v>0.3028786045957248</v>
      </c>
      <c r="N41" s="70">
        <f t="shared" ref="N41:R41" si="25">E13/E8</f>
        <v>0.25</v>
      </c>
      <c r="O41" s="70">
        <f t="shared" si="25"/>
        <v>0.21</v>
      </c>
      <c r="P41" s="70">
        <f t="shared" si="25"/>
        <v>0.16999999999999998</v>
      </c>
      <c r="Q41" s="70">
        <f t="shared" si="25"/>
        <v>0.20999999999999996</v>
      </c>
      <c r="R41" s="70">
        <f t="shared" si="25"/>
        <v>0.24</v>
      </c>
    </row>
    <row r="42" spans="2:20">
      <c r="C42" s="43"/>
      <c r="E42" s="20"/>
      <c r="F42" s="20"/>
      <c r="G42" s="20"/>
      <c r="H42" s="20"/>
      <c r="I42" s="20"/>
      <c r="L42" s="75" t="s">
        <v>184</v>
      </c>
      <c r="M42" s="70">
        <f>D18/D41</f>
        <v>0.28292440929256851</v>
      </c>
      <c r="N42" s="70">
        <f t="shared" ref="N42:R42" si="26">E18/E41</f>
        <v>0.24037742889916561</v>
      </c>
      <c r="O42" s="70">
        <f t="shared" si="26"/>
        <v>0.19955827885949451</v>
      </c>
      <c r="P42" s="70">
        <f t="shared" si="26"/>
        <v>0.15916497017393472</v>
      </c>
      <c r="Q42" s="70">
        <f t="shared" si="26"/>
        <v>0.1927934971214218</v>
      </c>
      <c r="R42" s="70">
        <f t="shared" si="26"/>
        <v>0.21544753834458691</v>
      </c>
    </row>
    <row r="43" spans="2:20">
      <c r="B43" s="42" t="s">
        <v>50</v>
      </c>
      <c r="C43" s="43"/>
      <c r="E43" s="20"/>
      <c r="F43" s="20"/>
      <c r="G43" s="20"/>
      <c r="H43" s="20"/>
      <c r="I43" s="20"/>
      <c r="L43" s="75" t="s">
        <v>185</v>
      </c>
      <c r="M43" s="70">
        <f>D18/D8</f>
        <v>0.2530996163044002</v>
      </c>
      <c r="N43" s="70">
        <f t="shared" ref="N43:R43" si="27">E18/E8</f>
        <v>0.21923999999999999</v>
      </c>
      <c r="O43" s="70">
        <f t="shared" si="27"/>
        <v>0.18744</v>
      </c>
      <c r="P43" s="70">
        <f t="shared" si="27"/>
        <v>0.15487999999999999</v>
      </c>
      <c r="Q43" s="70">
        <f t="shared" si="27"/>
        <v>0.19223999999999997</v>
      </c>
      <c r="R43" s="70">
        <f t="shared" si="27"/>
        <v>0.21894000000000002</v>
      </c>
    </row>
    <row r="44" spans="2:20">
      <c r="B44" s="42" t="s">
        <v>51</v>
      </c>
      <c r="C44" s="43"/>
      <c r="E44" s="20"/>
      <c r="F44" s="20"/>
      <c r="G44" s="20"/>
      <c r="H44" s="20"/>
      <c r="I44" s="20"/>
      <c r="L44" s="75" t="s">
        <v>186</v>
      </c>
      <c r="M44" s="70">
        <f>D18/D65</f>
        <v>1.9695887275023682</v>
      </c>
      <c r="N44" s="70">
        <f t="shared" ref="N44:R44" si="28">E18/E65</f>
        <v>1.5017922125577614</v>
      </c>
      <c r="O44" s="70">
        <f t="shared" si="28"/>
        <v>1.0822521115056214</v>
      </c>
      <c r="P44" s="70">
        <f t="shared" si="28"/>
        <v>0.74821855057061992</v>
      </c>
      <c r="Q44" s="70">
        <f t="shared" si="28"/>
        <v>0.83203138796044462</v>
      </c>
      <c r="R44" s="70">
        <f t="shared" si="28"/>
        <v>0.87530423560647019</v>
      </c>
    </row>
    <row r="45" spans="2:20">
      <c r="B45" s="42" t="s">
        <v>52</v>
      </c>
      <c r="C45" s="133">
        <f t="shared" ref="C45:C50" si="29">D45/$D$8</f>
        <v>0.16259513140242898</v>
      </c>
      <c r="D45" s="17">
        <v>64115</v>
      </c>
      <c r="E45" s="18">
        <f t="shared" ref="E45:I56" si="30">$C45*E$8</f>
        <v>70526.500000000015</v>
      </c>
      <c r="F45" s="18">
        <f t="shared" si="30"/>
        <v>81105.475000000006</v>
      </c>
      <c r="G45" s="18">
        <f t="shared" si="30"/>
        <v>97326.57</v>
      </c>
      <c r="H45" s="18">
        <f t="shared" si="30"/>
        <v>111925.55549999999</v>
      </c>
      <c r="I45" s="18">
        <f t="shared" si="30"/>
        <v>117521.83327500001</v>
      </c>
      <c r="L45" s="73" t="s">
        <v>221</v>
      </c>
      <c r="M45" s="18">
        <f>D15*(1-M17)+D18-M23*(D55+D65)</f>
        <v>82588.48981975831</v>
      </c>
      <c r="N45" s="18">
        <f t="shared" ref="N45:R45" si="31">E15*(1-N17)+E18-N23*(E55+E65)</f>
        <v>75922.795753922182</v>
      </c>
      <c r="O45" s="18">
        <f t="shared" si="31"/>
        <v>70612.707909628982</v>
      </c>
      <c r="P45" s="18">
        <f t="shared" si="31"/>
        <v>62793.981983861086</v>
      </c>
      <c r="Q45" s="18">
        <f t="shared" si="31"/>
        <v>95625.172758246816</v>
      </c>
      <c r="R45" s="18">
        <f t="shared" si="31"/>
        <v>117651.25988690509</v>
      </c>
    </row>
    <row r="46" spans="2:20">
      <c r="B46" s="42" t="s">
        <v>53</v>
      </c>
      <c r="C46" s="133">
        <f t="shared" si="29"/>
        <v>0.15430243734197599</v>
      </c>
      <c r="D46" s="19">
        <v>60845</v>
      </c>
      <c r="E46" s="18">
        <f t="shared" si="30"/>
        <v>66929.5</v>
      </c>
      <c r="F46" s="18">
        <f t="shared" si="30"/>
        <v>76968.925000000003</v>
      </c>
      <c r="G46" s="18">
        <f t="shared" si="30"/>
        <v>92362.71</v>
      </c>
      <c r="H46" s="18">
        <f t="shared" si="30"/>
        <v>106217.11649999999</v>
      </c>
      <c r="I46" s="18">
        <f t="shared" si="30"/>
        <v>111527.972325</v>
      </c>
      <c r="L46" s="76" t="s">
        <v>168</v>
      </c>
      <c r="M46" s="18">
        <f>D18-M22*D65</f>
        <v>94634.356409372936</v>
      </c>
      <c r="N46" s="18">
        <f t="shared" ref="N46:R46" si="32">E18-N22*E65</f>
        <v>88614.608546002579</v>
      </c>
      <c r="O46" s="18">
        <f t="shared" si="32"/>
        <v>84612.809331821321</v>
      </c>
      <c r="P46" s="18">
        <f t="shared" si="32"/>
        <v>79881.966459655785</v>
      </c>
      <c r="Q46" s="18">
        <f t="shared" si="32"/>
        <v>116014.41078656017</v>
      </c>
      <c r="R46" s="18">
        <f t="shared" si="32"/>
        <v>139791.02210284112</v>
      </c>
    </row>
    <row r="47" spans="2:20">
      <c r="B47" s="42" t="s">
        <v>22</v>
      </c>
      <c r="C47" s="133">
        <f t="shared" si="29"/>
        <v>2.0064769237401827E-2</v>
      </c>
      <c r="D47" s="19">
        <v>7912</v>
      </c>
      <c r="E47" s="18">
        <f t="shared" si="30"/>
        <v>8703.2000000000007</v>
      </c>
      <c r="F47" s="18">
        <f t="shared" si="30"/>
        <v>10008.680000000002</v>
      </c>
      <c r="G47" s="18">
        <f t="shared" si="30"/>
        <v>12010.416000000001</v>
      </c>
      <c r="H47" s="18">
        <f t="shared" si="30"/>
        <v>13811.9784</v>
      </c>
      <c r="I47" s="18">
        <f t="shared" si="30"/>
        <v>14502.57732</v>
      </c>
      <c r="L47" s="68" t="s">
        <v>187</v>
      </c>
      <c r="M47" s="68"/>
      <c r="N47" s="68"/>
      <c r="O47" s="68"/>
      <c r="P47" s="68"/>
      <c r="Q47" s="68"/>
      <c r="R47" s="68"/>
    </row>
    <row r="48" spans="2:20">
      <c r="B48" s="42" t="s">
        <v>23</v>
      </c>
      <c r="C48" s="133">
        <f t="shared" si="29"/>
        <v>2.5314272816954628E-2</v>
      </c>
      <c r="D48" s="19">
        <v>9982</v>
      </c>
      <c r="E48" s="18">
        <f t="shared" si="30"/>
        <v>10980.2</v>
      </c>
      <c r="F48" s="18">
        <f t="shared" si="30"/>
        <v>12627.23</v>
      </c>
      <c r="G48" s="18">
        <f t="shared" si="30"/>
        <v>15152.675999999999</v>
      </c>
      <c r="H48" s="18">
        <f t="shared" si="30"/>
        <v>17425.577399999998</v>
      </c>
      <c r="I48" s="18">
        <f t="shared" si="30"/>
        <v>18296.85627</v>
      </c>
      <c r="L48" s="75" t="s">
        <v>188</v>
      </c>
      <c r="M48" s="69">
        <f>D50/D66</f>
        <v>0.43651259372652407</v>
      </c>
      <c r="N48" s="69">
        <f t="shared" ref="N48:R48" si="33">E50/E66</f>
        <v>0.42814585033796543</v>
      </c>
      <c r="O48" s="69">
        <f t="shared" si="33"/>
        <v>0.41574335929969874</v>
      </c>
      <c r="P48" s="69">
        <f t="shared" si="33"/>
        <v>0.40130077565221367</v>
      </c>
      <c r="Q48" s="69">
        <f t="shared" si="33"/>
        <v>0.39162144928105691</v>
      </c>
      <c r="R48" s="69">
        <f t="shared" si="33"/>
        <v>0.38426804376646956</v>
      </c>
      <c r="T48" s="65"/>
    </row>
    <row r="49" spans="2:20">
      <c r="B49" s="42" t="s">
        <v>24</v>
      </c>
      <c r="C49" s="133">
        <f t="shared" si="29"/>
        <v>2.8220519726214296E-2</v>
      </c>
      <c r="D49" s="19">
        <v>11128</v>
      </c>
      <c r="E49" s="18">
        <f t="shared" si="30"/>
        <v>12240.800000000001</v>
      </c>
      <c r="F49" s="18">
        <f t="shared" si="30"/>
        <v>14076.92</v>
      </c>
      <c r="G49" s="18">
        <f t="shared" si="30"/>
        <v>16892.304</v>
      </c>
      <c r="H49" s="18">
        <f t="shared" si="30"/>
        <v>19426.149599999997</v>
      </c>
      <c r="I49" s="18">
        <f t="shared" si="30"/>
        <v>20397.45708</v>
      </c>
      <c r="L49" s="73" t="s">
        <v>192</v>
      </c>
      <c r="M49" s="33">
        <f>D41/D65</f>
        <v>6.9615369434796337</v>
      </c>
      <c r="N49" s="33">
        <f t="shared" ref="N49:R49" si="34">E41/E65</f>
        <v>6.2476423823791656</v>
      </c>
      <c r="O49" s="33">
        <f t="shared" si="34"/>
        <v>5.4232383526800012</v>
      </c>
      <c r="P49" s="33">
        <f t="shared" si="34"/>
        <v>4.7008996373572041</v>
      </c>
      <c r="Q49" s="33">
        <f t="shared" si="34"/>
        <v>4.3156610590264322</v>
      </c>
      <c r="R49" s="33">
        <f t="shared" si="34"/>
        <v>4.0627256283917621</v>
      </c>
    </row>
    <row r="50" spans="2:20">
      <c r="B50" s="42" t="s">
        <v>54</v>
      </c>
      <c r="C50" s="133">
        <f t="shared" si="29"/>
        <v>0.3904971305249757</v>
      </c>
      <c r="D50" s="19">
        <v>153982</v>
      </c>
      <c r="E50" s="18">
        <f t="shared" si="30"/>
        <v>169380.2</v>
      </c>
      <c r="F50" s="18">
        <f t="shared" si="30"/>
        <v>194787.23</v>
      </c>
      <c r="G50" s="18">
        <f t="shared" si="30"/>
        <v>233744.67600000001</v>
      </c>
      <c r="H50" s="18">
        <f t="shared" si="30"/>
        <v>268806.37739999994</v>
      </c>
      <c r="I50" s="18">
        <f t="shared" si="30"/>
        <v>282246.69626999996</v>
      </c>
      <c r="L50" s="73" t="s">
        <v>218</v>
      </c>
      <c r="M50" s="33">
        <f>D56/D65</f>
        <v>5.9615369434796337</v>
      </c>
      <c r="N50" s="33">
        <f t="shared" ref="N50:R50" si="35">E56/E65</f>
        <v>5.2476423823791656</v>
      </c>
      <c r="O50" s="33">
        <f t="shared" si="35"/>
        <v>4.4232383526800012</v>
      </c>
      <c r="P50" s="33">
        <f t="shared" si="35"/>
        <v>3.7008996373572045</v>
      </c>
      <c r="Q50" s="33">
        <f t="shared" si="35"/>
        <v>3.3156610590264326</v>
      </c>
      <c r="R50" s="33">
        <f t="shared" si="35"/>
        <v>3.0627256283917625</v>
      </c>
    </row>
    <row r="51" spans="2:20">
      <c r="C51" s="133"/>
      <c r="D51" s="7"/>
      <c r="E51" s="18"/>
      <c r="F51" s="18"/>
      <c r="G51" s="18"/>
      <c r="H51" s="18"/>
      <c r="I51" s="18"/>
      <c r="L51" s="75" t="s">
        <v>189</v>
      </c>
      <c r="M51" s="69">
        <f>D13/D15</f>
        <v>45.153875236294894</v>
      </c>
      <c r="N51" s="69">
        <f t="shared" ref="N51:R51" si="36">E13/E15</f>
        <v>31.25</v>
      </c>
      <c r="O51" s="69">
        <f t="shared" si="36"/>
        <v>23.333333333333332</v>
      </c>
      <c r="P51" s="69">
        <f t="shared" si="36"/>
        <v>21.249999999999996</v>
      </c>
      <c r="Q51" s="69">
        <f t="shared" si="36"/>
        <v>29.999999999999993</v>
      </c>
      <c r="R51" s="69">
        <f t="shared" si="36"/>
        <v>40</v>
      </c>
    </row>
    <row r="52" spans="2:20">
      <c r="B52" s="42" t="s">
        <v>26</v>
      </c>
      <c r="C52" s="133"/>
      <c r="D52" s="7"/>
      <c r="E52" s="18"/>
      <c r="F52" s="18"/>
      <c r="G52" s="18"/>
      <c r="H52" s="18"/>
      <c r="I52" s="18"/>
      <c r="L52" s="68" t="s">
        <v>190</v>
      </c>
      <c r="M52" s="68"/>
      <c r="N52" s="68"/>
      <c r="O52" s="68"/>
      <c r="P52" s="68"/>
      <c r="Q52" s="68"/>
      <c r="R52" s="68"/>
    </row>
    <row r="53" spans="2:20">
      <c r="B53" s="42" t="s">
        <v>24</v>
      </c>
      <c r="C53" s="133">
        <f>D53/$D$8</f>
        <v>0.2509592389995004</v>
      </c>
      <c r="D53" s="19">
        <v>98959</v>
      </c>
      <c r="E53" s="18">
        <f t="shared" si="30"/>
        <v>108854.90000000001</v>
      </c>
      <c r="F53" s="18">
        <f t="shared" si="30"/>
        <v>125183.13500000001</v>
      </c>
      <c r="G53" s="18">
        <f t="shared" si="30"/>
        <v>150219.76199999999</v>
      </c>
      <c r="H53" s="18">
        <f t="shared" si="30"/>
        <v>172752.72629999998</v>
      </c>
      <c r="I53" s="18">
        <f t="shared" si="30"/>
        <v>181390.36261499999</v>
      </c>
      <c r="L53" s="75" t="s">
        <v>185</v>
      </c>
      <c r="M53" s="71">
        <f>M43</f>
        <v>0.2530996163044002</v>
      </c>
      <c r="N53" s="71">
        <f t="shared" ref="N53:R53" si="37">N43</f>
        <v>0.21923999999999999</v>
      </c>
      <c r="O53" s="71">
        <f t="shared" si="37"/>
        <v>0.18744</v>
      </c>
      <c r="P53" s="71">
        <f t="shared" si="37"/>
        <v>0.15487999999999999</v>
      </c>
      <c r="Q53" s="71">
        <f t="shared" si="37"/>
        <v>0.19223999999999997</v>
      </c>
      <c r="R53" s="71">
        <f t="shared" si="37"/>
        <v>0.21894000000000002</v>
      </c>
      <c r="T53" s="65"/>
    </row>
    <row r="54" spans="2:20">
      <c r="B54" s="42" t="s">
        <v>25</v>
      </c>
      <c r="C54" s="133">
        <f>D54/$D$8</f>
        <v>0.12462372217699703</v>
      </c>
      <c r="D54" s="19">
        <v>49142</v>
      </c>
      <c r="E54" s="18">
        <f t="shared" si="30"/>
        <v>54056.200000000004</v>
      </c>
      <c r="F54" s="18">
        <f t="shared" si="30"/>
        <v>62164.630000000005</v>
      </c>
      <c r="G54" s="18">
        <f t="shared" si="30"/>
        <v>74597.555999999997</v>
      </c>
      <c r="H54" s="18">
        <f t="shared" si="30"/>
        <v>85787.189399999988</v>
      </c>
      <c r="I54" s="18">
        <f t="shared" si="30"/>
        <v>90076.548869999999</v>
      </c>
      <c r="L54" s="75" t="s">
        <v>191</v>
      </c>
      <c r="M54" s="69">
        <f>M37</f>
        <v>1.1178381596292044</v>
      </c>
      <c r="N54" s="69">
        <f t="shared" ref="N54:R54" si="38">N37</f>
        <v>1.0964122828825287</v>
      </c>
      <c r="O54" s="69">
        <f t="shared" si="38"/>
        <v>1.0646515090668722</v>
      </c>
      <c r="P54" s="69">
        <f t="shared" si="38"/>
        <v>1.0276663880031942</v>
      </c>
      <c r="Q54" s="69">
        <f t="shared" si="38"/>
        <v>1.0028791985092687</v>
      </c>
      <c r="R54" s="69">
        <f t="shared" si="38"/>
        <v>0.98404831618062882</v>
      </c>
    </row>
    <row r="55" spans="2:20">
      <c r="B55" s="44" t="s">
        <v>55</v>
      </c>
      <c r="C55" s="134">
        <f>D55/$D$8</f>
        <v>0.37558296117649742</v>
      </c>
      <c r="D55" s="25">
        <v>148101</v>
      </c>
      <c r="E55" s="24">
        <f t="shared" si="30"/>
        <v>162911.1</v>
      </c>
      <c r="F55" s="24">
        <f t="shared" si="30"/>
        <v>187347.76500000001</v>
      </c>
      <c r="G55" s="24">
        <f t="shared" si="30"/>
        <v>224817.318</v>
      </c>
      <c r="H55" s="24">
        <f t="shared" si="30"/>
        <v>258539.91569999995</v>
      </c>
      <c r="I55" s="24">
        <f t="shared" si="30"/>
        <v>271466.91148499999</v>
      </c>
      <c r="L55" s="75" t="s">
        <v>192</v>
      </c>
      <c r="M55" s="69">
        <f>M49</f>
        <v>6.9615369434796337</v>
      </c>
      <c r="N55" s="69">
        <f t="shared" ref="N55:R55" si="39">N49</f>
        <v>6.2476423823791656</v>
      </c>
      <c r="O55" s="69">
        <f t="shared" si="39"/>
        <v>5.4232383526800012</v>
      </c>
      <c r="P55" s="69">
        <f t="shared" si="39"/>
        <v>4.7008996373572041</v>
      </c>
      <c r="Q55" s="69">
        <f t="shared" si="39"/>
        <v>4.3156610590264322</v>
      </c>
      <c r="R55" s="69">
        <f t="shared" si="39"/>
        <v>4.0627256283917621</v>
      </c>
    </row>
    <row r="56" spans="2:20">
      <c r="B56" s="45" t="s">
        <v>56</v>
      </c>
      <c r="C56" s="135">
        <f>D56/$D$8</f>
        <v>0.76608009170147318</v>
      </c>
      <c r="D56" s="35">
        <v>302083</v>
      </c>
      <c r="E56" s="27">
        <f t="shared" si="30"/>
        <v>332291.30000000005</v>
      </c>
      <c r="F56" s="27">
        <f t="shared" si="30"/>
        <v>382134.99500000005</v>
      </c>
      <c r="G56" s="27">
        <f t="shared" si="30"/>
        <v>458561.99400000001</v>
      </c>
      <c r="H56" s="27">
        <f t="shared" si="30"/>
        <v>527346.29309999989</v>
      </c>
      <c r="I56" s="27">
        <f t="shared" si="30"/>
        <v>553713.607755</v>
      </c>
      <c r="L56" s="75" t="s">
        <v>186</v>
      </c>
      <c r="M56" s="70">
        <f>M53*M54*M55</f>
        <v>1.9695887275023682</v>
      </c>
      <c r="N56" s="70">
        <f t="shared" ref="N56:R56" si="40">N53*N54*N55</f>
        <v>1.5017922125577614</v>
      </c>
      <c r="O56" s="70">
        <f t="shared" si="40"/>
        <v>1.0822521115056214</v>
      </c>
      <c r="P56" s="70">
        <f t="shared" si="40"/>
        <v>0.74821855057061992</v>
      </c>
      <c r="Q56" s="70">
        <f t="shared" si="40"/>
        <v>0.83203138796044451</v>
      </c>
      <c r="R56" s="70">
        <f t="shared" si="40"/>
        <v>0.87530423560647008</v>
      </c>
    </row>
    <row r="57" spans="2:20">
      <c r="C57" s="43"/>
      <c r="E57" s="20"/>
      <c r="F57" s="20"/>
      <c r="G57" s="20"/>
      <c r="H57" s="20"/>
      <c r="I57" s="20"/>
      <c r="L57" s="4"/>
      <c r="M57" s="63"/>
      <c r="N57" s="1"/>
    </row>
    <row r="58" spans="2:20">
      <c r="B58" s="42" t="s">
        <v>57</v>
      </c>
      <c r="C58" s="43"/>
      <c r="E58" s="20"/>
      <c r="F58" s="20"/>
      <c r="G58" s="20"/>
      <c r="H58" s="20"/>
      <c r="I58" s="20"/>
      <c r="L58" s="4"/>
      <c r="M58" s="63"/>
      <c r="N58" s="1"/>
    </row>
    <row r="59" spans="2:20">
      <c r="B59" s="45" t="s">
        <v>99</v>
      </c>
      <c r="C59" s="43"/>
      <c r="E59" s="20"/>
      <c r="F59" s="20"/>
      <c r="G59" s="20"/>
      <c r="H59" s="20"/>
      <c r="I59" s="20"/>
      <c r="L59" s="4"/>
      <c r="M59" s="63"/>
      <c r="N59" s="1"/>
    </row>
    <row r="60" spans="2:20">
      <c r="B60" s="42" t="s">
        <v>58</v>
      </c>
      <c r="C60" s="43"/>
      <c r="E60" s="20"/>
      <c r="F60" s="20"/>
      <c r="G60" s="20"/>
      <c r="H60" s="20"/>
      <c r="I60" s="20"/>
      <c r="L60" s="4"/>
      <c r="M60" s="66"/>
      <c r="N60" s="1"/>
    </row>
    <row r="61" spans="2:20">
      <c r="B61" s="42" t="s">
        <v>59</v>
      </c>
      <c r="C61" s="43"/>
      <c r="E61" s="20"/>
      <c r="F61" s="20"/>
      <c r="G61" s="20"/>
      <c r="H61" s="20"/>
      <c r="I61" s="20"/>
      <c r="L61" s="4"/>
      <c r="M61" s="67"/>
      <c r="N61" s="1"/>
    </row>
    <row r="62" spans="2:20">
      <c r="B62" s="42" t="s">
        <v>60</v>
      </c>
      <c r="C62" s="133">
        <f>D62/$D$8</f>
        <v>0.1644565495799129</v>
      </c>
      <c r="D62" s="19">
        <v>64849</v>
      </c>
      <c r="E62" s="18">
        <f>D62</f>
        <v>64849</v>
      </c>
      <c r="F62" s="18">
        <f t="shared" ref="F62:I62" si="41">E62</f>
        <v>64849</v>
      </c>
      <c r="G62" s="18">
        <f t="shared" si="41"/>
        <v>64849</v>
      </c>
      <c r="H62" s="18">
        <f t="shared" si="41"/>
        <v>64849</v>
      </c>
      <c r="I62" s="18">
        <f t="shared" si="41"/>
        <v>64849</v>
      </c>
      <c r="N62" s="1"/>
    </row>
    <row r="63" spans="2:20">
      <c r="B63" s="42" t="s">
        <v>27</v>
      </c>
      <c r="C63" s="133">
        <f>D63/$D$8</f>
        <v>-7.7804236628347826E-3</v>
      </c>
      <c r="D63" s="19">
        <v>-3068</v>
      </c>
      <c r="E63" s="18">
        <f>D63+E18-E19-E20</f>
        <v>10692.916971999999</v>
      </c>
      <c r="F63" s="18">
        <f>E63+F18-F19-F20</f>
        <v>35596.469918799994</v>
      </c>
      <c r="G63" s="18">
        <f>F63+G18-G19-G20</f>
        <v>75920.009011119982</v>
      </c>
      <c r="H63" s="18">
        <f>G63+H18-H19-H20</f>
        <v>113591.08645098396</v>
      </c>
      <c r="I63" s="18">
        <f>H63+I18-I19-I20</f>
        <v>136304.75400402967</v>
      </c>
      <c r="N63" s="1"/>
    </row>
    <row r="64" spans="2:20">
      <c r="B64" s="42" t="s">
        <v>61</v>
      </c>
      <c r="C64" s="133">
        <f>D64/$D$8</f>
        <v>-2.8172335876933376E-2</v>
      </c>
      <c r="D64" s="19">
        <v>-11109</v>
      </c>
      <c r="E64" s="18">
        <f>$C64*E$8</f>
        <v>-12219.900000000001</v>
      </c>
      <c r="F64" s="18">
        <f>$C64*F$8</f>
        <v>-14052.885</v>
      </c>
      <c r="G64" s="18">
        <f>$C64*G$8</f>
        <v>-16863.462</v>
      </c>
      <c r="H64" s="18">
        <f>$C64*H$8</f>
        <v>-19392.981299999996</v>
      </c>
      <c r="I64" s="18">
        <f>$C64*I$8</f>
        <v>-20362.630365000001</v>
      </c>
      <c r="N64" s="1"/>
    </row>
    <row r="65" spans="2:14">
      <c r="B65" s="46" t="s">
        <v>62</v>
      </c>
      <c r="C65" s="136">
        <f>D65/$D$8</f>
        <v>0.12850379004014476</v>
      </c>
      <c r="D65" s="36">
        <v>50672</v>
      </c>
      <c r="E65" s="37">
        <f>SUM(E59:E64)</f>
        <v>63322.016972000005</v>
      </c>
      <c r="F65" s="37">
        <f t="shared" ref="F65:I65" si="42">SUM(F59:F64)</f>
        <v>86392.584918799999</v>
      </c>
      <c r="G65" s="37">
        <f t="shared" si="42"/>
        <v>123905.54701111998</v>
      </c>
      <c r="H65" s="37">
        <f t="shared" si="42"/>
        <v>159047.10515098396</v>
      </c>
      <c r="I65" s="37">
        <f t="shared" si="42"/>
        <v>180791.12363902968</v>
      </c>
      <c r="N65" s="1"/>
    </row>
    <row r="66" spans="2:14">
      <c r="B66" s="45" t="s">
        <v>63</v>
      </c>
      <c r="C66" s="135">
        <f>D66/$D$8</f>
        <v>0.89458388174161796</v>
      </c>
      <c r="D66" s="26">
        <v>352755</v>
      </c>
      <c r="E66" s="27">
        <f>E56+E65</f>
        <v>395613.31697200006</v>
      </c>
      <c r="F66" s="27">
        <f t="shared" ref="F66:I66" si="43">F56+F65</f>
        <v>468527.57991880004</v>
      </c>
      <c r="G66" s="27">
        <f t="shared" si="43"/>
        <v>582467.54101111996</v>
      </c>
      <c r="H66" s="27">
        <f t="shared" si="43"/>
        <v>686393.3982509838</v>
      </c>
      <c r="I66" s="27">
        <f t="shared" si="43"/>
        <v>734504.73139402969</v>
      </c>
      <c r="N66" s="1"/>
    </row>
    <row r="67" spans="2:14">
      <c r="E67" s="1"/>
      <c r="N67" s="1"/>
    </row>
    <row r="68" spans="2:14">
      <c r="B68" s="4"/>
      <c r="E68" s="1"/>
    </row>
    <row r="69" spans="2:14">
      <c r="E69" s="1"/>
    </row>
    <row r="70" spans="2:14">
      <c r="E70" s="1"/>
      <c r="N70" s="1"/>
    </row>
    <row r="71" spans="2:14">
      <c r="E71" s="1"/>
      <c r="N71" s="1"/>
    </row>
    <row r="72" spans="2:14">
      <c r="E72" s="1"/>
      <c r="N72" s="1"/>
    </row>
    <row r="73" spans="2:14">
      <c r="E73" s="1"/>
      <c r="N73" s="1"/>
    </row>
    <row r="74" spans="2:14">
      <c r="E74" s="1"/>
      <c r="N74" s="1"/>
    </row>
    <row r="75" spans="2:14">
      <c r="E75" s="1"/>
    </row>
    <row r="76" spans="2:14">
      <c r="E76" s="1"/>
    </row>
    <row r="77" spans="2:14">
      <c r="E77" s="1"/>
    </row>
    <row r="78" spans="2:14">
      <c r="E78" s="1"/>
    </row>
    <row r="79" spans="2:14">
      <c r="E79" s="1"/>
    </row>
    <row r="80" spans="2:14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45" orientation="landscape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xr2:uid="{563EB817-7305-794A-B90C-CE95FD34DE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Analysis'!M8:R8</xm:f>
              <xm:sqref>S8</xm:sqref>
            </x14:sparkline>
            <x14:sparkline>
              <xm:f>'Financial Analysis'!M9:R9</xm:f>
              <xm:sqref>S9</xm:sqref>
            </x14:sparkline>
            <x14:sparkline>
              <xm:f>'Financial Analysis'!M10:R10</xm:f>
              <xm:sqref>S10</xm:sqref>
            </x14:sparkline>
            <x14:sparkline>
              <xm:f>'Financial Analysis'!M11:R11</xm:f>
              <xm:sqref>S11</xm:sqref>
            </x14:sparkline>
            <x14:sparkline>
              <xm:f>'Financial Analysis'!M12:R12</xm:f>
              <xm:sqref>S12</xm:sqref>
            </x14:sparkline>
            <x14:sparkline>
              <xm:f>'Financial Analysis'!M13:R13</xm:f>
              <xm:sqref>S13</xm:sqref>
            </x14:sparkline>
            <x14:sparkline>
              <xm:f>'Financial Analysis'!M14:R14</xm:f>
              <xm:sqref>S14</xm:sqref>
            </x14:sparkline>
            <x14:sparkline>
              <xm:f>'Financial Analysis'!M15:R15</xm:f>
              <xm:sqref>S15</xm:sqref>
            </x14:sparkline>
            <x14:sparkline>
              <xm:f>'Financial Analysis'!M16:R16</xm:f>
              <xm:sqref>S16</xm:sqref>
            </x14:sparkline>
            <x14:sparkline>
              <xm:f>'Financial Analysis'!M17:R17</xm:f>
              <xm:sqref>S17</xm:sqref>
            </x14:sparkline>
            <x14:sparkline>
              <xm:f>'Financial Analysis'!M18:R18</xm:f>
              <xm:sqref>S18</xm:sqref>
            </x14:sparkline>
            <x14:sparkline>
              <xm:f>'Financial Analysis'!M19:R19</xm:f>
              <xm:sqref>S19</xm:sqref>
            </x14:sparkline>
            <x14:sparkline>
              <xm:f>'Financial Analysis'!M20:R20</xm:f>
              <xm:sqref>S20</xm:sqref>
            </x14:sparkline>
            <x14:sparkline>
              <xm:f>'Financial Analysis'!M21:R21</xm:f>
              <xm:sqref>S21</xm:sqref>
            </x14:sparkline>
            <x14:sparkline>
              <xm:f>'Financial Analysis'!M22:R22</xm:f>
              <xm:sqref>S22</xm:sqref>
            </x14:sparkline>
            <x14:sparkline>
              <xm:f>'Financial Analysis'!M23:R23</xm:f>
              <xm:sqref>S23</xm:sqref>
            </x14:sparkline>
          </x14:sparklines>
        </x14:sparklineGroup>
        <x14:sparklineGroup displayEmptyCellsAs="gap" negative="1" xr2:uid="{04CD1616-A1D8-F549-996C-FB7F5EB3C8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Analysis'!D8:I8</xm:f>
              <xm:sqref>J8</xm:sqref>
            </x14:sparkline>
            <x14:sparkline>
              <xm:f>'Financial Analysis'!D9:I9</xm:f>
              <xm:sqref>J9</xm:sqref>
            </x14:sparkline>
            <x14:sparkline>
              <xm:f>'Financial Analysis'!D10:I10</xm:f>
              <xm:sqref>J10</xm:sqref>
            </x14:sparkline>
            <x14:sparkline>
              <xm:f>'Financial Analysis'!D11:I11</xm:f>
              <xm:sqref>J11</xm:sqref>
            </x14:sparkline>
            <x14:sparkline>
              <xm:f>'Financial Analysis'!D12:I12</xm:f>
              <xm:sqref>J12</xm:sqref>
            </x14:sparkline>
            <x14:sparkline>
              <xm:f>'Financial Analysis'!D13:I13</xm:f>
              <xm:sqref>J13</xm:sqref>
            </x14:sparkline>
            <x14:sparkline>
              <xm:f>'Financial Analysis'!D14:I14</xm:f>
              <xm:sqref>J14</xm:sqref>
            </x14:sparkline>
            <x14:sparkline>
              <xm:f>'Financial Analysis'!D15:I15</xm:f>
              <xm:sqref>J15</xm:sqref>
            </x14:sparkline>
            <x14:sparkline>
              <xm:f>'Financial Analysis'!D16:I16</xm:f>
              <xm:sqref>J16</xm:sqref>
            </x14:sparkline>
            <x14:sparkline>
              <xm:f>'Financial Analysis'!D17:I17</xm:f>
              <xm:sqref>J17</xm:sqref>
            </x14:sparkline>
            <x14:sparkline>
              <xm:f>'Financial Analysis'!D18:I18</xm:f>
              <xm:sqref>J18</xm:sqref>
            </x14:sparkline>
            <x14:sparkline>
              <xm:f>'Financial Analysis'!D19:I19</xm:f>
              <xm:sqref>J19</xm:sqref>
            </x14:sparkline>
            <x14:sparkline>
              <xm:f>'Financial Analysis'!D20:I20</xm:f>
              <xm:sqref>J20</xm:sqref>
            </x14:sparkline>
          </x14:sparklines>
        </x14:sparklineGroup>
        <x14:sparklineGroup displayEmptyCellsAs="gap" xr2:uid="{7A2CF68F-698D-BB4B-87E3-E5E639AFF1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Analysis'!M28:R28</xm:f>
              <xm:sqref>S28</xm:sqref>
            </x14:sparkline>
            <x14:sparkline>
              <xm:f>'Financial Analysis'!M29:R29</xm:f>
              <xm:sqref>S29</xm:sqref>
            </x14:sparkline>
            <x14:sparkline>
              <xm:f>'Financial Analysis'!M30:R30</xm:f>
              <xm:sqref>S30</xm:sqref>
            </x14:sparkline>
            <x14:sparkline>
              <xm:f>'Financial Analysis'!M31:R31</xm:f>
              <xm:sqref>S31</xm:sqref>
            </x14:sparkline>
            <x14:sparkline>
              <xm:f>'Financial Analysis'!M32:R32</xm:f>
              <xm:sqref>S32</xm:sqref>
            </x14:sparkline>
            <x14:sparkline>
              <xm:f>'Financial Analysis'!M33:R33</xm:f>
              <xm:sqref>S33</xm:sqref>
            </x14:sparkline>
            <x14:sparkline>
              <xm:f>'Financial Analysis'!M34:R34</xm:f>
              <xm:sqref>S34</xm:sqref>
            </x14:sparkline>
            <x14:sparkline>
              <xm:f>'Financial Analysis'!M35:R35</xm:f>
              <xm:sqref>S35</xm:sqref>
            </x14:sparkline>
            <x14:sparkline>
              <xm:f>'Financial Analysis'!M36:R36</xm:f>
              <xm:sqref>S36</xm:sqref>
            </x14:sparkline>
            <x14:sparkline>
              <xm:f>'Financial Analysis'!M37:R37</xm:f>
              <xm:sqref>S37</xm:sqref>
            </x14:sparkline>
            <x14:sparkline>
              <xm:f>'Financial Analysis'!M38:R38</xm:f>
              <xm:sqref>S38</xm:sqref>
            </x14:sparkline>
            <x14:sparkline>
              <xm:f>'Financial Analysis'!M39:R39</xm:f>
              <xm:sqref>S39</xm:sqref>
            </x14:sparkline>
            <x14:sparkline>
              <xm:f>'Financial Analysis'!M40:R40</xm:f>
              <xm:sqref>S40</xm:sqref>
            </x14:sparkline>
            <x14:sparkline>
              <xm:f>'Financial Analysis'!M41:R41</xm:f>
              <xm:sqref>S41</xm:sqref>
            </x14:sparkline>
            <x14:sparkline>
              <xm:f>'Financial Analysis'!M42:R42</xm:f>
              <xm:sqref>S42</xm:sqref>
            </x14:sparkline>
            <x14:sparkline>
              <xm:f>'Financial Analysis'!M43:R43</xm:f>
              <xm:sqref>S43</xm:sqref>
            </x14:sparkline>
            <x14:sparkline>
              <xm:f>'Financial Analysis'!M44:R44</xm:f>
              <xm:sqref>S44</xm:sqref>
            </x14:sparkline>
            <x14:sparkline>
              <xm:f>'Financial Analysis'!M45:R45</xm:f>
              <xm:sqref>S45</xm:sqref>
            </x14:sparkline>
            <x14:sparkline>
              <xm:f>'Financial Analysis'!M46:R46</xm:f>
              <xm:sqref>S46</xm:sqref>
            </x14:sparkline>
            <x14:sparkline>
              <xm:f>'Financial Analysis'!M47:R47</xm:f>
              <xm:sqref>S47</xm:sqref>
            </x14:sparkline>
            <x14:sparkline>
              <xm:f>'Financial Analysis'!M48:R48</xm:f>
              <xm:sqref>S48</xm:sqref>
            </x14:sparkline>
            <x14:sparkline>
              <xm:f>'Financial Analysis'!M49:R49</xm:f>
              <xm:sqref>S49</xm:sqref>
            </x14:sparkline>
            <x14:sparkline>
              <xm:f>'Financial Analysis'!M50:R50</xm:f>
              <xm:sqref>S50</xm:sqref>
            </x14:sparkline>
            <x14:sparkline>
              <xm:f>'Financial Analysis'!M51:R51</xm:f>
              <xm:sqref>S51</xm:sqref>
            </x14:sparkline>
            <x14:sparkline>
              <xm:f>'Financial Analysis'!M52:R52</xm:f>
              <xm:sqref>S52</xm:sqref>
            </x14:sparkline>
            <x14:sparkline>
              <xm:f>'Financial Analysis'!M53:R53</xm:f>
              <xm:sqref>S53</xm:sqref>
            </x14:sparkline>
            <x14:sparkline>
              <xm:f>'Financial Analysis'!M54:R54</xm:f>
              <xm:sqref>S54</xm:sqref>
            </x14:sparkline>
            <x14:sparkline>
              <xm:f>'Financial Analysis'!M55:R55</xm:f>
              <xm:sqref>S55</xm:sqref>
            </x14:sparkline>
            <x14:sparkline>
              <xm:f>'Financial Analysis'!M56:R56</xm:f>
              <xm:sqref>S56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Depot</vt:lpstr>
      <vt:lpstr>WACC</vt:lpstr>
      <vt:lpstr>Company Valuation</vt:lpstr>
      <vt:lpstr>Financial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Ahn</dc:creator>
  <cp:lastModifiedBy>Chloë Bouton</cp:lastModifiedBy>
  <cp:lastPrinted>2023-03-24T13:52:19Z</cp:lastPrinted>
  <dcterms:created xsi:type="dcterms:W3CDTF">2018-03-17T04:35:48Z</dcterms:created>
  <dcterms:modified xsi:type="dcterms:W3CDTF">2025-02-25T14:00:41Z</dcterms:modified>
</cp:coreProperties>
</file>