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schreiberova/Documents/CVUT/PhD/PhD_predikce/"/>
    </mc:Choice>
  </mc:AlternateContent>
  <xr:revisionPtr revIDLastSave="0" documentId="13_ncr:1_{CFFA18FB-285C-9846-8812-CAB5DE670AB4}" xr6:coauthVersionLast="45" xr6:coauthVersionMax="45" xr10:uidLastSave="{00000000-0000-0000-0000-000000000000}"/>
  <bookViews>
    <workbookView xWindow="0" yWindow="460" windowWidth="28800" windowHeight="15840" xr2:uid="{913046D0-1852-4562-870D-6F989565EF69}"/>
  </bookViews>
  <sheets>
    <sheet name="Aggregated_Data" sheetId="15" r:id="rId1"/>
    <sheet name="CEM I 52,5 R" sheetId="1" r:id="rId2"/>
    <sheet name="CEM I (II A) 42,5 R" sheetId="8" r:id="rId3"/>
    <sheet name="CEM II B-S 32,5 R" sheetId="9" r:id="rId4"/>
    <sheet name="CEM III B 32,5" sheetId="10" r:id="rId5"/>
    <sheet name="Graf CEM I 52,5 R" sheetId="11" r:id="rId6"/>
    <sheet name="Graf CEM I (II A) 42,5 R" sheetId="12" r:id="rId7"/>
    <sheet name="Graf II B-S 32,5 R" sheetId="13" r:id="rId8"/>
    <sheet name="Graf CEM III B 32,5" sheetId="14" r:id="rId9"/>
  </sheets>
  <definedNames>
    <definedName name="_xlnm._FilterDatabase" localSheetId="2" hidden="1">'CEM I (II A) 42,5 R'!$A$3:$AU$3</definedName>
    <definedName name="_xlnm._FilterDatabase" localSheetId="1" hidden="1">'CEM I 52,5 R'!$A$3:$AJ$3</definedName>
    <definedName name="_xlnm._FilterDatabase" localSheetId="3" hidden="1">'CEM II B-S 32,5 R'!$A$3:$AJ$3</definedName>
    <definedName name="_xlnm._FilterDatabase" localSheetId="4" hidden="1">'CEM III B 32,5'!$A$3:$AL$3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3" i="15"/>
  <c r="AQ158" i="15" l="1"/>
  <c r="AL158" i="15"/>
  <c r="AQ157" i="15"/>
  <c r="AL157" i="15"/>
  <c r="AG157" i="15"/>
  <c r="AC157" i="15"/>
  <c r="AQ155" i="15"/>
  <c r="AH155" i="15"/>
  <c r="AC155" i="15"/>
  <c r="AQ154" i="15"/>
  <c r="AL154" i="15"/>
  <c r="AG154" i="15"/>
  <c r="AC154" i="15"/>
  <c r="AQ153" i="15"/>
  <c r="AL153" i="15"/>
  <c r="AG153" i="15"/>
  <c r="AC153" i="15"/>
  <c r="AL151" i="15"/>
  <c r="AG151" i="15"/>
  <c r="AQ150" i="15"/>
  <c r="AL150" i="15"/>
  <c r="AG150" i="15"/>
  <c r="AC150" i="15"/>
  <c r="AQ149" i="15"/>
  <c r="AL149" i="15"/>
  <c r="AG149" i="15"/>
  <c r="AC149" i="15"/>
  <c r="AQ146" i="15"/>
  <c r="AL146" i="15"/>
  <c r="AG146" i="15"/>
  <c r="AD146" i="15"/>
  <c r="AC146" i="15"/>
  <c r="AB146" i="15"/>
  <c r="AQ145" i="15"/>
  <c r="AL145" i="15"/>
  <c r="AG145" i="15"/>
  <c r="AD145" i="15"/>
  <c r="AC145" i="15"/>
  <c r="AB145" i="15"/>
  <c r="AL141" i="15"/>
  <c r="AG141" i="15"/>
  <c r="AD141" i="15"/>
  <c r="AL135" i="15"/>
  <c r="AG135" i="15"/>
  <c r="AC135" i="15"/>
  <c r="AL134" i="15"/>
  <c r="AG134" i="15"/>
  <c r="AC134" i="15"/>
  <c r="AL133" i="15"/>
  <c r="AG133" i="15"/>
  <c r="AC133" i="15"/>
  <c r="AL132" i="15"/>
  <c r="AG132" i="15"/>
  <c r="AC132" i="15"/>
  <c r="AL131" i="15"/>
  <c r="AG131" i="15"/>
  <c r="AC131" i="15"/>
  <c r="AQ130" i="15"/>
  <c r="AL130" i="15"/>
  <c r="AG130" i="15"/>
  <c r="AC130" i="15"/>
  <c r="AL127" i="15"/>
  <c r="AG127" i="15"/>
  <c r="AC127" i="15"/>
  <c r="AL126" i="15"/>
  <c r="AG126" i="15"/>
  <c r="AC126" i="15"/>
  <c r="AL125" i="15"/>
  <c r="AG125" i="15"/>
  <c r="AC125" i="15"/>
  <c r="AL124" i="15"/>
  <c r="AG124" i="15"/>
  <c r="AC124" i="15"/>
  <c r="AL123" i="15"/>
  <c r="AL122" i="15"/>
  <c r="AG122" i="15"/>
  <c r="AC122" i="15"/>
  <c r="AL121" i="15"/>
  <c r="AQ120" i="15"/>
  <c r="AL120" i="15"/>
  <c r="AQ119" i="15"/>
  <c r="AL119" i="15"/>
  <c r="AG119" i="15"/>
  <c r="AC119" i="15"/>
  <c r="AQ118" i="15"/>
  <c r="AL118" i="15"/>
  <c r="AH118" i="15"/>
  <c r="AC118" i="15"/>
  <c r="AQ117" i="15"/>
  <c r="AL117" i="15"/>
  <c r="AG117" i="15"/>
  <c r="AC117" i="15"/>
  <c r="AQ116" i="15"/>
  <c r="AL116" i="15"/>
  <c r="AH116" i="15"/>
  <c r="AC116" i="15"/>
  <c r="AQ113" i="15"/>
  <c r="AL113" i="15"/>
  <c r="AG113" i="15"/>
  <c r="AC113" i="15"/>
  <c r="AL112" i="15"/>
  <c r="AL111" i="15"/>
  <c r="AL110" i="15"/>
  <c r="AQ107" i="15"/>
  <c r="AL107" i="15"/>
  <c r="AG107" i="15"/>
  <c r="AL106" i="15"/>
  <c r="AQ104" i="15"/>
  <c r="AL104" i="15"/>
  <c r="AG104" i="15"/>
  <c r="AC104" i="15"/>
  <c r="AQ103" i="15"/>
  <c r="AL103" i="15"/>
  <c r="AG103" i="15"/>
  <c r="AC103" i="15"/>
  <c r="AQ101" i="15"/>
  <c r="AL101" i="15"/>
  <c r="AG101" i="15"/>
  <c r="AC101" i="15"/>
  <c r="AQ100" i="15"/>
  <c r="AL100" i="15"/>
  <c r="AG100" i="15"/>
  <c r="AC100" i="15"/>
  <c r="AQ99" i="15"/>
  <c r="AL99" i="15"/>
  <c r="AG99" i="15"/>
  <c r="AC99" i="15"/>
  <c r="AQ98" i="15"/>
  <c r="AP98" i="15"/>
  <c r="AL98" i="15"/>
  <c r="AG98" i="15"/>
  <c r="AC98" i="15"/>
  <c r="AC97" i="15"/>
  <c r="AQ96" i="15"/>
  <c r="AL96" i="15"/>
  <c r="AG96" i="15"/>
  <c r="AC96" i="15"/>
  <c r="AQ95" i="15"/>
  <c r="AL95" i="15"/>
  <c r="AG95" i="15"/>
  <c r="AC95" i="15"/>
  <c r="AQ94" i="15"/>
  <c r="AP94" i="15"/>
  <c r="AL94" i="15"/>
  <c r="AG94" i="15"/>
  <c r="AC94" i="15"/>
  <c r="AL93" i="15"/>
  <c r="AL92" i="15"/>
  <c r="AG92" i="15"/>
  <c r="AL91" i="15"/>
  <c r="AG91" i="15"/>
  <c r="AL90" i="15"/>
  <c r="AL89" i="15"/>
  <c r="AQ88" i="15"/>
  <c r="AL88" i="15"/>
  <c r="AG88" i="15"/>
  <c r="AC88" i="15"/>
  <c r="AQ87" i="15"/>
  <c r="AL87" i="15"/>
  <c r="AH87" i="15"/>
  <c r="AC87" i="15"/>
  <c r="AQ86" i="15"/>
  <c r="AL86" i="15"/>
  <c r="AH86" i="15"/>
  <c r="AC86" i="15"/>
  <c r="AL84" i="15"/>
  <c r="AG84" i="15"/>
  <c r="AC84" i="15"/>
  <c r="AQ81" i="15"/>
  <c r="AL81" i="15"/>
  <c r="AG81" i="15"/>
  <c r="AC81" i="15"/>
  <c r="AL79" i="15"/>
  <c r="AL78" i="15"/>
  <c r="AM77" i="15"/>
  <c r="AQ76" i="15"/>
  <c r="AL76" i="15"/>
  <c r="AG76" i="15"/>
  <c r="AC76" i="15"/>
  <c r="AQ75" i="15"/>
  <c r="AL75" i="15"/>
  <c r="AG75" i="15"/>
  <c r="AC75" i="15"/>
  <c r="AQ74" i="15"/>
  <c r="AL74" i="15"/>
  <c r="AG74" i="15"/>
  <c r="AC74" i="15"/>
  <c r="AL71" i="15"/>
  <c r="AG71" i="15"/>
  <c r="AC71" i="15"/>
  <c r="AL70" i="15"/>
  <c r="AG70" i="15"/>
  <c r="AC70" i="15"/>
  <c r="AL69" i="15"/>
  <c r="AG69" i="15"/>
  <c r="AC69" i="15"/>
  <c r="AL67" i="15"/>
  <c r="AL66" i="15"/>
  <c r="AQ65" i="15"/>
  <c r="AL65" i="15"/>
  <c r="AG65" i="15"/>
  <c r="AC65" i="15"/>
  <c r="AL64" i="15"/>
  <c r="AG64" i="15"/>
  <c r="AM63" i="15"/>
  <c r="AH63" i="15"/>
  <c r="AC63" i="15"/>
  <c r="AM62" i="15"/>
  <c r="AH62" i="15"/>
  <c r="AC62" i="15"/>
  <c r="AM61" i="15"/>
  <c r="AH61" i="15"/>
  <c r="AC61" i="15"/>
  <c r="AM60" i="15"/>
  <c r="AH60" i="15"/>
  <c r="AC60" i="15"/>
  <c r="AQ58" i="15"/>
  <c r="AL58" i="15"/>
  <c r="AG58" i="15"/>
  <c r="AC58" i="15"/>
  <c r="AL56" i="15"/>
  <c r="AG56" i="15"/>
  <c r="AC56" i="15"/>
  <c r="AL55" i="15"/>
  <c r="AG55" i="15"/>
  <c r="AC55" i="15"/>
  <c r="AL54" i="15"/>
  <c r="AL53" i="15"/>
  <c r="AL52" i="15"/>
  <c r="AL51" i="15"/>
  <c r="AK50" i="15"/>
  <c r="AC50" i="15"/>
  <c r="AQ49" i="15"/>
  <c r="AL49" i="15"/>
  <c r="AG49" i="15"/>
  <c r="AC49" i="15"/>
  <c r="AM46" i="15"/>
  <c r="AH46" i="15"/>
  <c r="AC46" i="15"/>
  <c r="AM45" i="15"/>
  <c r="AH45" i="15"/>
  <c r="AC45" i="15"/>
  <c r="AL44" i="15"/>
  <c r="AG44" i="15"/>
  <c r="AC44" i="15"/>
  <c r="AL43" i="15"/>
  <c r="AG43" i="15"/>
  <c r="AC43" i="15"/>
  <c r="AL42" i="15"/>
  <c r="AG42" i="15"/>
  <c r="AC42" i="15"/>
  <c r="AL39" i="15"/>
  <c r="AG39" i="15"/>
  <c r="AC39" i="15"/>
  <c r="AL38" i="15"/>
  <c r="AG38" i="15"/>
  <c r="AL37" i="15"/>
  <c r="AG37" i="15"/>
  <c r="AC37" i="15"/>
  <c r="AM33" i="15"/>
  <c r="AG33" i="15"/>
  <c r="AC33" i="15"/>
  <c r="AL23" i="15"/>
  <c r="AG23" i="15"/>
  <c r="AC23" i="15"/>
  <c r="AL21" i="15"/>
  <c r="AL20" i="15"/>
  <c r="AG13" i="15"/>
  <c r="AL12" i="15"/>
  <c r="AG12" i="15"/>
  <c r="AL11" i="15"/>
  <c r="AI11" i="15"/>
  <c r="AL10" i="15"/>
  <c r="AL9" i="15"/>
  <c r="AL8" i="15"/>
  <c r="AL7" i="15"/>
  <c r="AL6" i="15"/>
  <c r="AL5" i="15"/>
  <c r="AL4" i="15"/>
  <c r="AL3" i="15"/>
  <c r="AL2" i="15"/>
  <c r="AC13" i="15"/>
  <c r="AB13" i="15"/>
  <c r="AC12" i="15"/>
  <c r="AC11" i="15"/>
  <c r="AC10" i="15"/>
  <c r="AC9" i="15"/>
  <c r="AC8" i="15"/>
  <c r="AC7" i="15"/>
  <c r="AC6" i="15"/>
  <c r="AC5" i="15"/>
  <c r="AC4" i="15"/>
  <c r="AC3" i="15"/>
  <c r="AC2" i="15"/>
  <c r="P18" i="10" l="1"/>
  <c r="K18" i="10"/>
  <c r="K11" i="10"/>
  <c r="F11" i="10"/>
  <c r="P17" i="10"/>
  <c r="K17" i="10"/>
  <c r="F17" i="10"/>
  <c r="B17" i="10"/>
  <c r="P14" i="10"/>
  <c r="K14" i="10"/>
  <c r="F14" i="10"/>
  <c r="B14" i="10"/>
  <c r="P15" i="10"/>
  <c r="G15" i="10"/>
  <c r="B15" i="10"/>
  <c r="P13" i="10"/>
  <c r="K13" i="10"/>
  <c r="F13" i="10"/>
  <c r="B13" i="10"/>
  <c r="P6" i="10"/>
  <c r="K6" i="10"/>
  <c r="F6" i="10"/>
  <c r="C6" i="10"/>
  <c r="B6" i="10"/>
  <c r="A6" i="10"/>
  <c r="P5" i="10"/>
  <c r="K5" i="10"/>
  <c r="F5" i="10"/>
  <c r="C5" i="10"/>
  <c r="B5" i="10"/>
  <c r="A5" i="10"/>
  <c r="P10" i="10"/>
  <c r="K10" i="10"/>
  <c r="F10" i="10"/>
  <c r="B10" i="10"/>
  <c r="P9" i="10"/>
  <c r="K9" i="10"/>
  <c r="F9" i="10"/>
  <c r="B9" i="10"/>
  <c r="P93" i="8"/>
  <c r="K93" i="8"/>
  <c r="F93" i="8"/>
  <c r="B93" i="8"/>
  <c r="P92" i="8"/>
  <c r="K92" i="8"/>
  <c r="F92" i="8"/>
  <c r="B92" i="8"/>
  <c r="K39" i="9"/>
  <c r="F39" i="9"/>
  <c r="C39" i="9"/>
  <c r="K10" i="9"/>
  <c r="K9" i="9"/>
  <c r="K8" i="9"/>
  <c r="K33" i="9"/>
  <c r="F33" i="9"/>
  <c r="B33" i="9"/>
  <c r="K32" i="9"/>
  <c r="F32" i="9"/>
  <c r="B32" i="9"/>
  <c r="K31" i="9"/>
  <c r="F31" i="9"/>
  <c r="B31" i="9"/>
  <c r="K30" i="9"/>
  <c r="F30" i="9"/>
  <c r="B30" i="9"/>
  <c r="K29" i="9"/>
  <c r="F29" i="9"/>
  <c r="B29" i="9"/>
  <c r="K25" i="9"/>
  <c r="F25" i="9"/>
  <c r="B25" i="9"/>
  <c r="K24" i="9"/>
  <c r="F24" i="9"/>
  <c r="B24" i="9"/>
  <c r="K23" i="9"/>
  <c r="F23" i="9"/>
  <c r="B23" i="9"/>
  <c r="K22" i="9"/>
  <c r="F22" i="9"/>
  <c r="B22" i="9"/>
  <c r="P18" i="9"/>
  <c r="K18" i="9"/>
  <c r="P17" i="9"/>
  <c r="K17" i="9"/>
  <c r="F17" i="9"/>
  <c r="B17" i="9"/>
  <c r="P16" i="9"/>
  <c r="K16" i="9"/>
  <c r="G16" i="9"/>
  <c r="B16" i="9"/>
  <c r="P15" i="9"/>
  <c r="K15" i="9"/>
  <c r="F15" i="9"/>
  <c r="B15" i="9"/>
  <c r="P14" i="9"/>
  <c r="K14" i="9"/>
  <c r="G14" i="9"/>
  <c r="B14" i="9"/>
  <c r="K21" i="9"/>
  <c r="K4" i="9"/>
  <c r="K20" i="9"/>
  <c r="F20" i="9"/>
  <c r="B20" i="9"/>
  <c r="P28" i="9"/>
  <c r="K28" i="9"/>
  <c r="F28" i="9"/>
  <c r="B28" i="9"/>
  <c r="P11" i="9"/>
  <c r="K11" i="9"/>
  <c r="F11" i="9"/>
  <c r="B11" i="9"/>
  <c r="K19" i="9"/>
  <c r="P5" i="9"/>
  <c r="K5" i="9"/>
  <c r="F5" i="9"/>
  <c r="K13" i="1"/>
  <c r="H13" i="1"/>
  <c r="B13" i="1"/>
  <c r="K12" i="1"/>
  <c r="B12" i="1"/>
  <c r="P38" i="8"/>
  <c r="K38" i="8"/>
  <c r="F38" i="8"/>
  <c r="B38" i="8"/>
  <c r="P47" i="8"/>
  <c r="K47" i="8"/>
  <c r="F47" i="8"/>
  <c r="B47" i="8"/>
  <c r="P54" i="8"/>
  <c r="K54" i="8"/>
  <c r="F54" i="8"/>
  <c r="B54" i="8"/>
  <c r="P70" i="8"/>
  <c r="K70" i="8"/>
  <c r="F70" i="8"/>
  <c r="B70" i="8"/>
  <c r="P65" i="8"/>
  <c r="K65" i="8"/>
  <c r="F65" i="8"/>
  <c r="B65" i="8"/>
  <c r="P76" i="8"/>
  <c r="K76" i="8"/>
  <c r="G76" i="8"/>
  <c r="B76" i="8"/>
  <c r="P75" i="8"/>
  <c r="K75" i="8"/>
  <c r="G75" i="8"/>
  <c r="B75" i="8"/>
  <c r="P85" i="8"/>
  <c r="K85" i="8"/>
  <c r="F85" i="8"/>
  <c r="B85" i="8"/>
  <c r="P88" i="8"/>
  <c r="K88" i="8"/>
  <c r="F88" i="8"/>
  <c r="B88" i="8"/>
  <c r="P89" i="8"/>
  <c r="K89" i="8"/>
  <c r="F89" i="8"/>
  <c r="B89" i="8"/>
  <c r="P90" i="8"/>
  <c r="K90" i="8"/>
  <c r="F90" i="8"/>
  <c r="B90" i="8"/>
  <c r="K68" i="8"/>
  <c r="K67" i="8"/>
  <c r="L66" i="8"/>
  <c r="L22" i="8"/>
  <c r="F22" i="8"/>
  <c r="B22" i="8"/>
  <c r="K45" i="8"/>
  <c r="F45" i="8"/>
  <c r="B45" i="8"/>
  <c r="K44" i="8"/>
  <c r="F44" i="8"/>
  <c r="B44" i="8"/>
  <c r="K60" i="8"/>
  <c r="F60" i="8"/>
  <c r="B60" i="8"/>
  <c r="K59" i="8"/>
  <c r="F59" i="8"/>
  <c r="B59" i="8"/>
  <c r="K73" i="8"/>
  <c r="F73" i="8"/>
  <c r="B73" i="8"/>
  <c r="K28" i="8"/>
  <c r="F28" i="8"/>
  <c r="B28" i="8"/>
  <c r="K58" i="8"/>
  <c r="F58" i="8"/>
  <c r="B58" i="8"/>
  <c r="K26" i="8"/>
  <c r="F26" i="8"/>
  <c r="B26" i="8"/>
  <c r="L35" i="8"/>
  <c r="G35" i="8"/>
  <c r="B35" i="8"/>
  <c r="L34" i="8"/>
  <c r="G34" i="8"/>
  <c r="B34" i="8"/>
  <c r="L52" i="8"/>
  <c r="G52" i="8"/>
  <c r="B52" i="8"/>
  <c r="L51" i="8"/>
  <c r="G51" i="8"/>
  <c r="B51" i="8"/>
  <c r="L50" i="8"/>
  <c r="G50" i="8"/>
  <c r="B50" i="8"/>
  <c r="L49" i="8"/>
  <c r="G49" i="8"/>
  <c r="B49" i="8"/>
  <c r="K33" i="8"/>
  <c r="F33" i="8"/>
  <c r="B33" i="8"/>
  <c r="K32" i="8"/>
  <c r="F32" i="8"/>
  <c r="B32" i="8"/>
  <c r="K31" i="8"/>
  <c r="F31" i="8"/>
  <c r="B31" i="8"/>
  <c r="K56" i="8"/>
  <c r="K55" i="8"/>
  <c r="K82" i="8"/>
  <c r="K81" i="8"/>
  <c r="F81" i="8"/>
  <c r="K80" i="8"/>
  <c r="F80" i="8"/>
  <c r="K79" i="8"/>
  <c r="K43" i="8"/>
  <c r="K42" i="8"/>
  <c r="K78" i="8"/>
  <c r="K41" i="8"/>
  <c r="K40" i="8"/>
  <c r="K53" i="8"/>
  <c r="F53" i="8"/>
  <c r="P84" i="8"/>
  <c r="K84" i="8"/>
  <c r="F84" i="8"/>
  <c r="B84" i="8"/>
  <c r="P64" i="8"/>
  <c r="K64" i="8"/>
  <c r="F64" i="8"/>
  <c r="B64" i="8"/>
  <c r="K12" i="8"/>
  <c r="F12" i="8"/>
  <c r="B12" i="8"/>
  <c r="P87" i="8"/>
  <c r="O87" i="8"/>
  <c r="K87" i="8"/>
  <c r="F87" i="8"/>
  <c r="B87" i="8"/>
  <c r="P83" i="8"/>
  <c r="O83" i="8"/>
  <c r="K83" i="8"/>
  <c r="F83" i="8"/>
  <c r="B83" i="8"/>
  <c r="P63" i="8"/>
  <c r="K63" i="8"/>
  <c r="F63" i="8"/>
  <c r="B63" i="8"/>
  <c r="K27" i="8"/>
  <c r="F27" i="8"/>
  <c r="B86" i="8"/>
  <c r="P77" i="8"/>
  <c r="K77" i="8"/>
  <c r="F77" i="8"/>
  <c r="B77" i="8"/>
  <c r="J39" i="8"/>
  <c r="B39" i="8"/>
  <c r="K10" i="8"/>
  <c r="K9" i="8"/>
  <c r="F15" i="1"/>
  <c r="B15" i="1"/>
  <c r="A15" i="1"/>
  <c r="K11" i="1"/>
  <c r="B11" i="1"/>
  <c r="K10" i="1"/>
  <c r="B10" i="1"/>
  <c r="K9" i="1"/>
  <c r="B9" i="1"/>
  <c r="K8" i="1"/>
  <c r="B8" i="1"/>
  <c r="K7" i="1"/>
  <c r="B7" i="1"/>
  <c r="K6" i="1"/>
  <c r="B6" i="1"/>
  <c r="K5" i="1"/>
  <c r="B5" i="1"/>
  <c r="K4" i="1"/>
  <c r="B4" i="1"/>
  <c r="K14" i="1"/>
  <c r="F14" i="1"/>
  <c r="B14" i="1"/>
</calcChain>
</file>

<file path=xl/sharedStrings.xml><?xml version="1.0" encoding="utf-8"?>
<sst xmlns="http://schemas.openxmlformats.org/spreadsheetml/2006/main" count="301" uniqueCount="89">
  <si>
    <t>CEM I 52,5 R</t>
  </si>
  <si>
    <t>CEM I 42,5 R</t>
  </si>
  <si>
    <t>popílek</t>
  </si>
  <si>
    <t>vápenec</t>
  </si>
  <si>
    <t>voda kalová</t>
  </si>
  <si>
    <t>plastifikační</t>
  </si>
  <si>
    <t>0/4</t>
  </si>
  <si>
    <t>4/8</t>
  </si>
  <si>
    <t>8/16</t>
  </si>
  <si>
    <t>16/22</t>
  </si>
  <si>
    <t>mikrosilika suspenze</t>
  </si>
  <si>
    <t>0/1</t>
  </si>
  <si>
    <t>krystalizační</t>
  </si>
  <si>
    <t>skleněné vlákna</t>
  </si>
  <si>
    <t>CEM III/B 32,5 L SR</t>
  </si>
  <si>
    <t>CEM II/A-LL 42,5 R</t>
  </si>
  <si>
    <t>0/2</t>
  </si>
  <si>
    <t>stabilizační</t>
  </si>
  <si>
    <t>mikrosilika</t>
  </si>
  <si>
    <t>voda čistá</t>
  </si>
  <si>
    <t>udržující konzistenci</t>
  </si>
  <si>
    <t>CEM III/B 32,5 N SR</t>
  </si>
  <si>
    <t>CEM II/B-S 32,5 R</t>
  </si>
  <si>
    <t>CEM II/A-M 42,5 R</t>
  </si>
  <si>
    <t>Pevnost v tlaku (MPa)</t>
  </si>
  <si>
    <t>Stáří betonu (dny)</t>
  </si>
  <si>
    <t>Třída cementu</t>
  </si>
  <si>
    <t>Příměsi</t>
  </si>
  <si>
    <t>Voda</t>
  </si>
  <si>
    <t>Přísady</t>
  </si>
  <si>
    <t>Frakce kameniva</t>
  </si>
  <si>
    <t>Vlákna</t>
  </si>
  <si>
    <t>zpomaující tuhnutí</t>
  </si>
  <si>
    <t>zpomalující tuhnutí</t>
  </si>
  <si>
    <t>urychlující tuhnutí</t>
  </si>
  <si>
    <t>PP vlákna</t>
  </si>
  <si>
    <t>superplastifi - kační</t>
  </si>
  <si>
    <t>provzdušňo - vací</t>
  </si>
  <si>
    <t>protismršťu - jící</t>
  </si>
  <si>
    <t>CemType</t>
  </si>
  <si>
    <t>CemAmt</t>
  </si>
  <si>
    <t>FlyAsh</t>
  </si>
  <si>
    <t>Limestone</t>
  </si>
  <si>
    <t>Plast</t>
  </si>
  <si>
    <t>Superplast</t>
  </si>
  <si>
    <t>Stabilizer</t>
  </si>
  <si>
    <t>Retarder</t>
  </si>
  <si>
    <t>SlumpRetention</t>
  </si>
  <si>
    <t>Agg_0_1</t>
  </si>
  <si>
    <t>Agg_0_4</t>
  </si>
  <si>
    <t>Agg_4_6</t>
  </si>
  <si>
    <t>Agg_8_16</t>
  </si>
  <si>
    <t>Day_1</t>
  </si>
  <si>
    <t>Day_2</t>
  </si>
  <si>
    <t>Day_7</t>
  </si>
  <si>
    <t>Day_28</t>
  </si>
  <si>
    <t>Day_90</t>
  </si>
  <si>
    <t>Day_3</t>
  </si>
  <si>
    <t>Day_4</t>
  </si>
  <si>
    <t>Day_5</t>
  </si>
  <si>
    <t>Day_8</t>
  </si>
  <si>
    <t>Day_9</t>
  </si>
  <si>
    <t>Day_14</t>
  </si>
  <si>
    <t>Day_27</t>
  </si>
  <si>
    <t>Day_29</t>
  </si>
  <si>
    <t>Day_30</t>
  </si>
  <si>
    <t>Day_56</t>
  </si>
  <si>
    <t>Day_59</t>
  </si>
  <si>
    <t>Day_123</t>
  </si>
  <si>
    <t>Day_179</t>
  </si>
  <si>
    <t>Day_181</t>
  </si>
  <si>
    <t>Day_182</t>
  </si>
  <si>
    <t>Day_189</t>
  </si>
  <si>
    <t>Day_190</t>
  </si>
  <si>
    <t>Day_360</t>
  </si>
  <si>
    <t>GlassFibres</t>
  </si>
  <si>
    <t>PPFibres</t>
  </si>
  <si>
    <t>CleanWater</t>
  </si>
  <si>
    <t>SludgeWater</t>
  </si>
  <si>
    <t>Microsil</t>
  </si>
  <si>
    <t>MicrosilSuspen</t>
  </si>
  <si>
    <t>AirEntrainer</t>
  </si>
  <si>
    <t>Accelerator</t>
  </si>
  <si>
    <t>ShrinkageReducer</t>
  </si>
  <si>
    <t>Crystalizer</t>
  </si>
  <si>
    <t>Agg_0_2</t>
  </si>
  <si>
    <t>Agg_4_8</t>
  </si>
  <si>
    <t>Agg_16_22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</si>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</sst>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theme="1"/>
      <name val="Arial"/>
      <family val="2"/>
      <charset val="238"/>
    </font>
    <font>
      <sz val="8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2" fontId="0" fillId="0" borderId="12" xfId="0" applyNumberFormat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14" xfId="0" applyNumberFormat="1" applyBorder="1" applyAlignment="1">
      <alignment horizontal="center" wrapText="1"/>
    </xf>
    <xf numFmtId="2" fontId="0" fillId="0" borderId="15" xfId="0" applyNumberFormat="1" applyBorder="1" applyAlignment="1">
      <alignment horizont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9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9" borderId="22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49" fontId="0" fillId="12" borderId="20" xfId="0" applyNumberFormat="1" applyFill="1" applyBorder="1" applyAlignment="1">
      <alignment horizontal="center" vertical="center" wrapText="1"/>
    </xf>
    <xf numFmtId="49" fontId="0" fillId="12" borderId="21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12" borderId="11" xfId="0" applyNumberFormat="1" applyFill="1" applyBorder="1" applyAlignment="1">
      <alignment horizontal="center" vertical="center" wrapText="1"/>
    </xf>
    <xf numFmtId="49" fontId="0" fillId="12" borderId="9" xfId="0" applyNumberFormat="1" applyFill="1" applyBorder="1" applyAlignment="1">
      <alignment horizontal="center" vertical="center" wrapText="1"/>
    </xf>
    <xf numFmtId="49" fontId="0" fillId="12" borderId="12" xfId="0" applyNumberFormat="1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16" xfId="0" applyFill="1" applyBorder="1" applyAlignment="1">
      <alignment horizontal="center" wrapText="1"/>
    </xf>
    <xf numFmtId="0" fontId="0" fillId="5" borderId="17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10" borderId="8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49" fontId="0" fillId="14" borderId="9" xfId="0" applyNumberFormat="1" applyFill="1" applyBorder="1" applyAlignment="1">
      <alignment horizontal="center" vertical="center" wrapText="1"/>
    </xf>
    <xf numFmtId="49" fontId="0" fillId="14" borderId="12" xfId="0" applyNumberFormat="1" applyFill="1" applyBorder="1" applyAlignment="1">
      <alignment horizontal="center" vertical="center" wrapText="1"/>
    </xf>
    <xf numFmtId="49" fontId="0" fillId="14" borderId="20" xfId="0" applyNumberFormat="1" applyFill="1" applyBorder="1" applyAlignment="1">
      <alignment horizontal="center" vertical="center" wrapText="1"/>
    </xf>
    <xf numFmtId="49" fontId="0" fillId="14" borderId="21" xfId="0" applyNumberForma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49" fontId="0" fillId="12" borderId="10" xfId="0" applyNumberFormat="1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49" fontId="0" fillId="14" borderId="35" xfId="0" applyNumberFormat="1" applyFill="1" applyBorder="1" applyAlignment="1">
      <alignment horizontal="center" vertical="center" wrapText="1"/>
    </xf>
    <xf numFmtId="49" fontId="0" fillId="14" borderId="36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 52,5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R'!$A$4:$P$4</c:f>
              <c:numCache>
                <c:formatCode>0.0</c:formatCode>
                <c:ptCount val="16"/>
                <c:pt idx="0">
                  <c:v>13.8</c:v>
                </c:pt>
                <c:pt idx="1">
                  <c:v>22.833333333333332</c:v>
                </c:pt>
                <c:pt idx="5">
                  <c:v>35.200000000000003</c:v>
                </c:pt>
                <c:pt idx="10">
                  <c:v>51.233333333333327</c:v>
                </c:pt>
                <c:pt idx="15">
                  <c:v>61.4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A21-889B-F11B21C8D1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R'!$A$5:$P$5</c:f>
              <c:numCache>
                <c:formatCode>0.0</c:formatCode>
                <c:ptCount val="16"/>
                <c:pt idx="0">
                  <c:v>14.8</c:v>
                </c:pt>
                <c:pt idx="1">
                  <c:v>22.766666666666669</c:v>
                </c:pt>
                <c:pt idx="5">
                  <c:v>36.200000000000003</c:v>
                </c:pt>
                <c:pt idx="10">
                  <c:v>52.833333333333336</c:v>
                </c:pt>
                <c:pt idx="15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0-4A21-889B-F11B21C8D1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R'!$A$6:$P$6</c:f>
              <c:numCache>
                <c:formatCode>0.0</c:formatCode>
                <c:ptCount val="16"/>
                <c:pt idx="0">
                  <c:v>11</c:v>
                </c:pt>
                <c:pt idx="1">
                  <c:v>19.3</c:v>
                </c:pt>
                <c:pt idx="5">
                  <c:v>32</c:v>
                </c:pt>
                <c:pt idx="10">
                  <c:v>51.966666666666669</c:v>
                </c:pt>
                <c:pt idx="15">
                  <c:v>58.6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0-4A21-889B-F11B21C8D13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R'!$A$7:$P$7</c:f>
              <c:numCache>
                <c:formatCode>0.0</c:formatCode>
                <c:ptCount val="16"/>
                <c:pt idx="0">
                  <c:v>35</c:v>
                </c:pt>
                <c:pt idx="1">
                  <c:v>46.5</c:v>
                </c:pt>
                <c:pt idx="5">
                  <c:v>60.5</c:v>
                </c:pt>
                <c:pt idx="10">
                  <c:v>70.066666666666677</c:v>
                </c:pt>
                <c:pt idx="15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0-4A21-889B-F11B21C8D13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R'!$A$8:$P$8</c:f>
              <c:numCache>
                <c:formatCode>0.0</c:formatCode>
                <c:ptCount val="16"/>
                <c:pt idx="0">
                  <c:v>38.6</c:v>
                </c:pt>
                <c:pt idx="1">
                  <c:v>49.333333333333336</c:v>
                </c:pt>
                <c:pt idx="5">
                  <c:v>67</c:v>
                </c:pt>
                <c:pt idx="10">
                  <c:v>78.2</c:v>
                </c:pt>
                <c:pt idx="15">
                  <c:v>89.2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0-4A21-889B-F11B21C8D13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R'!$A$9:$P$9</c:f>
              <c:numCache>
                <c:formatCode>0.0</c:formatCode>
                <c:ptCount val="16"/>
                <c:pt idx="0">
                  <c:v>33.4</c:v>
                </c:pt>
                <c:pt idx="1">
                  <c:v>47.433333333333337</c:v>
                </c:pt>
                <c:pt idx="5">
                  <c:v>63.7</c:v>
                </c:pt>
                <c:pt idx="10">
                  <c:v>76.333333333333343</c:v>
                </c:pt>
                <c:pt idx="15">
                  <c:v>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0-4A21-889B-F11B21C8D13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R'!$A$10:$P$10</c:f>
              <c:numCache>
                <c:formatCode>0.0</c:formatCode>
                <c:ptCount val="16"/>
                <c:pt idx="0">
                  <c:v>22.4</c:v>
                </c:pt>
                <c:pt idx="1">
                  <c:v>36.700000000000003</c:v>
                </c:pt>
                <c:pt idx="5">
                  <c:v>48.6</c:v>
                </c:pt>
                <c:pt idx="10">
                  <c:v>61.833333333333336</c:v>
                </c:pt>
                <c:pt idx="15">
                  <c:v>69.900000000000006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80-4A21-889B-F11B21C8D13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R'!$A$11:$P$11</c:f>
              <c:numCache>
                <c:formatCode>0.0</c:formatCode>
                <c:ptCount val="16"/>
                <c:pt idx="1">
                  <c:v>53.2</c:v>
                </c:pt>
                <c:pt idx="5">
                  <c:v>72.900000000000006</c:v>
                </c:pt>
                <c:pt idx="10">
                  <c:v>80.966666666666669</c:v>
                </c:pt>
                <c:pt idx="15">
                  <c:v>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80-4A21-889B-F11B21C8D13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R'!$A$12:$P$12</c:f>
              <c:numCache>
                <c:formatCode>0.0</c:formatCode>
                <c:ptCount val="16"/>
                <c:pt idx="0">
                  <c:v>30</c:v>
                </c:pt>
                <c:pt idx="1">
                  <c:v>42.5</c:v>
                </c:pt>
                <c:pt idx="6">
                  <c:v>62.1</c:v>
                </c:pt>
                <c:pt idx="10">
                  <c:v>71.366666666666674</c:v>
                </c:pt>
                <c:pt idx="15">
                  <c:v>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80-4A21-889B-F11B21C8D13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R'!$A$13:$P$13</c:f>
              <c:numCache>
                <c:formatCode>0.0</c:formatCode>
                <c:ptCount val="16"/>
                <c:pt idx="0">
                  <c:v>34.5</c:v>
                </c:pt>
                <c:pt idx="1">
                  <c:v>40.266666666666673</c:v>
                </c:pt>
                <c:pt idx="7">
                  <c:v>61.833333333333336</c:v>
                </c:pt>
                <c:pt idx="10">
                  <c:v>72.86666666666666</c:v>
                </c:pt>
                <c:pt idx="15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80-4A21-889B-F11B21C8D13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R'!$A$14:$P$14</c:f>
              <c:numCache>
                <c:formatCode>0.0</c:formatCode>
                <c:ptCount val="16"/>
                <c:pt idx="1">
                  <c:v>37.56666666666667</c:v>
                </c:pt>
                <c:pt idx="5">
                  <c:v>50.9</c:v>
                </c:pt>
                <c:pt idx="10">
                  <c:v>62.033333333333331</c:v>
                </c:pt>
                <c:pt idx="15">
                  <c:v>77.7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80-4A21-889B-F11B21C8D13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R'!$A$15:$P$15</c:f>
              <c:numCache>
                <c:formatCode>0.0</c:formatCode>
                <c:ptCount val="16"/>
                <c:pt idx="0">
                  <c:v>30.433333333333334</c:v>
                </c:pt>
                <c:pt idx="1">
                  <c:v>46.2</c:v>
                </c:pt>
                <c:pt idx="5">
                  <c:v>63.75</c:v>
                </c:pt>
                <c:pt idx="10">
                  <c:v>64</c:v>
                </c:pt>
                <c:pt idx="15">
                  <c:v>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80-4A21-889B-F11B21C8D13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R'!$A$16:$P$16</c:f>
              <c:numCache>
                <c:formatCode>0.0</c:formatCode>
                <c:ptCount val="16"/>
                <c:pt idx="0">
                  <c:v>20.399999999999999</c:v>
                </c:pt>
                <c:pt idx="1">
                  <c:v>29</c:v>
                </c:pt>
                <c:pt idx="5">
                  <c:v>46.4</c:v>
                </c:pt>
                <c:pt idx="11">
                  <c:v>52.7</c:v>
                </c:pt>
                <c:pt idx="1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80-4A21-889B-F11B21C8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 42,5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R'!$A$4:$W$4</c:f>
              <c:numCache>
                <c:formatCode>0.0</c:formatCode>
                <c:ptCount val="23"/>
                <c:pt idx="0">
                  <c:v>13</c:v>
                </c:pt>
                <c:pt idx="1">
                  <c:v>29.4</c:v>
                </c:pt>
                <c:pt idx="4">
                  <c:v>47.6</c:v>
                </c:pt>
                <c:pt idx="5">
                  <c:v>51.3</c:v>
                </c:pt>
                <c:pt idx="10">
                  <c:v>62.3</c:v>
                </c:pt>
                <c:pt idx="15">
                  <c:v>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B-4728-845F-4251070EF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R'!$A$5:$W$5</c:f>
              <c:numCache>
                <c:formatCode>0.0</c:formatCode>
                <c:ptCount val="23"/>
                <c:pt idx="2">
                  <c:v>42.5</c:v>
                </c:pt>
                <c:pt idx="5">
                  <c:v>57.5</c:v>
                </c:pt>
                <c:pt idx="10">
                  <c:v>69.7</c:v>
                </c:pt>
                <c:pt idx="15">
                  <c:v>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B-4728-845F-4251070EFF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R'!$A$6:$W$6</c:f>
              <c:numCache>
                <c:formatCode>0.0</c:formatCode>
                <c:ptCount val="23"/>
                <c:pt idx="0">
                  <c:v>11.3</c:v>
                </c:pt>
                <c:pt idx="1">
                  <c:v>29.7</c:v>
                </c:pt>
                <c:pt idx="4">
                  <c:v>49.4</c:v>
                </c:pt>
                <c:pt idx="5">
                  <c:v>53.2</c:v>
                </c:pt>
                <c:pt idx="10">
                  <c:v>66.8</c:v>
                </c:pt>
                <c:pt idx="15">
                  <c:v>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B-4728-845F-4251070EFF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R'!$A$7:$W$7</c:f>
              <c:numCache>
                <c:formatCode>0.0</c:formatCode>
                <c:ptCount val="23"/>
                <c:pt idx="2">
                  <c:v>43.6</c:v>
                </c:pt>
                <c:pt idx="5">
                  <c:v>57</c:v>
                </c:pt>
                <c:pt idx="10">
                  <c:v>69.599999999999994</c:v>
                </c:pt>
                <c:pt idx="15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B-4728-845F-4251070EFF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R'!$A$8:$W$8</c:f>
              <c:numCache>
                <c:formatCode>0.0</c:formatCode>
                <c:ptCount val="23"/>
                <c:pt idx="2">
                  <c:v>46.5</c:v>
                </c:pt>
                <c:pt idx="5">
                  <c:v>58.6</c:v>
                </c:pt>
                <c:pt idx="10">
                  <c:v>64.5</c:v>
                </c:pt>
                <c:pt idx="15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B-4728-845F-4251070EFFF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R'!$A$9:$W$9</c:f>
              <c:numCache>
                <c:formatCode>0.0</c:formatCode>
                <c:ptCount val="23"/>
                <c:pt idx="0">
                  <c:v>29.8</c:v>
                </c:pt>
                <c:pt idx="1">
                  <c:v>36.700000000000003</c:v>
                </c:pt>
                <c:pt idx="2">
                  <c:v>40.5</c:v>
                </c:pt>
                <c:pt idx="10">
                  <c:v>58.966666666666669</c:v>
                </c:pt>
                <c:pt idx="1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AB-4728-845F-4251070EFFF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R'!$A$10:$W$10</c:f>
              <c:numCache>
                <c:formatCode>0.0</c:formatCode>
                <c:ptCount val="23"/>
                <c:pt idx="0">
                  <c:v>36.4</c:v>
                </c:pt>
                <c:pt idx="1">
                  <c:v>46.5</c:v>
                </c:pt>
                <c:pt idx="2">
                  <c:v>47.2</c:v>
                </c:pt>
                <c:pt idx="5">
                  <c:v>53.7</c:v>
                </c:pt>
                <c:pt idx="10">
                  <c:v>63.166666666666664</c:v>
                </c:pt>
                <c:pt idx="15">
                  <c:v>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AB-4728-845F-4251070EFFF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R'!$A$11:$W$11</c:f>
              <c:numCache>
                <c:formatCode>0.0</c:formatCode>
                <c:ptCount val="23"/>
                <c:pt idx="0">
                  <c:v>28.9</c:v>
                </c:pt>
                <c:pt idx="1">
                  <c:v>38.799999999999997</c:v>
                </c:pt>
                <c:pt idx="2">
                  <c:v>43.9</c:v>
                </c:pt>
                <c:pt idx="5">
                  <c:v>49.1</c:v>
                </c:pt>
                <c:pt idx="10">
                  <c:v>58.3</c:v>
                </c:pt>
                <c:pt idx="1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AB-4728-845F-4251070EFFF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R'!$A$12:$W$12</c:f>
              <c:numCache>
                <c:formatCode>0.0</c:formatCode>
                <c:ptCount val="23"/>
                <c:pt idx="1">
                  <c:v>38</c:v>
                </c:pt>
                <c:pt idx="5">
                  <c:v>51.333333333333336</c:v>
                </c:pt>
                <c:pt idx="10">
                  <c:v>65.2</c:v>
                </c:pt>
                <c:pt idx="1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AB-4728-845F-4251070EFFF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R'!$A$13:$W$13</c:f>
              <c:numCache>
                <c:formatCode>0.0</c:formatCode>
                <c:ptCount val="23"/>
                <c:pt idx="1">
                  <c:v>38.299999999999997</c:v>
                </c:pt>
                <c:pt idx="5">
                  <c:v>42.4</c:v>
                </c:pt>
                <c:pt idx="11">
                  <c:v>46.6</c:v>
                </c:pt>
                <c:pt idx="15">
                  <c:v>51.7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AB-4728-845F-4251070EFFF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R'!$A$14:$W$14</c:f>
              <c:numCache>
                <c:formatCode>0.0</c:formatCode>
                <c:ptCount val="23"/>
                <c:pt idx="1">
                  <c:v>39.5</c:v>
                </c:pt>
                <c:pt idx="5">
                  <c:v>46.6</c:v>
                </c:pt>
                <c:pt idx="11">
                  <c:v>51</c:v>
                </c:pt>
                <c:pt idx="15">
                  <c:v>58.3</c:v>
                </c:pt>
                <c:pt idx="17">
                  <c:v>58.1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AB-4728-845F-4251070EFFF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R'!$A$15:$W$15</c:f>
              <c:numCache>
                <c:formatCode>0.0</c:formatCode>
                <c:ptCount val="23"/>
                <c:pt idx="1">
                  <c:v>38.1</c:v>
                </c:pt>
                <c:pt idx="5">
                  <c:v>42.3</c:v>
                </c:pt>
                <c:pt idx="11">
                  <c:v>48.6</c:v>
                </c:pt>
                <c:pt idx="15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AB-4728-845F-4251070EFFF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R'!$A$16:$W$16</c:f>
              <c:numCache>
                <c:formatCode>0.0</c:formatCode>
                <c:ptCount val="23"/>
                <c:pt idx="1">
                  <c:v>42.6</c:v>
                </c:pt>
                <c:pt idx="2">
                  <c:v>46</c:v>
                </c:pt>
                <c:pt idx="5">
                  <c:v>47.2</c:v>
                </c:pt>
                <c:pt idx="10">
                  <c:v>62.2</c:v>
                </c:pt>
                <c:pt idx="15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AB-4728-845F-4251070EFFF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R'!$A$17:$W$17</c:f>
              <c:numCache>
                <c:formatCode>0.0</c:formatCode>
                <c:ptCount val="23"/>
                <c:pt idx="0">
                  <c:v>10.199999999999999</c:v>
                </c:pt>
                <c:pt idx="1">
                  <c:v>30.4</c:v>
                </c:pt>
                <c:pt idx="2">
                  <c:v>35.9</c:v>
                </c:pt>
                <c:pt idx="5">
                  <c:v>41</c:v>
                </c:pt>
                <c:pt idx="10">
                  <c:v>50.2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AB-4728-845F-4251070EFFF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R'!$A$18:$W$18</c:f>
              <c:numCache>
                <c:formatCode>0.0</c:formatCode>
                <c:ptCount val="23"/>
                <c:pt idx="0">
                  <c:v>10.4</c:v>
                </c:pt>
                <c:pt idx="1">
                  <c:v>28.9</c:v>
                </c:pt>
                <c:pt idx="2">
                  <c:v>33.9</c:v>
                </c:pt>
                <c:pt idx="5">
                  <c:v>39.6</c:v>
                </c:pt>
                <c:pt idx="10">
                  <c:v>47.2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AB-4728-845F-4251070EFFF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R'!$A$19:$W$19</c:f>
              <c:numCache>
                <c:formatCode>0.0</c:formatCode>
                <c:ptCount val="23"/>
                <c:pt idx="2">
                  <c:v>40</c:v>
                </c:pt>
                <c:pt idx="5">
                  <c:v>43.3</c:v>
                </c:pt>
                <c:pt idx="10">
                  <c:v>46.8</c:v>
                </c:pt>
                <c:pt idx="15">
                  <c:v>55.7</c:v>
                </c:pt>
                <c:pt idx="19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7AB-4728-845F-4251070EFFF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R'!$A$20:$W$20</c:f>
              <c:numCache>
                <c:formatCode>0.0</c:formatCode>
                <c:ptCount val="23"/>
                <c:pt idx="2">
                  <c:v>38.1</c:v>
                </c:pt>
                <c:pt idx="5">
                  <c:v>42.8</c:v>
                </c:pt>
                <c:pt idx="10">
                  <c:v>43.6</c:v>
                </c:pt>
                <c:pt idx="15">
                  <c:v>52.3</c:v>
                </c:pt>
                <c:pt idx="19">
                  <c:v>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AB-4728-845F-4251070EFFF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R'!$A$21:$W$21</c:f>
              <c:numCache>
                <c:formatCode>0.0</c:formatCode>
                <c:ptCount val="23"/>
                <c:pt idx="2">
                  <c:v>39.700000000000003</c:v>
                </c:pt>
                <c:pt idx="5">
                  <c:v>41.5</c:v>
                </c:pt>
                <c:pt idx="10">
                  <c:v>47.8</c:v>
                </c:pt>
                <c:pt idx="15">
                  <c:v>51.8</c:v>
                </c:pt>
                <c:pt idx="19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AB-4728-845F-4251070EFFF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R'!$A$22:$W$22</c:f>
              <c:numCache>
                <c:formatCode>0.0</c:formatCode>
                <c:ptCount val="23"/>
                <c:pt idx="1">
                  <c:v>28.8</c:v>
                </c:pt>
                <c:pt idx="5">
                  <c:v>41.266666666666666</c:v>
                </c:pt>
                <c:pt idx="11">
                  <c:v>47.533333333333331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7AB-4728-845F-4251070EFFF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R'!$A$23:$W$23</c:f>
              <c:numCache>
                <c:formatCode>0.0</c:formatCode>
                <c:ptCount val="23"/>
                <c:pt idx="1">
                  <c:v>26.2</c:v>
                </c:pt>
                <c:pt idx="3">
                  <c:v>38.200000000000003</c:v>
                </c:pt>
                <c:pt idx="4">
                  <c:v>40.4</c:v>
                </c:pt>
                <c:pt idx="5">
                  <c:v>43.1</c:v>
                </c:pt>
                <c:pt idx="10">
                  <c:v>49</c:v>
                </c:pt>
                <c:pt idx="15">
                  <c:v>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7AB-4728-845F-4251070EFFF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R'!$A$24:$W$24</c:f>
              <c:numCache>
                <c:formatCode>0.0</c:formatCode>
                <c:ptCount val="23"/>
                <c:pt idx="2">
                  <c:v>34.1</c:v>
                </c:pt>
                <c:pt idx="4">
                  <c:v>40.4</c:v>
                </c:pt>
                <c:pt idx="5">
                  <c:v>44</c:v>
                </c:pt>
                <c:pt idx="10">
                  <c:v>55.6</c:v>
                </c:pt>
                <c:pt idx="15">
                  <c:v>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AB-4728-845F-4251070EFFF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R'!$A$25:$W$25</c:f>
              <c:numCache>
                <c:formatCode>0.0</c:formatCode>
                <c:ptCount val="23"/>
                <c:pt idx="2">
                  <c:v>34.9</c:v>
                </c:pt>
                <c:pt idx="6">
                  <c:v>43.3</c:v>
                </c:pt>
                <c:pt idx="10">
                  <c:v>54.5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AB-4728-845F-4251070EFFF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R'!$A$26:$W$26</c:f>
              <c:numCache>
                <c:formatCode>0.0</c:formatCode>
                <c:ptCount val="23"/>
                <c:pt idx="1">
                  <c:v>32.066666666666663</c:v>
                </c:pt>
                <c:pt idx="5">
                  <c:v>43.79999999999999</c:v>
                </c:pt>
                <c:pt idx="10">
                  <c:v>48.366666666666674</c:v>
                </c:pt>
                <c:pt idx="15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AB-4728-845F-4251070EFFF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R'!$A$27:$W$27</c:f>
              <c:numCache>
                <c:formatCode>0.0</c:formatCode>
                <c:ptCount val="23"/>
                <c:pt idx="2">
                  <c:v>37.6</c:v>
                </c:pt>
                <c:pt idx="3">
                  <c:v>40.799999999999997</c:v>
                </c:pt>
                <c:pt idx="5">
                  <c:v>45.55</c:v>
                </c:pt>
                <c:pt idx="10">
                  <c:v>55.099999999999994</c:v>
                </c:pt>
                <c:pt idx="15">
                  <c:v>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AB-4728-845F-4251070EFFF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R'!$A$28:$W$28</c:f>
              <c:numCache>
                <c:formatCode>0.0</c:formatCode>
                <c:ptCount val="23"/>
                <c:pt idx="1">
                  <c:v>38.566666666666663</c:v>
                </c:pt>
                <c:pt idx="5">
                  <c:v>46.566666666666663</c:v>
                </c:pt>
                <c:pt idx="10">
                  <c:v>55.166666666666664</c:v>
                </c:pt>
                <c:pt idx="1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AB-4728-845F-4251070EFFF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R'!$A$29:$W$29</c:f>
              <c:numCache>
                <c:formatCode>0.0</c:formatCode>
                <c:ptCount val="23"/>
                <c:pt idx="0">
                  <c:v>2.8</c:v>
                </c:pt>
                <c:pt idx="2">
                  <c:v>27.3</c:v>
                </c:pt>
                <c:pt idx="5">
                  <c:v>38</c:v>
                </c:pt>
                <c:pt idx="10">
                  <c:v>46.3</c:v>
                </c:pt>
                <c:pt idx="15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7AB-4728-845F-4251070EFFF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R'!$A$30:$W$30</c:f>
              <c:numCache>
                <c:formatCode>0.0</c:formatCode>
                <c:ptCount val="23"/>
                <c:pt idx="0">
                  <c:v>2</c:v>
                </c:pt>
                <c:pt idx="2">
                  <c:v>27.7</c:v>
                </c:pt>
                <c:pt idx="5">
                  <c:v>37.5</c:v>
                </c:pt>
                <c:pt idx="10">
                  <c:v>44.2</c:v>
                </c:pt>
                <c:pt idx="15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7AB-4728-845F-4251070EFFF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R'!$A$31:$W$31</c:f>
              <c:numCache>
                <c:formatCode>0.0</c:formatCode>
                <c:ptCount val="23"/>
                <c:pt idx="1">
                  <c:v>32.299999999999997</c:v>
                </c:pt>
                <c:pt idx="5">
                  <c:v>38.25</c:v>
                </c:pt>
                <c:pt idx="10">
                  <c:v>43.45</c:v>
                </c:pt>
                <c:pt idx="15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7AB-4728-845F-4251070EFFF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R'!$A$32:$W$32</c:f>
              <c:numCache>
                <c:formatCode>0.0</c:formatCode>
                <c:ptCount val="23"/>
                <c:pt idx="1">
                  <c:v>26.55</c:v>
                </c:pt>
                <c:pt idx="5">
                  <c:v>32.25</c:v>
                </c:pt>
                <c:pt idx="10">
                  <c:v>37.25</c:v>
                </c:pt>
                <c:pt idx="15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7AB-4728-845F-4251070EFFF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R'!$A$33:$W$33</c:f>
              <c:numCache>
                <c:formatCode>0.0</c:formatCode>
                <c:ptCount val="23"/>
                <c:pt idx="1">
                  <c:v>31.6</c:v>
                </c:pt>
                <c:pt idx="5">
                  <c:v>35.900000000000006</c:v>
                </c:pt>
                <c:pt idx="10">
                  <c:v>41.1</c:v>
                </c:pt>
                <c:pt idx="1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7AB-4728-845F-4251070EFFF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R'!$A$34:$W$34</c:f>
              <c:numCache>
                <c:formatCode>0.0</c:formatCode>
                <c:ptCount val="23"/>
                <c:pt idx="1">
                  <c:v>35.549999999999997</c:v>
                </c:pt>
                <c:pt idx="6">
                  <c:v>41.4</c:v>
                </c:pt>
                <c:pt idx="11">
                  <c:v>46</c:v>
                </c:pt>
                <c:pt idx="1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7AB-4728-845F-4251070EFFF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R'!$A$35:$W$35</c:f>
              <c:numCache>
                <c:formatCode>0.0</c:formatCode>
                <c:ptCount val="23"/>
                <c:pt idx="1">
                  <c:v>30.45</c:v>
                </c:pt>
                <c:pt idx="6">
                  <c:v>37.700000000000003</c:v>
                </c:pt>
                <c:pt idx="11">
                  <c:v>43.3</c:v>
                </c:pt>
                <c:pt idx="15">
                  <c:v>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7AB-4728-845F-4251070EFFF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R'!$A$36:$W$36</c:f>
              <c:numCache>
                <c:formatCode>0.0</c:formatCode>
                <c:ptCount val="23"/>
                <c:pt idx="1">
                  <c:v>35.700000000000003</c:v>
                </c:pt>
                <c:pt idx="6">
                  <c:v>40.6</c:v>
                </c:pt>
                <c:pt idx="11">
                  <c:v>47.1</c:v>
                </c:pt>
                <c:pt idx="15">
                  <c:v>51.7</c:v>
                </c:pt>
                <c:pt idx="21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7AB-4728-845F-4251070EFFF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R'!$A$37:$W$37</c:f>
              <c:numCache>
                <c:formatCode>0.0</c:formatCode>
                <c:ptCount val="23"/>
                <c:pt idx="1">
                  <c:v>30.9</c:v>
                </c:pt>
                <c:pt idx="6">
                  <c:v>38</c:v>
                </c:pt>
                <c:pt idx="11">
                  <c:v>43.8</c:v>
                </c:pt>
                <c:pt idx="15">
                  <c:v>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7AB-4728-845F-4251070EFFF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R'!$A$38:$W$38</c:f>
              <c:numCache>
                <c:formatCode>0.0</c:formatCode>
                <c:ptCount val="23"/>
                <c:pt idx="1">
                  <c:v>31.033333333333331</c:v>
                </c:pt>
                <c:pt idx="5">
                  <c:v>43.133333333333326</c:v>
                </c:pt>
                <c:pt idx="10">
                  <c:v>55.56666666666667</c:v>
                </c:pt>
                <c:pt idx="1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7AB-4728-845F-4251070EFFF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R'!$A$39:$W$39</c:f>
              <c:numCache>
                <c:formatCode>0.0</c:formatCode>
                <c:ptCount val="23"/>
                <c:pt idx="1">
                  <c:v>31.933333333333334</c:v>
                </c:pt>
                <c:pt idx="5">
                  <c:v>41.2</c:v>
                </c:pt>
                <c:pt idx="9">
                  <c:v>45.666666666666664</c:v>
                </c:pt>
                <c:pt idx="15">
                  <c:v>51.8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7AB-4728-845F-4251070EFFF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R'!$A$40:$W$40</c:f>
              <c:numCache>
                <c:formatCode>0.0</c:formatCode>
                <c:ptCount val="23"/>
                <c:pt idx="1">
                  <c:v>31.6</c:v>
                </c:pt>
                <c:pt idx="2">
                  <c:v>34.299999999999997</c:v>
                </c:pt>
                <c:pt idx="5">
                  <c:v>46</c:v>
                </c:pt>
                <c:pt idx="10">
                  <c:v>53.4</c:v>
                </c:pt>
                <c:pt idx="1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7AB-4728-845F-4251070EFFF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R'!$A$41:$W$41</c:f>
              <c:numCache>
                <c:formatCode>0.0</c:formatCode>
                <c:ptCount val="23"/>
                <c:pt idx="1">
                  <c:v>24</c:v>
                </c:pt>
                <c:pt idx="2">
                  <c:v>31.2</c:v>
                </c:pt>
                <c:pt idx="5">
                  <c:v>38.299999999999997</c:v>
                </c:pt>
                <c:pt idx="10">
                  <c:v>48.300000000000004</c:v>
                </c:pt>
                <c:pt idx="15">
                  <c:v>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7AB-4728-845F-4251070EFFF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R'!$A$42:$W$42</c:f>
              <c:numCache>
                <c:formatCode>0.0</c:formatCode>
                <c:ptCount val="23"/>
                <c:pt idx="1">
                  <c:v>28</c:v>
                </c:pt>
                <c:pt idx="2">
                  <c:v>33.700000000000003</c:v>
                </c:pt>
                <c:pt idx="5">
                  <c:v>41.2</c:v>
                </c:pt>
                <c:pt idx="10">
                  <c:v>46.566666666666663</c:v>
                </c:pt>
                <c:pt idx="15">
                  <c:v>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7AB-4728-845F-4251070EFFF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R'!$A$43:$W$43</c:f>
              <c:numCache>
                <c:formatCode>0.0</c:formatCode>
                <c:ptCount val="23"/>
                <c:pt idx="1">
                  <c:v>24.5</c:v>
                </c:pt>
                <c:pt idx="2">
                  <c:v>30.5</c:v>
                </c:pt>
                <c:pt idx="5">
                  <c:v>41.1</c:v>
                </c:pt>
                <c:pt idx="10">
                  <c:v>47.199999999999996</c:v>
                </c:pt>
                <c:pt idx="15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7AB-4728-845F-4251070EFFFB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R'!$A$44:$W$44</c:f>
              <c:numCache>
                <c:formatCode>0.0</c:formatCode>
                <c:ptCount val="23"/>
                <c:pt idx="1">
                  <c:v>27.566666666666666</c:v>
                </c:pt>
                <c:pt idx="5">
                  <c:v>37.266666666666673</c:v>
                </c:pt>
                <c:pt idx="10">
                  <c:v>45.766666666666659</c:v>
                </c:pt>
                <c:pt idx="15">
                  <c:v>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7AB-4728-845F-4251070EFFFB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R'!$A$45:$W$45</c:f>
              <c:numCache>
                <c:formatCode>0.0</c:formatCode>
                <c:ptCount val="23"/>
                <c:pt idx="1">
                  <c:v>39.199999999999996</c:v>
                </c:pt>
                <c:pt idx="5">
                  <c:v>47.199999999999996</c:v>
                </c:pt>
                <c:pt idx="10">
                  <c:v>53.966666666666669</c:v>
                </c:pt>
                <c:pt idx="15">
                  <c:v>69.599999999999994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7AB-4728-845F-4251070EFFFB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R'!$A$46:$W$46</c:f>
              <c:numCache>
                <c:formatCode>0.0</c:formatCode>
                <c:ptCount val="23"/>
                <c:pt idx="0">
                  <c:v>14.1</c:v>
                </c:pt>
                <c:pt idx="1">
                  <c:v>24.7</c:v>
                </c:pt>
                <c:pt idx="5">
                  <c:v>36.700000000000003</c:v>
                </c:pt>
                <c:pt idx="10">
                  <c:v>44.8</c:v>
                </c:pt>
                <c:pt idx="15">
                  <c:v>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7AB-4728-845F-4251070EFFFB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R'!$A$47:$W$47</c:f>
              <c:numCache>
                <c:formatCode>0.0</c:formatCode>
                <c:ptCount val="23"/>
                <c:pt idx="1">
                  <c:v>32.233333333333334</c:v>
                </c:pt>
                <c:pt idx="5">
                  <c:v>42.233333333333327</c:v>
                </c:pt>
                <c:pt idx="10">
                  <c:v>50.933333333333337</c:v>
                </c:pt>
                <c:pt idx="15">
                  <c:v>54.233333333333327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7AB-4728-845F-4251070EFFFB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R'!$A$48:$W$48</c:f>
              <c:numCache>
                <c:formatCode>0.0</c:formatCode>
                <c:ptCount val="23"/>
                <c:pt idx="1">
                  <c:v>27.2</c:v>
                </c:pt>
                <c:pt idx="5">
                  <c:v>42.8</c:v>
                </c:pt>
                <c:pt idx="10">
                  <c:v>51.3</c:v>
                </c:pt>
                <c:pt idx="15">
                  <c:v>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7AB-4728-845F-4251070EFFFB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R'!$A$49:$W$49</c:f>
              <c:numCache>
                <c:formatCode>0.0</c:formatCode>
                <c:ptCount val="23"/>
                <c:pt idx="1">
                  <c:v>35.349999999999994</c:v>
                </c:pt>
                <c:pt idx="6">
                  <c:v>43.3</c:v>
                </c:pt>
                <c:pt idx="11">
                  <c:v>50.8</c:v>
                </c:pt>
                <c:pt idx="15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7AB-4728-845F-4251070EFFFB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R'!$A$50:$W$50</c:f>
              <c:numCache>
                <c:formatCode>0.0</c:formatCode>
                <c:ptCount val="23"/>
                <c:pt idx="1">
                  <c:v>37.450000000000003</c:v>
                </c:pt>
                <c:pt idx="6">
                  <c:v>44.650000000000006</c:v>
                </c:pt>
                <c:pt idx="11">
                  <c:v>51.3</c:v>
                </c:pt>
                <c:pt idx="15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7AB-4728-845F-4251070EFFFB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R'!$A$51:$W$51</c:f>
              <c:numCache>
                <c:formatCode>0.0</c:formatCode>
                <c:ptCount val="23"/>
                <c:pt idx="1">
                  <c:v>33.450000000000003</c:v>
                </c:pt>
                <c:pt idx="6">
                  <c:v>40.349999999999994</c:v>
                </c:pt>
                <c:pt idx="11">
                  <c:v>47.05</c:v>
                </c:pt>
                <c:pt idx="15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7AB-4728-845F-4251070EFFFB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R'!$A$52:$W$52</c:f>
              <c:numCache>
                <c:formatCode>0.0</c:formatCode>
                <c:ptCount val="23"/>
                <c:pt idx="1">
                  <c:v>31</c:v>
                </c:pt>
                <c:pt idx="6">
                  <c:v>38.75</c:v>
                </c:pt>
                <c:pt idx="11">
                  <c:v>46.5</c:v>
                </c:pt>
                <c:pt idx="15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7AB-4728-845F-4251070EFFFB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R'!$A$53:$W$53</c:f>
              <c:numCache>
                <c:formatCode>General</c:formatCode>
                <c:ptCount val="23"/>
                <c:pt idx="1">
                  <c:v>18.899999999999999</c:v>
                </c:pt>
                <c:pt idx="5">
                  <c:v>34.799999999999997</c:v>
                </c:pt>
                <c:pt idx="10">
                  <c:v>39.349999999999994</c:v>
                </c:pt>
                <c:pt idx="15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7AB-4728-845F-4251070EFFFB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R'!$A$54:$W$54</c:f>
              <c:numCache>
                <c:formatCode>0.0</c:formatCode>
                <c:ptCount val="23"/>
                <c:pt idx="1">
                  <c:v>19.033333333333335</c:v>
                </c:pt>
                <c:pt idx="5">
                  <c:v>28.566666666666666</c:v>
                </c:pt>
                <c:pt idx="10">
                  <c:v>37.800000000000004</c:v>
                </c:pt>
                <c:pt idx="15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7AB-4728-845F-4251070EFFFB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R'!$A$55:$W$55</c:f>
              <c:numCache>
                <c:formatCode>0.0</c:formatCode>
                <c:ptCount val="23"/>
                <c:pt idx="2">
                  <c:v>27.2</c:v>
                </c:pt>
                <c:pt idx="5">
                  <c:v>32.299999999999997</c:v>
                </c:pt>
                <c:pt idx="10">
                  <c:v>40.966666666666661</c:v>
                </c:pt>
                <c:pt idx="15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7AB-4728-845F-4251070EFFFB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R'!$A$56:$W$56</c:f>
              <c:numCache>
                <c:formatCode>0.0</c:formatCode>
                <c:ptCount val="23"/>
                <c:pt idx="2">
                  <c:v>32.6</c:v>
                </c:pt>
                <c:pt idx="5">
                  <c:v>38.299999999999997</c:v>
                </c:pt>
                <c:pt idx="10">
                  <c:v>46.5</c:v>
                </c:pt>
                <c:pt idx="15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7AB-4728-845F-4251070EFFFB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R'!$A$57:$W$57</c:f>
              <c:numCache>
                <c:formatCode>0.0</c:formatCode>
                <c:ptCount val="23"/>
                <c:pt idx="0">
                  <c:v>9.4</c:v>
                </c:pt>
                <c:pt idx="1">
                  <c:v>21.3</c:v>
                </c:pt>
                <c:pt idx="5">
                  <c:v>36.299999999999997</c:v>
                </c:pt>
                <c:pt idx="11">
                  <c:v>43.9</c:v>
                </c:pt>
                <c:pt idx="15">
                  <c:v>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7AB-4728-845F-4251070EFFFB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R'!$A$58:$W$58</c:f>
              <c:numCache>
                <c:formatCode>0.0</c:formatCode>
                <c:ptCount val="23"/>
                <c:pt idx="1">
                  <c:v>30.966666666666669</c:v>
                </c:pt>
                <c:pt idx="5">
                  <c:v>42.933333333333337</c:v>
                </c:pt>
                <c:pt idx="10">
                  <c:v>51.266666666666673</c:v>
                </c:pt>
                <c:pt idx="15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7AB-4728-845F-4251070EFFFB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R'!$A$59:$W$59</c:f>
              <c:numCache>
                <c:formatCode>0.0</c:formatCode>
                <c:ptCount val="23"/>
                <c:pt idx="1">
                  <c:v>28.633333333333336</c:v>
                </c:pt>
                <c:pt idx="5">
                  <c:v>42.800000000000004</c:v>
                </c:pt>
                <c:pt idx="10">
                  <c:v>49.333333333333336</c:v>
                </c:pt>
                <c:pt idx="15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7AB-4728-845F-4251070EFFFB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R'!$A$60:$W$60</c:f>
              <c:numCache>
                <c:formatCode>0.0</c:formatCode>
                <c:ptCount val="23"/>
                <c:pt idx="1">
                  <c:v>23.899999999999995</c:v>
                </c:pt>
                <c:pt idx="5">
                  <c:v>31.533333333333331</c:v>
                </c:pt>
                <c:pt idx="10">
                  <c:v>37.599999999999994</c:v>
                </c:pt>
                <c:pt idx="15">
                  <c:v>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7AB-4728-845F-4251070EFFFB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R'!$A$61:$W$61</c:f>
              <c:numCache>
                <c:formatCode>0.0</c:formatCode>
                <c:ptCount val="23"/>
                <c:pt idx="0">
                  <c:v>6.4</c:v>
                </c:pt>
                <c:pt idx="1">
                  <c:v>30.3</c:v>
                </c:pt>
                <c:pt idx="2">
                  <c:v>35.1</c:v>
                </c:pt>
                <c:pt idx="5">
                  <c:v>44.7</c:v>
                </c:pt>
                <c:pt idx="10">
                  <c:v>53.6</c:v>
                </c:pt>
                <c:pt idx="15">
                  <c:v>57.5</c:v>
                </c:pt>
                <c:pt idx="18">
                  <c:v>65.2</c:v>
                </c:pt>
                <c:pt idx="22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7AB-4728-845F-4251070EFFFB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R'!$A$62:$W$62</c:f>
              <c:numCache>
                <c:formatCode>0.0</c:formatCode>
                <c:ptCount val="23"/>
                <c:pt idx="0">
                  <c:v>3.4</c:v>
                </c:pt>
                <c:pt idx="1">
                  <c:v>26.2</c:v>
                </c:pt>
                <c:pt idx="2">
                  <c:v>33.1</c:v>
                </c:pt>
                <c:pt idx="5">
                  <c:v>42.9</c:v>
                </c:pt>
                <c:pt idx="10">
                  <c:v>53</c:v>
                </c:pt>
                <c:pt idx="15">
                  <c:v>56.4</c:v>
                </c:pt>
                <c:pt idx="18">
                  <c:v>63.8</c:v>
                </c:pt>
                <c:pt idx="22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7AB-4728-845F-4251070EFFFB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R'!$A$63:$W$63</c:f>
              <c:numCache>
                <c:formatCode>0.0</c:formatCode>
                <c:ptCount val="23"/>
                <c:pt idx="1">
                  <c:v>25.25</c:v>
                </c:pt>
                <c:pt idx="5">
                  <c:v>34.85</c:v>
                </c:pt>
                <c:pt idx="10">
                  <c:v>43.25</c:v>
                </c:pt>
                <c:pt idx="15">
                  <c:v>49.375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7AB-4728-845F-4251070EFFFB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R'!$A$64:$W$64</c:f>
              <c:numCache>
                <c:formatCode>0.0</c:formatCode>
                <c:ptCount val="23"/>
                <c:pt idx="1">
                  <c:v>23.45</c:v>
                </c:pt>
                <c:pt idx="5">
                  <c:v>38.5</c:v>
                </c:pt>
                <c:pt idx="10">
                  <c:v>50</c:v>
                </c:pt>
                <c:pt idx="15">
                  <c:v>58.05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7AB-4728-845F-4251070EFFFB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R'!$A$65:$W$65</c:f>
              <c:numCache>
                <c:formatCode>0.0</c:formatCode>
                <c:ptCount val="23"/>
                <c:pt idx="1">
                  <c:v>19.533333333333335</c:v>
                </c:pt>
                <c:pt idx="5">
                  <c:v>28.599999999999998</c:v>
                </c:pt>
                <c:pt idx="10">
                  <c:v>39.733333333333327</c:v>
                </c:pt>
                <c:pt idx="15">
                  <c:v>47.599999999999994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7AB-4728-845F-4251070EFFFB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R'!$A$66:$W$66</c:f>
              <c:numCache>
                <c:formatCode>0.0</c:formatCode>
                <c:ptCount val="23"/>
                <c:pt idx="1">
                  <c:v>28.8</c:v>
                </c:pt>
                <c:pt idx="6">
                  <c:v>42.1</c:v>
                </c:pt>
                <c:pt idx="11">
                  <c:v>49.95</c:v>
                </c:pt>
                <c:pt idx="15">
                  <c:v>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7AB-4728-845F-4251070EFFFB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R'!$A$67:$W$67</c:f>
              <c:numCache>
                <c:formatCode>0.0</c:formatCode>
                <c:ptCount val="23"/>
                <c:pt idx="1">
                  <c:v>28</c:v>
                </c:pt>
                <c:pt idx="5">
                  <c:v>44.4</c:v>
                </c:pt>
                <c:pt idx="10">
                  <c:v>52.45</c:v>
                </c:pt>
                <c:pt idx="15">
                  <c:v>62.9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7AB-4728-845F-4251070EFFFB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R'!$A$68:$W$68</c:f>
              <c:numCache>
                <c:formatCode>0.0</c:formatCode>
                <c:ptCount val="23"/>
                <c:pt idx="1">
                  <c:v>25</c:v>
                </c:pt>
                <c:pt idx="5">
                  <c:v>39</c:v>
                </c:pt>
                <c:pt idx="10">
                  <c:v>47</c:v>
                </c:pt>
                <c:pt idx="15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7AB-4728-845F-4251070EFFFB}"/>
            </c:ext>
          </c:extLst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R'!$A$69:$W$69</c:f>
              <c:numCache>
                <c:formatCode>0.0</c:formatCode>
                <c:ptCount val="23"/>
                <c:pt idx="0">
                  <c:v>5.4</c:v>
                </c:pt>
                <c:pt idx="1">
                  <c:v>21</c:v>
                </c:pt>
                <c:pt idx="5">
                  <c:v>34</c:v>
                </c:pt>
                <c:pt idx="10">
                  <c:v>43</c:v>
                </c:pt>
                <c:pt idx="15">
                  <c:v>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7AB-4728-845F-4251070EFFFB}"/>
            </c:ext>
          </c:extLst>
        </c:ser>
        <c:ser>
          <c:idx val="66"/>
          <c:order val="6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R'!$A$70:$W$70</c:f>
              <c:numCache>
                <c:formatCode>0.0</c:formatCode>
                <c:ptCount val="23"/>
                <c:pt idx="1">
                  <c:v>24.5</c:v>
                </c:pt>
                <c:pt idx="5">
                  <c:v>34.466666666666669</c:v>
                </c:pt>
                <c:pt idx="10">
                  <c:v>42</c:v>
                </c:pt>
                <c:pt idx="15">
                  <c:v>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7AB-4728-845F-4251070EFFFB}"/>
            </c:ext>
          </c:extLst>
        </c:ser>
        <c:ser>
          <c:idx val="67"/>
          <c:order val="6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R'!$A$71:$W$71</c:f>
              <c:numCache>
                <c:formatCode>0.0</c:formatCode>
                <c:ptCount val="23"/>
                <c:pt idx="0">
                  <c:v>2.4</c:v>
                </c:pt>
                <c:pt idx="2">
                  <c:v>22.5</c:v>
                </c:pt>
                <c:pt idx="5">
                  <c:v>33.6</c:v>
                </c:pt>
                <c:pt idx="10">
                  <c:v>42.2</c:v>
                </c:pt>
                <c:pt idx="15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7AB-4728-845F-4251070EFFFB}"/>
            </c:ext>
          </c:extLst>
        </c:ser>
        <c:ser>
          <c:idx val="68"/>
          <c:order val="6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R'!$A$72:$W$72</c:f>
              <c:numCache>
                <c:formatCode>0.0</c:formatCode>
                <c:ptCount val="23"/>
                <c:pt idx="0">
                  <c:v>1.5</c:v>
                </c:pt>
                <c:pt idx="2">
                  <c:v>18</c:v>
                </c:pt>
                <c:pt idx="5">
                  <c:v>28.4</c:v>
                </c:pt>
                <c:pt idx="10">
                  <c:v>34.799999999999997</c:v>
                </c:pt>
                <c:pt idx="15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7AB-4728-845F-4251070EFFFB}"/>
            </c:ext>
          </c:extLst>
        </c:ser>
        <c:ser>
          <c:idx val="69"/>
          <c:order val="6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R'!$A$73:$W$73</c:f>
              <c:numCache>
                <c:formatCode>0.0</c:formatCode>
                <c:ptCount val="23"/>
                <c:pt idx="1">
                  <c:v>16.833333333333332</c:v>
                </c:pt>
                <c:pt idx="5">
                  <c:v>27.966666666666669</c:v>
                </c:pt>
                <c:pt idx="10">
                  <c:v>35.733333333333334</c:v>
                </c:pt>
                <c:pt idx="15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7AB-4728-845F-4251070EFFFB}"/>
            </c:ext>
          </c:extLst>
        </c:ser>
        <c:ser>
          <c:idx val="70"/>
          <c:order val="7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R'!$A$74:$W$74</c:f>
              <c:numCache>
                <c:formatCode>0.0</c:formatCode>
                <c:ptCount val="23"/>
                <c:pt idx="0">
                  <c:v>6.2</c:v>
                </c:pt>
                <c:pt idx="1">
                  <c:v>21</c:v>
                </c:pt>
                <c:pt idx="5">
                  <c:v>37.6</c:v>
                </c:pt>
                <c:pt idx="10">
                  <c:v>46.8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7AB-4728-845F-4251070EFFFB}"/>
            </c:ext>
          </c:extLst>
        </c:ser>
        <c:ser>
          <c:idx val="71"/>
          <c:order val="7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R'!$A$75:$W$75</c:f>
              <c:numCache>
                <c:formatCode>0.0</c:formatCode>
                <c:ptCount val="23"/>
                <c:pt idx="1">
                  <c:v>15.766666666666666</c:v>
                </c:pt>
                <c:pt idx="6">
                  <c:v>21.966666666666669</c:v>
                </c:pt>
                <c:pt idx="10">
                  <c:v>33.43333333333333</c:v>
                </c:pt>
                <c:pt idx="15">
                  <c:v>42.366666666666667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7AB-4728-845F-4251070EFFFB}"/>
            </c:ext>
          </c:extLst>
        </c:ser>
        <c:ser>
          <c:idx val="72"/>
          <c:order val="7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R'!$A$76:$W$76</c:f>
              <c:numCache>
                <c:formatCode>0.0</c:formatCode>
                <c:ptCount val="23"/>
                <c:pt idx="1">
                  <c:v>18.466666666666665</c:v>
                </c:pt>
                <c:pt idx="6">
                  <c:v>29.599999999999998</c:v>
                </c:pt>
                <c:pt idx="10">
                  <c:v>37.833333333333336</c:v>
                </c:pt>
                <c:pt idx="15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7AB-4728-845F-4251070EFFFB}"/>
            </c:ext>
          </c:extLst>
        </c:ser>
        <c:ser>
          <c:idx val="73"/>
          <c:order val="7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R'!$A$77:$W$77</c:f>
              <c:numCache>
                <c:formatCode>0.0</c:formatCode>
                <c:ptCount val="23"/>
                <c:pt idx="1">
                  <c:v>14.899999999999999</c:v>
                </c:pt>
                <c:pt idx="5">
                  <c:v>27.799999999999997</c:v>
                </c:pt>
                <c:pt idx="10">
                  <c:v>45</c:v>
                </c:pt>
                <c:pt idx="1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7AB-4728-845F-4251070EFFFB}"/>
            </c:ext>
          </c:extLst>
        </c:ser>
        <c:ser>
          <c:idx val="74"/>
          <c:order val="7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R'!$A$78:$W$78</c:f>
              <c:numCache>
                <c:formatCode>0.0</c:formatCode>
                <c:ptCount val="23"/>
                <c:pt idx="1">
                  <c:v>14.8</c:v>
                </c:pt>
                <c:pt idx="2">
                  <c:v>16.8</c:v>
                </c:pt>
                <c:pt idx="5">
                  <c:v>27.9</c:v>
                </c:pt>
                <c:pt idx="10">
                  <c:v>33.033333333333331</c:v>
                </c:pt>
                <c:pt idx="15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7AB-4728-845F-4251070EFFFB}"/>
            </c:ext>
          </c:extLst>
        </c:ser>
        <c:ser>
          <c:idx val="75"/>
          <c:order val="7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R'!$A$79:$W$79</c:f>
              <c:numCache>
                <c:formatCode>0.0</c:formatCode>
                <c:ptCount val="23"/>
                <c:pt idx="1">
                  <c:v>12.9</c:v>
                </c:pt>
                <c:pt idx="2">
                  <c:v>17.600000000000001</c:v>
                </c:pt>
                <c:pt idx="5">
                  <c:v>23.2</c:v>
                </c:pt>
                <c:pt idx="10">
                  <c:v>29.933333333333337</c:v>
                </c:pt>
                <c:pt idx="15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7AB-4728-845F-4251070EFFFB}"/>
            </c:ext>
          </c:extLst>
        </c:ser>
        <c:ser>
          <c:idx val="76"/>
          <c:order val="7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R'!$A$80:$W$80</c:f>
              <c:numCache>
                <c:formatCode>0.0</c:formatCode>
                <c:ptCount val="23"/>
                <c:pt idx="2">
                  <c:v>19.899999999999999</c:v>
                </c:pt>
                <c:pt idx="5">
                  <c:v>26.2</c:v>
                </c:pt>
                <c:pt idx="10">
                  <c:v>32.066666666666663</c:v>
                </c:pt>
                <c:pt idx="15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7AB-4728-845F-4251070EFFFB}"/>
            </c:ext>
          </c:extLst>
        </c:ser>
        <c:ser>
          <c:idx val="77"/>
          <c:order val="7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R'!$A$81:$W$81</c:f>
              <c:numCache>
                <c:formatCode>0.0</c:formatCode>
                <c:ptCount val="23"/>
                <c:pt idx="1">
                  <c:v>16.399999999999999</c:v>
                </c:pt>
                <c:pt idx="5">
                  <c:v>27.9</c:v>
                </c:pt>
                <c:pt idx="10">
                  <c:v>32.199999999999996</c:v>
                </c:pt>
                <c:pt idx="15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7AB-4728-845F-4251070EFFFB}"/>
            </c:ext>
          </c:extLst>
        </c:ser>
        <c:ser>
          <c:idx val="78"/>
          <c:order val="78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R'!$A$82:$W$82</c:f>
              <c:numCache>
                <c:formatCode>0.0</c:formatCode>
                <c:ptCount val="23"/>
                <c:pt idx="1">
                  <c:v>18.5</c:v>
                </c:pt>
                <c:pt idx="2">
                  <c:v>22</c:v>
                </c:pt>
                <c:pt idx="5">
                  <c:v>28.8</c:v>
                </c:pt>
                <c:pt idx="10">
                  <c:v>35.966666666666669</c:v>
                </c:pt>
                <c:pt idx="15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7AB-4728-845F-4251070EFFFB}"/>
            </c:ext>
          </c:extLst>
        </c:ser>
        <c:ser>
          <c:idx val="79"/>
          <c:order val="79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R'!$A$83:$W$83</c:f>
              <c:numCache>
                <c:formatCode>0.0</c:formatCode>
                <c:ptCount val="23"/>
                <c:pt idx="1">
                  <c:v>21.95</c:v>
                </c:pt>
                <c:pt idx="5">
                  <c:v>32.799999999999997</c:v>
                </c:pt>
                <c:pt idx="10">
                  <c:v>41.05</c:v>
                </c:pt>
                <c:pt idx="14">
                  <c:v>46.150000000000006</c:v>
                </c:pt>
                <c:pt idx="15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7AB-4728-845F-4251070EFFFB}"/>
            </c:ext>
          </c:extLst>
        </c:ser>
        <c:ser>
          <c:idx val="80"/>
          <c:order val="80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R'!$A$84:$W$84</c:f>
              <c:numCache>
                <c:formatCode>0.0</c:formatCode>
                <c:ptCount val="23"/>
                <c:pt idx="1">
                  <c:v>23.7</c:v>
                </c:pt>
                <c:pt idx="5">
                  <c:v>37.1</c:v>
                </c:pt>
                <c:pt idx="10">
                  <c:v>46.7</c:v>
                </c:pt>
                <c:pt idx="15">
                  <c:v>57.55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7AB-4728-845F-4251070EFFFB}"/>
            </c:ext>
          </c:extLst>
        </c:ser>
        <c:ser>
          <c:idx val="81"/>
          <c:order val="8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R'!$A$85:$W$85</c:f>
              <c:numCache>
                <c:formatCode>0.0</c:formatCode>
                <c:ptCount val="23"/>
                <c:pt idx="1">
                  <c:v>16.400000000000002</c:v>
                </c:pt>
                <c:pt idx="5">
                  <c:v>24.366666666666664</c:v>
                </c:pt>
                <c:pt idx="10">
                  <c:v>35.300000000000004</c:v>
                </c:pt>
                <c:pt idx="15">
                  <c:v>43.033333333333331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7AB-4728-845F-4251070EFFFB}"/>
            </c:ext>
          </c:extLst>
        </c:ser>
        <c:ser>
          <c:idx val="82"/>
          <c:order val="8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R'!$A$86:$W$86</c:f>
              <c:numCache>
                <c:formatCode>0.0</c:formatCode>
                <c:ptCount val="23"/>
                <c:pt idx="0">
                  <c:v>19.100000000000001</c:v>
                </c:pt>
                <c:pt idx="1">
                  <c:v>24.533333333333331</c:v>
                </c:pt>
                <c:pt idx="5">
                  <c:v>29.2</c:v>
                </c:pt>
                <c:pt idx="10">
                  <c:v>39.6</c:v>
                </c:pt>
                <c:pt idx="15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7AB-4728-845F-4251070EFFFB}"/>
            </c:ext>
          </c:extLst>
        </c:ser>
        <c:ser>
          <c:idx val="83"/>
          <c:order val="83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R'!$A$87:$W$87</c:f>
              <c:numCache>
                <c:formatCode>0.0</c:formatCode>
                <c:ptCount val="23"/>
                <c:pt idx="1">
                  <c:v>20.3</c:v>
                </c:pt>
                <c:pt idx="5">
                  <c:v>33.200000000000003</c:v>
                </c:pt>
                <c:pt idx="10">
                  <c:v>42.55</c:v>
                </c:pt>
                <c:pt idx="14">
                  <c:v>44.599999999999994</c:v>
                </c:pt>
                <c:pt idx="15">
                  <c:v>46.174999999999997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7AB-4728-845F-4251070EFFFB}"/>
            </c:ext>
          </c:extLst>
        </c:ser>
        <c:ser>
          <c:idx val="84"/>
          <c:order val="84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R'!$A$88:$W$88</c:f>
              <c:numCache>
                <c:formatCode>0.0</c:formatCode>
                <c:ptCount val="23"/>
                <c:pt idx="1">
                  <c:v>8.9333333333333336</c:v>
                </c:pt>
                <c:pt idx="5">
                  <c:v>13.233333333333334</c:v>
                </c:pt>
                <c:pt idx="10">
                  <c:v>20.966666666666665</c:v>
                </c:pt>
                <c:pt idx="15">
                  <c:v>26.733333333333334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7AB-4728-845F-4251070EFFFB}"/>
            </c:ext>
          </c:extLst>
        </c:ser>
        <c:ser>
          <c:idx val="85"/>
          <c:order val="85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R'!$A$89:$W$89</c:f>
              <c:numCache>
                <c:formatCode>0.0</c:formatCode>
                <c:ptCount val="23"/>
                <c:pt idx="1">
                  <c:v>9.3999999999999986</c:v>
                </c:pt>
                <c:pt idx="5">
                  <c:v>14.700000000000001</c:v>
                </c:pt>
                <c:pt idx="10">
                  <c:v>23.233333333333334</c:v>
                </c:pt>
                <c:pt idx="15">
                  <c:v>30.766666666666666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7AB-4728-845F-4251070EFFFB}"/>
            </c:ext>
          </c:extLst>
        </c:ser>
        <c:ser>
          <c:idx val="86"/>
          <c:order val="86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R'!$A$90:$W$90</c:f>
              <c:numCache>
                <c:formatCode>0.0</c:formatCode>
                <c:ptCount val="23"/>
                <c:pt idx="1">
                  <c:v>5</c:v>
                </c:pt>
                <c:pt idx="5">
                  <c:v>9.3000000000000007</c:v>
                </c:pt>
                <c:pt idx="10">
                  <c:v>16.399999999999999</c:v>
                </c:pt>
                <c:pt idx="15">
                  <c:v>24.133333333333336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7AB-4728-845F-4251070EFFFB}"/>
            </c:ext>
          </c:extLst>
        </c:ser>
        <c:ser>
          <c:idx val="87"/>
          <c:order val="87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R'!$A$91:$W$91</c:f>
              <c:numCache>
                <c:formatCode>0.0</c:formatCode>
                <c:ptCount val="23"/>
                <c:pt idx="0">
                  <c:v>12.7</c:v>
                </c:pt>
                <c:pt idx="1">
                  <c:v>19.100000000000001</c:v>
                </c:pt>
                <c:pt idx="6">
                  <c:v>28</c:v>
                </c:pt>
                <c:pt idx="11">
                  <c:v>36.6</c:v>
                </c:pt>
                <c:pt idx="15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7AB-4728-845F-4251070EFFFB}"/>
            </c:ext>
          </c:extLst>
        </c:ser>
        <c:ser>
          <c:idx val="88"/>
          <c:order val="88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R'!$A$92:$W$92</c:f>
              <c:numCache>
                <c:formatCode>0.0</c:formatCode>
                <c:ptCount val="23"/>
                <c:pt idx="1">
                  <c:v>15</c:v>
                </c:pt>
                <c:pt idx="5">
                  <c:v>25.45</c:v>
                </c:pt>
                <c:pt idx="10">
                  <c:v>31.7</c:v>
                </c:pt>
                <c:pt idx="15">
                  <c:v>40.400000000000006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7AB-4728-845F-4251070EFFFB}"/>
            </c:ext>
          </c:extLst>
        </c:ser>
        <c:ser>
          <c:idx val="89"/>
          <c:order val="89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R'!$A$93:$W$93</c:f>
              <c:numCache>
                <c:formatCode>0.0</c:formatCode>
                <c:ptCount val="23"/>
                <c:pt idx="1">
                  <c:v>15</c:v>
                </c:pt>
                <c:pt idx="5">
                  <c:v>25.35</c:v>
                </c:pt>
                <c:pt idx="10">
                  <c:v>32.400000000000006</c:v>
                </c:pt>
                <c:pt idx="15">
                  <c:v>40.549999999999997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7AB-4728-845F-4251070EFFFB}"/>
            </c:ext>
          </c:extLst>
        </c:ser>
        <c:ser>
          <c:idx val="90"/>
          <c:order val="90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R'!$A$94:$W$94</c:f>
              <c:numCache>
                <c:formatCode>0.0</c:formatCode>
                <c:ptCount val="23"/>
                <c:pt idx="1">
                  <c:v>19.8</c:v>
                </c:pt>
                <c:pt idx="5">
                  <c:v>34.200000000000003</c:v>
                </c:pt>
                <c:pt idx="8">
                  <c:v>40</c:v>
                </c:pt>
                <c:pt idx="12">
                  <c:v>46.6</c:v>
                </c:pt>
                <c:pt idx="14">
                  <c:v>52</c:v>
                </c:pt>
                <c:pt idx="15">
                  <c:v>57.4</c:v>
                </c:pt>
                <c:pt idx="18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7AB-4728-845F-4251070E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II/B-S 32,5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R'!$A$4:$W$4</c:f>
              <c:numCache>
                <c:formatCode>0.0</c:formatCode>
                <c:ptCount val="23"/>
                <c:pt idx="1">
                  <c:v>12.5</c:v>
                </c:pt>
                <c:pt idx="5">
                  <c:v>24.6</c:v>
                </c:pt>
                <c:pt idx="10">
                  <c:v>41.55</c:v>
                </c:pt>
                <c:pt idx="15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9-485B-8218-15D3D70C2B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R'!$A$5:$W$5</c:f>
              <c:numCache>
                <c:formatCode>0.0</c:formatCode>
                <c:ptCount val="23"/>
                <c:pt idx="1">
                  <c:v>15.4</c:v>
                </c:pt>
                <c:pt idx="5">
                  <c:v>25.899999999999995</c:v>
                </c:pt>
                <c:pt idx="10">
                  <c:v>36.9</c:v>
                </c:pt>
                <c:pt idx="15">
                  <c:v>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9-485B-8218-15D3D70C2B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R'!$A$6:$W$6</c:f>
              <c:numCache>
                <c:formatCode>0.0</c:formatCode>
                <c:ptCount val="23"/>
                <c:pt idx="1">
                  <c:v>16.600000000000001</c:v>
                </c:pt>
                <c:pt idx="5">
                  <c:v>31.1</c:v>
                </c:pt>
                <c:pt idx="10">
                  <c:v>44.8</c:v>
                </c:pt>
                <c:pt idx="15">
                  <c:v>52.4</c:v>
                </c:pt>
                <c:pt idx="20">
                  <c:v>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9-485B-8218-15D3D70C2B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R'!$A$7:$W$7</c:f>
              <c:numCache>
                <c:formatCode>0.0</c:formatCode>
                <c:ptCount val="23"/>
                <c:pt idx="1">
                  <c:v>15.5</c:v>
                </c:pt>
                <c:pt idx="5">
                  <c:v>28.8</c:v>
                </c:pt>
                <c:pt idx="10">
                  <c:v>39.9</c:v>
                </c:pt>
                <c:pt idx="15">
                  <c:v>50.1</c:v>
                </c:pt>
                <c:pt idx="20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9-485B-8218-15D3D70C2B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R'!$A$8:$W$8</c:f>
              <c:numCache>
                <c:formatCode>0.0</c:formatCode>
                <c:ptCount val="23"/>
                <c:pt idx="2">
                  <c:v>21.8</c:v>
                </c:pt>
                <c:pt idx="5">
                  <c:v>28.9</c:v>
                </c:pt>
                <c:pt idx="10">
                  <c:v>43.55</c:v>
                </c:pt>
                <c:pt idx="15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9-485B-8218-15D3D70C2B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R'!$A$9:$W$9</c:f>
              <c:numCache>
                <c:formatCode>0.0</c:formatCode>
                <c:ptCount val="23"/>
                <c:pt idx="0">
                  <c:v>7.2</c:v>
                </c:pt>
                <c:pt idx="1">
                  <c:v>16.2</c:v>
                </c:pt>
                <c:pt idx="5">
                  <c:v>29.6</c:v>
                </c:pt>
                <c:pt idx="10">
                  <c:v>43.7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89-485B-8218-15D3D70C2B4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R'!$A$10:$W$10</c:f>
              <c:numCache>
                <c:formatCode>0.0</c:formatCode>
                <c:ptCount val="23"/>
                <c:pt idx="0">
                  <c:v>6.3</c:v>
                </c:pt>
                <c:pt idx="1">
                  <c:v>14.8</c:v>
                </c:pt>
                <c:pt idx="5">
                  <c:v>26.4</c:v>
                </c:pt>
                <c:pt idx="10">
                  <c:v>40.650000000000006</c:v>
                </c:pt>
                <c:pt idx="15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9-485B-8218-15D3D70C2B4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R'!$A$11:$W$11</c:f>
              <c:numCache>
                <c:formatCode>0.0</c:formatCode>
                <c:ptCount val="23"/>
                <c:pt idx="1">
                  <c:v>16.299999999999997</c:v>
                </c:pt>
                <c:pt idx="5">
                  <c:v>28.35</c:v>
                </c:pt>
                <c:pt idx="10">
                  <c:v>46.400000000000006</c:v>
                </c:pt>
                <c:pt idx="15">
                  <c:v>56.75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89-485B-8218-15D3D70C2B4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R'!$A$12:$W$12</c:f>
              <c:numCache>
                <c:formatCode>0.0</c:formatCode>
                <c:ptCount val="23"/>
                <c:pt idx="0">
                  <c:v>1.1000000000000001</c:v>
                </c:pt>
                <c:pt idx="1">
                  <c:v>18.399999999999999</c:v>
                </c:pt>
                <c:pt idx="2">
                  <c:v>24.1</c:v>
                </c:pt>
                <c:pt idx="5">
                  <c:v>33.5</c:v>
                </c:pt>
                <c:pt idx="8">
                  <c:v>40.4</c:v>
                </c:pt>
                <c:pt idx="10">
                  <c:v>49.3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89-485B-8218-15D3D70C2B4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R'!$A$13:$W$13</c:f>
              <c:numCache>
                <c:formatCode>0.0</c:formatCode>
                <c:ptCount val="23"/>
                <c:pt idx="0">
                  <c:v>2.7</c:v>
                </c:pt>
                <c:pt idx="1">
                  <c:v>17.100000000000001</c:v>
                </c:pt>
                <c:pt idx="2">
                  <c:v>22</c:v>
                </c:pt>
                <c:pt idx="5">
                  <c:v>30.7</c:v>
                </c:pt>
                <c:pt idx="8">
                  <c:v>38.9</c:v>
                </c:pt>
                <c:pt idx="10">
                  <c:v>47.9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9-485B-8218-15D3D70C2B4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R'!$A$14:$W$14</c:f>
              <c:numCache>
                <c:formatCode>0.0</c:formatCode>
                <c:ptCount val="23"/>
                <c:pt idx="1">
                  <c:v>11.600000000000001</c:v>
                </c:pt>
                <c:pt idx="6">
                  <c:v>29.15</c:v>
                </c:pt>
                <c:pt idx="10">
                  <c:v>45.45</c:v>
                </c:pt>
                <c:pt idx="15">
                  <c:v>55.95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89-485B-8218-15D3D70C2B4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R'!$A$15:$W$15</c:f>
              <c:numCache>
                <c:formatCode>0.0</c:formatCode>
                <c:ptCount val="23"/>
                <c:pt idx="1">
                  <c:v>17.450000000000003</c:v>
                </c:pt>
                <c:pt idx="5">
                  <c:v>31.5</c:v>
                </c:pt>
                <c:pt idx="10">
                  <c:v>48.5</c:v>
                </c:pt>
                <c:pt idx="15">
                  <c:v>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89-485B-8218-15D3D70C2B4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R'!$A$16:$W$16</c:f>
              <c:numCache>
                <c:formatCode>0.0</c:formatCode>
                <c:ptCount val="23"/>
                <c:pt idx="1">
                  <c:v>17.45</c:v>
                </c:pt>
                <c:pt idx="6">
                  <c:v>37.700000000000003</c:v>
                </c:pt>
                <c:pt idx="10">
                  <c:v>48.25</c:v>
                </c:pt>
                <c:pt idx="15">
                  <c:v>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89-485B-8218-15D3D70C2B4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R'!$A$17:$W$17</c:f>
              <c:numCache>
                <c:formatCode>0.0</c:formatCode>
                <c:ptCount val="23"/>
                <c:pt idx="1">
                  <c:v>15.399999999999999</c:v>
                </c:pt>
                <c:pt idx="5">
                  <c:v>25.15</c:v>
                </c:pt>
                <c:pt idx="10">
                  <c:v>37.25</c:v>
                </c:pt>
                <c:pt idx="15">
                  <c:v>48.15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9-485B-8218-15D3D70C2B4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R'!$A$18:$W$18</c:f>
              <c:numCache>
                <c:formatCode>0.0</c:formatCode>
                <c:ptCount val="23"/>
                <c:pt idx="1">
                  <c:v>14.1</c:v>
                </c:pt>
                <c:pt idx="5">
                  <c:v>23.8</c:v>
                </c:pt>
                <c:pt idx="10">
                  <c:v>33.4</c:v>
                </c:pt>
                <c:pt idx="15">
                  <c:v>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89-485B-8218-15D3D70C2B4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R'!$A$19:$W$19</c:f>
              <c:numCache>
                <c:formatCode>0.0</c:formatCode>
                <c:ptCount val="23"/>
                <c:pt idx="1">
                  <c:v>11.7</c:v>
                </c:pt>
                <c:pt idx="5">
                  <c:v>21</c:v>
                </c:pt>
                <c:pt idx="10">
                  <c:v>37.4</c:v>
                </c:pt>
                <c:pt idx="15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89-485B-8218-15D3D70C2B4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R'!$A$20:$W$20</c:f>
              <c:numCache>
                <c:formatCode>0.0</c:formatCode>
                <c:ptCount val="23"/>
                <c:pt idx="0">
                  <c:v>6.4</c:v>
                </c:pt>
                <c:pt idx="1">
                  <c:v>13.95</c:v>
                </c:pt>
                <c:pt idx="5">
                  <c:v>28.3</c:v>
                </c:pt>
                <c:pt idx="10">
                  <c:v>41.4</c:v>
                </c:pt>
                <c:pt idx="1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89-485B-8218-15D3D70C2B4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R'!$A$21:$W$21</c:f>
              <c:numCache>
                <c:formatCode>0.0</c:formatCode>
                <c:ptCount val="23"/>
                <c:pt idx="0">
                  <c:v>4.9000000000000004</c:v>
                </c:pt>
                <c:pt idx="1">
                  <c:v>11.1</c:v>
                </c:pt>
                <c:pt idx="2">
                  <c:v>14.1</c:v>
                </c:pt>
                <c:pt idx="3">
                  <c:v>16.899999999999999</c:v>
                </c:pt>
                <c:pt idx="5">
                  <c:v>20.399999999999999</c:v>
                </c:pt>
                <c:pt idx="10">
                  <c:v>36.5</c:v>
                </c:pt>
                <c:pt idx="15">
                  <c:v>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89-485B-8218-15D3D70C2B4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R'!$A$22:$W$22</c:f>
              <c:numCache>
                <c:formatCode>0.0</c:formatCode>
                <c:ptCount val="23"/>
                <c:pt idx="1">
                  <c:v>13.35</c:v>
                </c:pt>
                <c:pt idx="5">
                  <c:v>23.200000000000003</c:v>
                </c:pt>
                <c:pt idx="10">
                  <c:v>34.349999999999994</c:v>
                </c:pt>
                <c:pt idx="15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D89-485B-8218-15D3D70C2B4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R'!$A$23:$W$23</c:f>
              <c:numCache>
                <c:formatCode>0.0</c:formatCode>
                <c:ptCount val="23"/>
                <c:pt idx="1">
                  <c:v>16.3</c:v>
                </c:pt>
                <c:pt idx="5">
                  <c:v>26.299999999999997</c:v>
                </c:pt>
                <c:pt idx="10">
                  <c:v>39.4</c:v>
                </c:pt>
                <c:pt idx="15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D89-485B-8218-15D3D70C2B4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R'!$A$24:$W$24</c:f>
              <c:numCache>
                <c:formatCode>0.0</c:formatCode>
                <c:ptCount val="23"/>
                <c:pt idx="1">
                  <c:v>14.8</c:v>
                </c:pt>
                <c:pt idx="5">
                  <c:v>24.1</c:v>
                </c:pt>
                <c:pt idx="10">
                  <c:v>35.9</c:v>
                </c:pt>
                <c:pt idx="15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89-485B-8218-15D3D70C2B4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R'!$A$25:$W$25</c:f>
              <c:numCache>
                <c:formatCode>0.0</c:formatCode>
                <c:ptCount val="23"/>
                <c:pt idx="1">
                  <c:v>16.05</c:v>
                </c:pt>
                <c:pt idx="5">
                  <c:v>26.5</c:v>
                </c:pt>
                <c:pt idx="10">
                  <c:v>40.299999999999997</c:v>
                </c:pt>
                <c:pt idx="15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D89-485B-8218-15D3D70C2B4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R'!$A$26:$W$26</c:f>
              <c:numCache>
                <c:formatCode>0.0</c:formatCode>
                <c:ptCount val="23"/>
                <c:pt idx="0">
                  <c:v>3.4</c:v>
                </c:pt>
                <c:pt idx="1">
                  <c:v>9.5</c:v>
                </c:pt>
                <c:pt idx="2">
                  <c:v>13.5</c:v>
                </c:pt>
                <c:pt idx="5">
                  <c:v>18.600000000000001</c:v>
                </c:pt>
                <c:pt idx="8">
                  <c:v>25.3</c:v>
                </c:pt>
                <c:pt idx="10">
                  <c:v>33.299999999999997</c:v>
                </c:pt>
                <c:pt idx="13">
                  <c:v>39.1</c:v>
                </c:pt>
                <c:pt idx="1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D89-485B-8218-15D3D70C2B4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R'!$A$27:$W$27</c:f>
              <c:numCache>
                <c:formatCode>0.0</c:formatCode>
                <c:ptCount val="23"/>
                <c:pt idx="0">
                  <c:v>4.4000000000000004</c:v>
                </c:pt>
                <c:pt idx="1">
                  <c:v>10.8</c:v>
                </c:pt>
                <c:pt idx="2">
                  <c:v>14.6</c:v>
                </c:pt>
                <c:pt idx="5">
                  <c:v>22.3</c:v>
                </c:pt>
                <c:pt idx="8">
                  <c:v>26.5</c:v>
                </c:pt>
                <c:pt idx="10">
                  <c:v>34.1</c:v>
                </c:pt>
                <c:pt idx="13">
                  <c:v>40</c:v>
                </c:pt>
                <c:pt idx="15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9-485B-8218-15D3D70C2B4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R'!$A$28:$W$28</c:f>
              <c:numCache>
                <c:formatCode>0.0</c:formatCode>
                <c:ptCount val="23"/>
                <c:pt idx="1">
                  <c:v>15.399999999999999</c:v>
                </c:pt>
                <c:pt idx="5">
                  <c:v>26.9</c:v>
                </c:pt>
                <c:pt idx="10">
                  <c:v>44.55</c:v>
                </c:pt>
                <c:pt idx="15">
                  <c:v>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89-485B-8218-15D3D70C2B4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R'!$A$29:$W$29</c:f>
              <c:numCache>
                <c:formatCode>0.0</c:formatCode>
                <c:ptCount val="23"/>
                <c:pt idx="1">
                  <c:v>15.75</c:v>
                </c:pt>
                <c:pt idx="5">
                  <c:v>26.35</c:v>
                </c:pt>
                <c:pt idx="10">
                  <c:v>40.4</c:v>
                </c:pt>
                <c:pt idx="15">
                  <c:v>49.1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89-485B-8218-15D3D70C2B4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R'!$A$30:$W$30</c:f>
              <c:numCache>
                <c:formatCode>0.0</c:formatCode>
                <c:ptCount val="23"/>
                <c:pt idx="1">
                  <c:v>14.600000000000001</c:v>
                </c:pt>
                <c:pt idx="5">
                  <c:v>25.7</c:v>
                </c:pt>
                <c:pt idx="10">
                  <c:v>39</c:v>
                </c:pt>
                <c:pt idx="15">
                  <c:v>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D89-485B-8218-15D3D70C2B4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R'!$A$31:$W$31</c:f>
              <c:numCache>
                <c:formatCode>0.0</c:formatCode>
                <c:ptCount val="23"/>
                <c:pt idx="1">
                  <c:v>16.200000000000003</c:v>
                </c:pt>
                <c:pt idx="5">
                  <c:v>25.5</c:v>
                </c:pt>
                <c:pt idx="10">
                  <c:v>39</c:v>
                </c:pt>
                <c:pt idx="15">
                  <c:v>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D89-485B-8218-15D3D70C2B4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R'!$A$32:$W$32</c:f>
              <c:numCache>
                <c:formatCode>0.0</c:formatCode>
                <c:ptCount val="23"/>
                <c:pt idx="1">
                  <c:v>14.65</c:v>
                </c:pt>
                <c:pt idx="5">
                  <c:v>26.75</c:v>
                </c:pt>
                <c:pt idx="10">
                  <c:v>41.75</c:v>
                </c:pt>
                <c:pt idx="15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89-485B-8218-15D3D70C2B4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R'!$A$33:$W$33</c:f>
              <c:numCache>
                <c:formatCode>0.0</c:formatCode>
                <c:ptCount val="23"/>
                <c:pt idx="1">
                  <c:v>16.5</c:v>
                </c:pt>
                <c:pt idx="5">
                  <c:v>25.799999999999997</c:v>
                </c:pt>
                <c:pt idx="10">
                  <c:v>40.5</c:v>
                </c:pt>
                <c:pt idx="1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D89-485B-8218-15D3D70C2B4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R'!$A$34:$W$34</c:f>
              <c:numCache>
                <c:formatCode>0.0</c:formatCode>
                <c:ptCount val="23"/>
                <c:pt idx="0">
                  <c:v>3</c:v>
                </c:pt>
                <c:pt idx="1">
                  <c:v>11.8</c:v>
                </c:pt>
                <c:pt idx="2">
                  <c:v>15.6</c:v>
                </c:pt>
                <c:pt idx="5">
                  <c:v>21.7</c:v>
                </c:pt>
                <c:pt idx="10">
                  <c:v>33.5</c:v>
                </c:pt>
                <c:pt idx="15">
                  <c:v>43.2</c:v>
                </c:pt>
                <c:pt idx="17">
                  <c:v>47</c:v>
                </c:pt>
                <c:pt idx="22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D89-485B-8218-15D3D70C2B44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R'!$A$35:$W$35</c:f>
              <c:numCache>
                <c:formatCode>0.0</c:formatCode>
                <c:ptCount val="23"/>
                <c:pt idx="0">
                  <c:v>3.7</c:v>
                </c:pt>
                <c:pt idx="1">
                  <c:v>7.2</c:v>
                </c:pt>
                <c:pt idx="2">
                  <c:v>10.8</c:v>
                </c:pt>
                <c:pt idx="5">
                  <c:v>15.3</c:v>
                </c:pt>
                <c:pt idx="8">
                  <c:v>20.8</c:v>
                </c:pt>
                <c:pt idx="10">
                  <c:v>30.4</c:v>
                </c:pt>
                <c:pt idx="13">
                  <c:v>33.799999999999997</c:v>
                </c:pt>
                <c:pt idx="15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D89-485B-8218-15D3D70C2B44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R'!$A$36:$W$36</c:f>
              <c:numCache>
                <c:formatCode>0.0</c:formatCode>
                <c:ptCount val="23"/>
                <c:pt idx="0">
                  <c:v>2.8</c:v>
                </c:pt>
                <c:pt idx="1">
                  <c:v>8.3000000000000007</c:v>
                </c:pt>
                <c:pt idx="2">
                  <c:v>11.6</c:v>
                </c:pt>
                <c:pt idx="5">
                  <c:v>18.100000000000001</c:v>
                </c:pt>
                <c:pt idx="8">
                  <c:v>23.4</c:v>
                </c:pt>
                <c:pt idx="10">
                  <c:v>30.3</c:v>
                </c:pt>
                <c:pt idx="13">
                  <c:v>36.299999999999997</c:v>
                </c:pt>
                <c:pt idx="15">
                  <c:v>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D89-485B-8218-15D3D70C2B44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R'!$A$37:$W$37</c:f>
              <c:numCache>
                <c:formatCode>0.0</c:formatCode>
                <c:ptCount val="23"/>
                <c:pt idx="0">
                  <c:v>1</c:v>
                </c:pt>
                <c:pt idx="1">
                  <c:v>10.7</c:v>
                </c:pt>
                <c:pt idx="2">
                  <c:v>13.8</c:v>
                </c:pt>
                <c:pt idx="5">
                  <c:v>21.1</c:v>
                </c:pt>
                <c:pt idx="10">
                  <c:v>35.1</c:v>
                </c:pt>
                <c:pt idx="15">
                  <c:v>44</c:v>
                </c:pt>
                <c:pt idx="17">
                  <c:v>48.9</c:v>
                </c:pt>
                <c:pt idx="22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D89-485B-8218-15D3D70C2B44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R'!$A$38:$W$38</c:f>
              <c:numCache>
                <c:formatCode>0.0</c:formatCode>
                <c:ptCount val="23"/>
                <c:pt idx="1">
                  <c:v>9.6</c:v>
                </c:pt>
                <c:pt idx="5">
                  <c:v>17.399999999999999</c:v>
                </c:pt>
                <c:pt idx="10">
                  <c:v>33.700000000000003</c:v>
                </c:pt>
                <c:pt idx="15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D89-485B-8218-15D3D70C2B44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R'!$A$39:$W$39</c:f>
              <c:numCache>
                <c:formatCode>0.0</c:formatCode>
                <c:ptCount val="23"/>
                <c:pt idx="2">
                  <c:v>13.5</c:v>
                </c:pt>
                <c:pt idx="5">
                  <c:v>25.95</c:v>
                </c:pt>
                <c:pt idx="10">
                  <c:v>44.150000000000006</c:v>
                </c:pt>
                <c:pt idx="15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D89-485B-8218-15D3D70C2B44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R'!$A$40:$W$40</c:f>
              <c:numCache>
                <c:formatCode>0.0</c:formatCode>
                <c:ptCount val="23"/>
                <c:pt idx="0">
                  <c:v>2.5</c:v>
                </c:pt>
                <c:pt idx="1">
                  <c:v>6.6</c:v>
                </c:pt>
                <c:pt idx="2">
                  <c:v>10.5</c:v>
                </c:pt>
                <c:pt idx="5">
                  <c:v>15.6</c:v>
                </c:pt>
                <c:pt idx="8">
                  <c:v>22.5</c:v>
                </c:pt>
                <c:pt idx="10">
                  <c:v>32.5</c:v>
                </c:pt>
                <c:pt idx="13">
                  <c:v>36.799999999999997</c:v>
                </c:pt>
                <c:pt idx="15">
                  <c:v>40.700000000000003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D89-485B-8218-15D3D70C2B44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R'!$A$41:$W$41</c:f>
              <c:numCache>
                <c:formatCode>0.0</c:formatCode>
                <c:ptCount val="23"/>
                <c:pt idx="1">
                  <c:v>11.6</c:v>
                </c:pt>
                <c:pt idx="5">
                  <c:v>20.399999999999999</c:v>
                </c:pt>
                <c:pt idx="10">
                  <c:v>31</c:v>
                </c:pt>
                <c:pt idx="15">
                  <c:v>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D89-485B-8218-15D3D70C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III/B 32,5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32,5'!$A$4:$Q$4</c:f>
              <c:numCache>
                <c:formatCode>0.0</c:formatCode>
                <c:ptCount val="17"/>
                <c:pt idx="0">
                  <c:v>4.5</c:v>
                </c:pt>
                <c:pt idx="1">
                  <c:v>10.8</c:v>
                </c:pt>
                <c:pt idx="5">
                  <c:v>29.9</c:v>
                </c:pt>
                <c:pt idx="10">
                  <c:v>46.4</c:v>
                </c:pt>
                <c:pt idx="15">
                  <c:v>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9-4AE6-9078-9E11FF5068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32,5'!$A$5:$Q$5</c:f>
              <c:numCache>
                <c:formatCode>0.0</c:formatCode>
                <c:ptCount val="17"/>
                <c:pt idx="0">
                  <c:v>4.45</c:v>
                </c:pt>
                <c:pt idx="1">
                  <c:v>8.3000000000000007</c:v>
                </c:pt>
                <c:pt idx="2">
                  <c:v>10.45</c:v>
                </c:pt>
                <c:pt idx="5">
                  <c:v>20.5</c:v>
                </c:pt>
                <c:pt idx="10">
                  <c:v>37.6</c:v>
                </c:pt>
                <c:pt idx="15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9-4AE6-9078-9E11FF5068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32,5'!$A$6:$Q$6</c:f>
              <c:numCache>
                <c:formatCode>0.0</c:formatCode>
                <c:ptCount val="17"/>
                <c:pt idx="0">
                  <c:v>4.5</c:v>
                </c:pt>
                <c:pt idx="1">
                  <c:v>8.85</c:v>
                </c:pt>
                <c:pt idx="2">
                  <c:v>11.600000000000001</c:v>
                </c:pt>
                <c:pt idx="5">
                  <c:v>20.8</c:v>
                </c:pt>
                <c:pt idx="10">
                  <c:v>40.4</c:v>
                </c:pt>
                <c:pt idx="15">
                  <c:v>51.05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9-4AE6-9078-9E11FF5068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32,5'!$A$7:$Q$7</c:f>
              <c:numCache>
                <c:formatCode>0.0</c:formatCode>
                <c:ptCount val="17"/>
                <c:pt idx="2">
                  <c:v>4.8</c:v>
                </c:pt>
                <c:pt idx="3">
                  <c:v>7</c:v>
                </c:pt>
                <c:pt idx="5">
                  <c:v>11.4</c:v>
                </c:pt>
                <c:pt idx="10">
                  <c:v>31.3</c:v>
                </c:pt>
                <c:pt idx="15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9-4AE6-9078-9E11FF5068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32,5'!$A$8:$Q$8</c:f>
              <c:numCache>
                <c:formatCode>0.0</c:formatCode>
                <c:ptCount val="17"/>
                <c:pt idx="2">
                  <c:v>4.8</c:v>
                </c:pt>
                <c:pt idx="5">
                  <c:v>13.2</c:v>
                </c:pt>
                <c:pt idx="10">
                  <c:v>32</c:v>
                </c:pt>
                <c:pt idx="15">
                  <c:v>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9-4AE6-9078-9E11FF5068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32,5'!$A$9:$Q$9</c:f>
              <c:numCache>
                <c:formatCode>0.0</c:formatCode>
                <c:ptCount val="17"/>
                <c:pt idx="1">
                  <c:v>14.75</c:v>
                </c:pt>
                <c:pt idx="5">
                  <c:v>22.049999999999997</c:v>
                </c:pt>
                <c:pt idx="10">
                  <c:v>47.70000000000001</c:v>
                </c:pt>
                <c:pt idx="15">
                  <c:v>59.933333333333337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9-4AE6-9078-9E11FF50684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32,5'!$A$10:$Q$10</c:f>
              <c:numCache>
                <c:formatCode>0.0</c:formatCode>
                <c:ptCount val="17"/>
                <c:pt idx="1">
                  <c:v>12.5</c:v>
                </c:pt>
                <c:pt idx="5">
                  <c:v>22.15</c:v>
                </c:pt>
                <c:pt idx="10">
                  <c:v>47.4</c:v>
                </c:pt>
                <c:pt idx="15">
                  <c:v>57.633333333333326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9-4AE6-9078-9E11FF50684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32,5'!$A$11:$Q$11</c:f>
              <c:numCache>
                <c:formatCode>0.0</c:formatCode>
                <c:ptCount val="17"/>
                <c:pt idx="0">
                  <c:v>2.6</c:v>
                </c:pt>
                <c:pt idx="1">
                  <c:v>4.4000000000000004</c:v>
                </c:pt>
                <c:pt idx="2">
                  <c:v>7.4</c:v>
                </c:pt>
                <c:pt idx="3">
                  <c:v>9.6999999999999993</c:v>
                </c:pt>
                <c:pt idx="5">
                  <c:v>18.45</c:v>
                </c:pt>
                <c:pt idx="10">
                  <c:v>37.35</c:v>
                </c:pt>
                <c:pt idx="15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C9-4AE6-9078-9E11FF50684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32,5'!$A$12:$Q$12</c:f>
              <c:numCache>
                <c:formatCode>0.0</c:formatCode>
                <c:ptCount val="17"/>
                <c:pt idx="0">
                  <c:v>1.3</c:v>
                </c:pt>
                <c:pt idx="1">
                  <c:v>4.4000000000000004</c:v>
                </c:pt>
                <c:pt idx="2">
                  <c:v>8.4</c:v>
                </c:pt>
                <c:pt idx="5">
                  <c:v>17.3</c:v>
                </c:pt>
                <c:pt idx="8">
                  <c:v>29.1</c:v>
                </c:pt>
                <c:pt idx="10">
                  <c:v>42.6</c:v>
                </c:pt>
                <c:pt idx="15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C9-4AE6-9078-9E11FF50684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32,5'!$A$13:$Q$13</c:f>
              <c:numCache>
                <c:formatCode>0.0</c:formatCode>
                <c:ptCount val="17"/>
                <c:pt idx="0">
                  <c:v>5</c:v>
                </c:pt>
                <c:pt idx="1">
                  <c:v>9.2333333333333325</c:v>
                </c:pt>
                <c:pt idx="5">
                  <c:v>21.066666666666666</c:v>
                </c:pt>
                <c:pt idx="10">
                  <c:v>44.866666666666667</c:v>
                </c:pt>
                <c:pt idx="15">
                  <c:v>52.933333333333337</c:v>
                </c:pt>
                <c:pt idx="16" formatCode="General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C9-4AE6-9078-9E11FF50684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32,5'!$A$14:$Q$14</c:f>
              <c:numCache>
                <c:formatCode>0.0</c:formatCode>
                <c:ptCount val="17"/>
                <c:pt idx="1">
                  <c:v>8.35</c:v>
                </c:pt>
                <c:pt idx="5">
                  <c:v>19.549999999999997</c:v>
                </c:pt>
                <c:pt idx="10">
                  <c:v>48.4</c:v>
                </c:pt>
                <c:pt idx="15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C9-4AE6-9078-9E11FF50684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32,5'!$A$15:$Q$15</c:f>
              <c:numCache>
                <c:formatCode>0.0</c:formatCode>
                <c:ptCount val="17"/>
                <c:pt idx="1">
                  <c:v>5.45</c:v>
                </c:pt>
                <c:pt idx="6">
                  <c:v>16.700000000000003</c:v>
                </c:pt>
                <c:pt idx="10">
                  <c:v>42</c:v>
                </c:pt>
                <c:pt idx="15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C9-4AE6-9078-9E11FF50684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32,5'!$A$16:$Q$16</c:f>
              <c:numCache>
                <c:formatCode>0.0</c:formatCode>
                <c:ptCount val="17"/>
                <c:pt idx="2">
                  <c:v>12.9</c:v>
                </c:pt>
                <c:pt idx="5">
                  <c:v>23.3</c:v>
                </c:pt>
                <c:pt idx="10">
                  <c:v>42.6</c:v>
                </c:pt>
                <c:pt idx="15">
                  <c:v>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C9-4AE6-9078-9E11FF50684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32,5'!$A$17:$Q$17</c:f>
              <c:numCache>
                <c:formatCode>0.0</c:formatCode>
                <c:ptCount val="17"/>
                <c:pt idx="1">
                  <c:v>5.6999999999999993</c:v>
                </c:pt>
                <c:pt idx="5">
                  <c:v>12.3</c:v>
                </c:pt>
                <c:pt idx="10">
                  <c:v>33.950000000000003</c:v>
                </c:pt>
                <c:pt idx="15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C9-4AE6-9078-9E11FF50684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32,5'!$A$18:$Q$18</c:f>
              <c:numCache>
                <c:formatCode>0.0</c:formatCode>
                <c:ptCount val="17"/>
                <c:pt idx="0">
                  <c:v>5</c:v>
                </c:pt>
                <c:pt idx="1">
                  <c:v>10.5</c:v>
                </c:pt>
                <c:pt idx="7">
                  <c:v>22.8</c:v>
                </c:pt>
                <c:pt idx="10">
                  <c:v>40.43333333333333</c:v>
                </c:pt>
                <c:pt idx="15">
                  <c:v>53.96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C9-4AE6-9078-9E11FF50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B06611-993F-4CC2-B15C-B96CB2FE0482}">
  <sheetPr/>
  <sheetViews>
    <sheetView zoomScale="10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30F23F-F8A0-43EB-B4C8-C81E3C91A233}">
  <sheetPr/>
  <sheetViews>
    <sheetView zoomScale="10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32043-0A75-4F6B-BCA8-78007E767D31}">
  <sheetPr/>
  <sheetViews>
    <sheetView zoomScale="106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405394-6DC7-4C22-A6BD-E831D96B4B06}">
  <sheetPr/>
  <sheetViews>
    <sheetView zoomScale="10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67F0670-EECF-4EE9-BB85-63A37B4C99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A7536E4-AD5E-4E15-BDED-5922008FBA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4015AD-EAE5-4657-9003-B8BABFF3F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74434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4F73FB-A992-4F3D-ADC1-1991A8825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DB6-6FA1-2542-8144-D1BF65A686AF}">
  <dimension ref="A1:BL177"/>
  <sheetViews>
    <sheetView tabSelected="1" zoomScale="56" workbookViewId="0"/>
  </sheetViews>
  <sheetFormatPr baseColWidth="10" defaultRowHeight="13" x14ac:dyDescent="0.15"/>
  <cols>
    <col min="1" max="1" width="10.83203125" style="90"/>
    <col min="2" max="2" width="18.83203125" style="90" customWidth="1"/>
    <col min="3" max="6" width="10.83203125" style="90"/>
    <col min="7" max="7" width="12.83203125" style="90" customWidth="1"/>
    <col min="8" max="10" width="10.83203125" style="90"/>
    <col min="11" max="12" width="12.1640625" style="90" customWidth="1"/>
    <col min="13" max="14" width="10.83203125" style="90"/>
    <col min="15" max="15" width="18.6640625" style="90" customWidth="1"/>
    <col min="16" max="17" width="10.83203125" style="90"/>
    <col min="18" max="18" width="13.6640625" style="90" customWidth="1"/>
    <col min="19" max="16384" width="10.83203125" style="90"/>
  </cols>
  <sheetData>
    <row r="1" spans="1:50" ht="15" customHeight="1" x14ac:dyDescent="0.15">
      <c r="A1" s="90" t="s">
        <v>88</v>
      </c>
      <c r="B1" s="87" t="s">
        <v>39</v>
      </c>
      <c r="C1" s="87" t="s">
        <v>40</v>
      </c>
      <c r="D1" s="87" t="s">
        <v>41</v>
      </c>
      <c r="E1" s="87" t="s">
        <v>42</v>
      </c>
      <c r="F1" s="87" t="s">
        <v>79</v>
      </c>
      <c r="G1" s="87" t="s">
        <v>80</v>
      </c>
      <c r="H1" s="87" t="s">
        <v>77</v>
      </c>
      <c r="I1" s="94" t="s">
        <v>78</v>
      </c>
      <c r="J1" s="87" t="s">
        <v>43</v>
      </c>
      <c r="K1" s="87" t="s">
        <v>44</v>
      </c>
      <c r="L1" s="87" t="s">
        <v>81</v>
      </c>
      <c r="M1" s="87" t="s">
        <v>46</v>
      </c>
      <c r="N1" s="87" t="s">
        <v>82</v>
      </c>
      <c r="O1" s="87" t="s">
        <v>83</v>
      </c>
      <c r="P1" s="87" t="s">
        <v>45</v>
      </c>
      <c r="Q1" s="87" t="s">
        <v>84</v>
      </c>
      <c r="R1" s="87" t="s">
        <v>47</v>
      </c>
      <c r="S1" s="87" t="s">
        <v>48</v>
      </c>
      <c r="T1" s="87" t="s">
        <v>85</v>
      </c>
      <c r="U1" s="87" t="s">
        <v>49</v>
      </c>
      <c r="V1" s="87" t="s">
        <v>50</v>
      </c>
      <c r="W1" s="87" t="s">
        <v>86</v>
      </c>
      <c r="X1" s="87" t="s">
        <v>51</v>
      </c>
      <c r="Y1" s="87" t="s">
        <v>87</v>
      </c>
      <c r="Z1" s="94" t="s">
        <v>76</v>
      </c>
      <c r="AA1" s="94" t="s">
        <v>75</v>
      </c>
      <c r="AB1" s="87" t="s">
        <v>52</v>
      </c>
      <c r="AC1" s="87" t="s">
        <v>53</v>
      </c>
      <c r="AD1" s="87" t="s">
        <v>57</v>
      </c>
      <c r="AE1" s="87" t="s">
        <v>58</v>
      </c>
      <c r="AF1" s="87" t="s">
        <v>59</v>
      </c>
      <c r="AG1" s="94" t="s">
        <v>54</v>
      </c>
      <c r="AH1" s="94" t="s">
        <v>60</v>
      </c>
      <c r="AI1" s="94" t="s">
        <v>61</v>
      </c>
      <c r="AJ1" s="94" t="s">
        <v>62</v>
      </c>
      <c r="AK1" s="94" t="s">
        <v>63</v>
      </c>
      <c r="AL1" s="94" t="s">
        <v>55</v>
      </c>
      <c r="AM1" s="94" t="s">
        <v>64</v>
      </c>
      <c r="AN1" s="94" t="s">
        <v>65</v>
      </c>
      <c r="AO1" s="94" t="s">
        <v>66</v>
      </c>
      <c r="AP1" s="94" t="s">
        <v>67</v>
      </c>
      <c r="AQ1" s="94" t="s">
        <v>56</v>
      </c>
      <c r="AR1" s="94" t="s">
        <v>68</v>
      </c>
      <c r="AS1" s="94" t="s">
        <v>69</v>
      </c>
      <c r="AT1" s="94" t="s">
        <v>70</v>
      </c>
      <c r="AU1" s="94" t="s">
        <v>71</v>
      </c>
      <c r="AV1" s="94" t="s">
        <v>72</v>
      </c>
      <c r="AW1" s="94" t="s">
        <v>73</v>
      </c>
      <c r="AX1" s="94" t="s">
        <v>74</v>
      </c>
    </row>
    <row r="2" spans="1:50" ht="15" customHeight="1" x14ac:dyDescent="0.15">
      <c r="A2" s="90">
        <v>1</v>
      </c>
      <c r="B2" s="87" t="s">
        <v>0</v>
      </c>
      <c r="C2" s="86">
        <v>450</v>
      </c>
      <c r="D2" s="87"/>
      <c r="E2" s="87"/>
      <c r="F2" s="87"/>
      <c r="G2" s="87"/>
      <c r="H2" s="87">
        <v>180</v>
      </c>
      <c r="I2" s="87"/>
      <c r="J2" s="88"/>
      <c r="K2" s="88">
        <v>4.0999999999999996</v>
      </c>
      <c r="L2" s="88"/>
      <c r="M2" s="88">
        <v>0.3</v>
      </c>
      <c r="N2" s="88"/>
      <c r="O2" s="88"/>
      <c r="P2" s="88"/>
      <c r="Q2" s="88"/>
      <c r="R2" s="88"/>
      <c r="S2" s="89">
        <v>200</v>
      </c>
      <c r="T2" s="89"/>
      <c r="U2" s="89">
        <v>650</v>
      </c>
      <c r="V2" s="89">
        <v>280</v>
      </c>
      <c r="W2" s="89"/>
      <c r="X2" s="89">
        <v>680</v>
      </c>
      <c r="Y2" s="89"/>
      <c r="Z2" s="87"/>
      <c r="AA2" s="87"/>
      <c r="AB2" s="97">
        <v>13.8</v>
      </c>
      <c r="AC2" s="97">
        <f>AVERAGE(22.8,23,22.7)</f>
        <v>22.833333333333332</v>
      </c>
      <c r="AD2" s="97"/>
      <c r="AE2" s="97"/>
      <c r="AF2" s="97"/>
      <c r="AG2" s="97">
        <v>35.200000000000003</v>
      </c>
      <c r="AH2" s="97"/>
      <c r="AI2" s="97"/>
      <c r="AJ2" s="97"/>
      <c r="AK2" s="97"/>
      <c r="AL2" s="97">
        <f>AVERAGE(51.5,51.3,50.9)</f>
        <v>51.233333333333327</v>
      </c>
      <c r="AM2" s="97"/>
      <c r="AN2" s="97"/>
      <c r="AO2" s="97"/>
      <c r="AP2" s="97"/>
      <c r="AQ2" s="97">
        <v>61.4</v>
      </c>
      <c r="AR2" s="87"/>
      <c r="AS2" s="87"/>
      <c r="AT2" s="87"/>
      <c r="AU2" s="87"/>
      <c r="AV2" s="87"/>
      <c r="AW2" s="87"/>
      <c r="AX2" s="87"/>
    </row>
    <row r="3" spans="1:50" ht="15" customHeight="1" x14ac:dyDescent="0.15">
      <c r="A3" s="90">
        <f>A2+1</f>
        <v>2</v>
      </c>
      <c r="B3" s="87" t="s">
        <v>0</v>
      </c>
      <c r="C3" s="86">
        <v>450</v>
      </c>
      <c r="D3" s="87"/>
      <c r="E3" s="87"/>
      <c r="F3" s="87"/>
      <c r="G3" s="87"/>
      <c r="H3" s="87">
        <v>180</v>
      </c>
      <c r="I3" s="87"/>
      <c r="J3" s="88"/>
      <c r="K3" s="88">
        <v>4.0999999999999996</v>
      </c>
      <c r="L3" s="88"/>
      <c r="M3" s="88">
        <v>0.3</v>
      </c>
      <c r="N3" s="88"/>
      <c r="O3" s="88"/>
      <c r="P3" s="88"/>
      <c r="Q3" s="88"/>
      <c r="R3" s="88"/>
      <c r="S3" s="89">
        <v>200</v>
      </c>
      <c r="T3" s="89"/>
      <c r="U3" s="89">
        <v>650</v>
      </c>
      <c r="V3" s="89">
        <v>960</v>
      </c>
      <c r="W3" s="89"/>
      <c r="X3" s="89"/>
      <c r="Y3" s="89"/>
      <c r="Z3" s="87"/>
      <c r="AA3" s="87"/>
      <c r="AB3" s="97">
        <v>14.8</v>
      </c>
      <c r="AC3" s="97">
        <f>AVERAGE(23,22.7,22.6)</f>
        <v>22.766666666666669</v>
      </c>
      <c r="AD3" s="97"/>
      <c r="AE3" s="97"/>
      <c r="AF3" s="97"/>
      <c r="AG3" s="97">
        <v>36.200000000000003</v>
      </c>
      <c r="AH3" s="97"/>
      <c r="AI3" s="97"/>
      <c r="AJ3" s="97"/>
      <c r="AK3" s="97"/>
      <c r="AL3" s="97">
        <f>AVERAGE(52.8,55.1,50.6)</f>
        <v>52.833333333333336</v>
      </c>
      <c r="AM3" s="97"/>
      <c r="AN3" s="97"/>
      <c r="AO3" s="97"/>
      <c r="AP3" s="97"/>
      <c r="AQ3" s="97">
        <v>59.1</v>
      </c>
      <c r="AR3" s="87"/>
      <c r="AS3" s="87"/>
      <c r="AT3" s="87"/>
      <c r="AU3" s="87"/>
      <c r="AV3" s="87"/>
      <c r="AW3" s="87"/>
      <c r="AX3" s="87"/>
    </row>
    <row r="4" spans="1:50" ht="15" customHeight="1" x14ac:dyDescent="0.15">
      <c r="A4" s="90">
        <f t="shared" ref="A4:A67" si="0">A3+1</f>
        <v>3</v>
      </c>
      <c r="B4" s="87" t="s">
        <v>0</v>
      </c>
      <c r="C4" s="86">
        <v>450</v>
      </c>
      <c r="D4" s="87">
        <v>90</v>
      </c>
      <c r="E4" s="87"/>
      <c r="F4" s="87"/>
      <c r="G4" s="87"/>
      <c r="H4" s="87">
        <v>180</v>
      </c>
      <c r="I4" s="87"/>
      <c r="J4" s="88"/>
      <c r="K4" s="88">
        <v>4.8</v>
      </c>
      <c r="L4" s="88"/>
      <c r="M4" s="88">
        <v>0.3</v>
      </c>
      <c r="N4" s="88"/>
      <c r="O4" s="88"/>
      <c r="P4" s="88">
        <v>0.5</v>
      </c>
      <c r="Q4" s="88"/>
      <c r="R4" s="88"/>
      <c r="S4" s="89">
        <v>250</v>
      </c>
      <c r="T4" s="89"/>
      <c r="U4" s="89">
        <v>600</v>
      </c>
      <c r="V4" s="89">
        <v>300</v>
      </c>
      <c r="W4" s="89"/>
      <c r="X4" s="89">
        <v>550</v>
      </c>
      <c r="Y4" s="89"/>
      <c r="Z4" s="87"/>
      <c r="AA4" s="87"/>
      <c r="AB4" s="97">
        <v>11</v>
      </c>
      <c r="AC4" s="97">
        <f>AVERAGE(19.4,19.3,19.2)</f>
        <v>19.3</v>
      </c>
      <c r="AD4" s="97"/>
      <c r="AE4" s="97"/>
      <c r="AF4" s="97"/>
      <c r="AG4" s="97">
        <v>32</v>
      </c>
      <c r="AH4" s="97"/>
      <c r="AI4" s="97"/>
      <c r="AJ4" s="97"/>
      <c r="AK4" s="97"/>
      <c r="AL4" s="97">
        <f>AVERAGE(51.1,52.6,52.2)</f>
        <v>51.966666666666669</v>
      </c>
      <c r="AM4" s="97"/>
      <c r="AN4" s="97"/>
      <c r="AO4" s="97"/>
      <c r="AP4" s="97"/>
      <c r="AQ4" s="97">
        <v>58.6</v>
      </c>
      <c r="AR4" s="87"/>
      <c r="AS4" s="87"/>
      <c r="AT4" s="87"/>
      <c r="AU4" s="87"/>
      <c r="AV4" s="87"/>
      <c r="AW4" s="87"/>
      <c r="AX4" s="87"/>
    </row>
    <row r="5" spans="1:50" ht="15" customHeight="1" x14ac:dyDescent="0.15">
      <c r="A5" s="90">
        <f t="shared" si="0"/>
        <v>4</v>
      </c>
      <c r="B5" s="87" t="s">
        <v>0</v>
      </c>
      <c r="C5" s="86">
        <v>450</v>
      </c>
      <c r="D5" s="87"/>
      <c r="E5" s="87"/>
      <c r="F5" s="87"/>
      <c r="G5" s="87"/>
      <c r="H5" s="87">
        <v>180</v>
      </c>
      <c r="I5" s="87"/>
      <c r="J5" s="88"/>
      <c r="K5" s="88">
        <v>4.0999999999999996</v>
      </c>
      <c r="L5" s="88"/>
      <c r="M5" s="88">
        <v>0.3</v>
      </c>
      <c r="N5" s="88"/>
      <c r="O5" s="88"/>
      <c r="P5" s="88"/>
      <c r="Q5" s="88"/>
      <c r="R5" s="88"/>
      <c r="S5" s="89">
        <v>200</v>
      </c>
      <c r="T5" s="89"/>
      <c r="U5" s="89">
        <v>650</v>
      </c>
      <c r="V5" s="89">
        <v>280</v>
      </c>
      <c r="W5" s="89"/>
      <c r="X5" s="89">
        <v>680</v>
      </c>
      <c r="Y5" s="89"/>
      <c r="Z5" s="87"/>
      <c r="AA5" s="87"/>
      <c r="AB5" s="97">
        <v>35</v>
      </c>
      <c r="AC5" s="97">
        <f>AVERAGE(47.2,45.5,46.8)</f>
        <v>46.5</v>
      </c>
      <c r="AD5" s="97"/>
      <c r="AE5" s="97"/>
      <c r="AF5" s="97"/>
      <c r="AG5" s="97">
        <v>60.5</v>
      </c>
      <c r="AH5" s="97"/>
      <c r="AI5" s="97"/>
      <c r="AJ5" s="97"/>
      <c r="AK5" s="97"/>
      <c r="AL5" s="97">
        <f>AVERAGE(70.7,69.9,69.6)</f>
        <v>70.066666666666677</v>
      </c>
      <c r="AM5" s="97"/>
      <c r="AN5" s="97"/>
      <c r="AO5" s="97"/>
      <c r="AP5" s="97"/>
      <c r="AQ5" s="97">
        <v>84.8</v>
      </c>
      <c r="AR5" s="87"/>
      <c r="AS5" s="87"/>
      <c r="AT5" s="87"/>
      <c r="AU5" s="87"/>
      <c r="AV5" s="87"/>
      <c r="AW5" s="87"/>
      <c r="AX5" s="87"/>
    </row>
    <row r="6" spans="1:50" ht="15" customHeight="1" x14ac:dyDescent="0.15">
      <c r="A6" s="90">
        <f t="shared" si="0"/>
        <v>5</v>
      </c>
      <c r="B6" s="87" t="s">
        <v>0</v>
      </c>
      <c r="C6" s="86">
        <v>450</v>
      </c>
      <c r="D6" s="87"/>
      <c r="E6" s="87"/>
      <c r="F6" s="87"/>
      <c r="G6" s="87"/>
      <c r="H6" s="87">
        <v>180</v>
      </c>
      <c r="I6" s="87"/>
      <c r="J6" s="88"/>
      <c r="K6" s="88">
        <v>4.0999999999999996</v>
      </c>
      <c r="L6" s="88"/>
      <c r="M6" s="88">
        <v>0.3</v>
      </c>
      <c r="N6" s="88"/>
      <c r="O6" s="88"/>
      <c r="P6" s="88"/>
      <c r="Q6" s="88"/>
      <c r="R6" s="88"/>
      <c r="S6" s="89">
        <v>200</v>
      </c>
      <c r="T6" s="89"/>
      <c r="U6" s="89">
        <v>650</v>
      </c>
      <c r="V6" s="89">
        <v>960</v>
      </c>
      <c r="W6" s="89"/>
      <c r="X6" s="89"/>
      <c r="Y6" s="89"/>
      <c r="Z6" s="87"/>
      <c r="AA6" s="87"/>
      <c r="AB6" s="97">
        <v>38.6</v>
      </c>
      <c r="AC6" s="97">
        <f>AVERAGE(50,48.8,49.2)</f>
        <v>49.333333333333336</v>
      </c>
      <c r="AD6" s="97"/>
      <c r="AE6" s="97"/>
      <c r="AF6" s="97"/>
      <c r="AG6" s="97">
        <v>67</v>
      </c>
      <c r="AH6" s="97"/>
      <c r="AI6" s="97"/>
      <c r="AJ6" s="97"/>
      <c r="AK6" s="97"/>
      <c r="AL6" s="97">
        <f>AVERAGE(77.3,78.2,79.1)</f>
        <v>78.2</v>
      </c>
      <c r="AM6" s="97"/>
      <c r="AN6" s="97"/>
      <c r="AO6" s="97"/>
      <c r="AP6" s="97"/>
      <c r="AQ6" s="97">
        <v>89.2</v>
      </c>
      <c r="AR6" s="87"/>
      <c r="AS6" s="87"/>
      <c r="AT6" s="87"/>
      <c r="AU6" s="87"/>
      <c r="AV6" s="87"/>
      <c r="AW6" s="87"/>
      <c r="AX6" s="87"/>
    </row>
    <row r="7" spans="1:50" ht="15" customHeight="1" x14ac:dyDescent="0.15">
      <c r="A7" s="90">
        <f t="shared" si="0"/>
        <v>6</v>
      </c>
      <c r="B7" s="87" t="s">
        <v>0</v>
      </c>
      <c r="C7" s="86">
        <v>450</v>
      </c>
      <c r="D7" s="87">
        <v>90</v>
      </c>
      <c r="E7" s="87"/>
      <c r="F7" s="87"/>
      <c r="G7" s="87"/>
      <c r="H7" s="87">
        <v>180</v>
      </c>
      <c r="I7" s="87"/>
      <c r="J7" s="88"/>
      <c r="K7" s="88">
        <v>4.8</v>
      </c>
      <c r="L7" s="88"/>
      <c r="M7" s="88">
        <v>0.3</v>
      </c>
      <c r="N7" s="88"/>
      <c r="O7" s="88"/>
      <c r="P7" s="88">
        <v>0.5</v>
      </c>
      <c r="Q7" s="88"/>
      <c r="R7" s="88"/>
      <c r="S7" s="89">
        <v>250</v>
      </c>
      <c r="T7" s="89"/>
      <c r="U7" s="89">
        <v>600</v>
      </c>
      <c r="V7" s="89">
        <v>300</v>
      </c>
      <c r="W7" s="89"/>
      <c r="X7" s="89">
        <v>550</v>
      </c>
      <c r="Y7" s="89"/>
      <c r="Z7" s="87"/>
      <c r="AA7" s="87"/>
      <c r="AB7" s="97">
        <v>33.4</v>
      </c>
      <c r="AC7" s="97">
        <f>AVERAGE(48.2,46.5,47.6)</f>
        <v>47.433333333333337</v>
      </c>
      <c r="AD7" s="97"/>
      <c r="AE7" s="97"/>
      <c r="AF7" s="97"/>
      <c r="AG7" s="97">
        <v>63.7</v>
      </c>
      <c r="AH7" s="97"/>
      <c r="AI7" s="97"/>
      <c r="AJ7" s="97"/>
      <c r="AK7" s="97"/>
      <c r="AL7" s="97">
        <f>AVERAGE(76.2,78.4,74.4)</f>
        <v>76.333333333333343</v>
      </c>
      <c r="AM7" s="97"/>
      <c r="AN7" s="97"/>
      <c r="AO7" s="97"/>
      <c r="AP7" s="97"/>
      <c r="AQ7" s="97">
        <v>91.1</v>
      </c>
      <c r="AR7" s="87"/>
      <c r="AS7" s="87"/>
      <c r="AT7" s="87"/>
      <c r="AU7" s="87"/>
      <c r="AV7" s="87"/>
      <c r="AW7" s="87"/>
      <c r="AX7" s="87"/>
    </row>
    <row r="8" spans="1:50" ht="15" customHeight="1" x14ac:dyDescent="0.15">
      <c r="A8" s="90">
        <f t="shared" si="0"/>
        <v>7</v>
      </c>
      <c r="B8" s="87" t="s">
        <v>0</v>
      </c>
      <c r="C8" s="86">
        <v>450</v>
      </c>
      <c r="D8" s="87"/>
      <c r="E8" s="87"/>
      <c r="F8" s="87"/>
      <c r="G8" s="87"/>
      <c r="H8" s="87">
        <v>180</v>
      </c>
      <c r="I8" s="87"/>
      <c r="J8" s="88"/>
      <c r="K8" s="88">
        <v>4.0999999999999996</v>
      </c>
      <c r="L8" s="88"/>
      <c r="M8" s="88">
        <v>0.3</v>
      </c>
      <c r="N8" s="88"/>
      <c r="O8" s="88"/>
      <c r="P8" s="88"/>
      <c r="Q8" s="88"/>
      <c r="R8" s="88"/>
      <c r="S8" s="89">
        <v>200</v>
      </c>
      <c r="T8" s="89"/>
      <c r="U8" s="89">
        <v>650</v>
      </c>
      <c r="V8" s="89">
        <v>280</v>
      </c>
      <c r="W8" s="89"/>
      <c r="X8" s="89">
        <v>680</v>
      </c>
      <c r="Y8" s="89"/>
      <c r="Z8" s="87"/>
      <c r="AA8" s="87"/>
      <c r="AB8" s="97">
        <v>22.4</v>
      </c>
      <c r="AC8" s="97">
        <f>AVERAGE(37,36.4)</f>
        <v>36.700000000000003</v>
      </c>
      <c r="AD8" s="97"/>
      <c r="AE8" s="97"/>
      <c r="AF8" s="97"/>
      <c r="AG8" s="97">
        <v>48.6</v>
      </c>
      <c r="AH8" s="97"/>
      <c r="AI8" s="97"/>
      <c r="AJ8" s="97"/>
      <c r="AK8" s="97"/>
      <c r="AL8" s="97">
        <f>AVERAGE(62.1,62,61.4)</f>
        <v>61.833333333333336</v>
      </c>
      <c r="AM8" s="97"/>
      <c r="AN8" s="97"/>
      <c r="AO8" s="97"/>
      <c r="AP8" s="97"/>
      <c r="AQ8" s="97">
        <v>69.900000000000006</v>
      </c>
      <c r="AR8" s="87"/>
      <c r="AS8" s="87"/>
      <c r="AT8" s="87"/>
      <c r="AU8" s="87"/>
      <c r="AV8" s="87"/>
      <c r="AW8" s="87"/>
      <c r="AX8" s="87"/>
    </row>
    <row r="9" spans="1:50" ht="15" customHeight="1" x14ac:dyDescent="0.15">
      <c r="A9" s="90">
        <f t="shared" si="0"/>
        <v>8</v>
      </c>
      <c r="B9" s="87" t="s">
        <v>0</v>
      </c>
      <c r="C9" s="86">
        <v>450</v>
      </c>
      <c r="D9" s="87"/>
      <c r="E9" s="87">
        <v>30</v>
      </c>
      <c r="F9" s="87"/>
      <c r="G9" s="87"/>
      <c r="H9" s="87">
        <v>175</v>
      </c>
      <c r="I9" s="87"/>
      <c r="J9" s="88">
        <v>1.3</v>
      </c>
      <c r="K9" s="88">
        <v>4.0999999999999996</v>
      </c>
      <c r="L9" s="88"/>
      <c r="M9" s="88"/>
      <c r="N9" s="88"/>
      <c r="O9" s="88"/>
      <c r="P9" s="88"/>
      <c r="Q9" s="88"/>
      <c r="R9" s="88"/>
      <c r="S9" s="89">
        <v>200</v>
      </c>
      <c r="T9" s="89"/>
      <c r="U9" s="89">
        <v>650</v>
      </c>
      <c r="V9" s="89">
        <v>280</v>
      </c>
      <c r="W9" s="89"/>
      <c r="X9" s="89">
        <v>680</v>
      </c>
      <c r="Y9" s="89"/>
      <c r="Z9" s="87"/>
      <c r="AA9" s="87"/>
      <c r="AB9" s="97"/>
      <c r="AC9" s="97">
        <f>AVERAGE(52.2,54.2)</f>
        <v>53.2</v>
      </c>
      <c r="AD9" s="97"/>
      <c r="AE9" s="97"/>
      <c r="AF9" s="97"/>
      <c r="AG9" s="97">
        <v>72.900000000000006</v>
      </c>
      <c r="AH9" s="97"/>
      <c r="AI9" s="97"/>
      <c r="AJ9" s="97"/>
      <c r="AK9" s="97"/>
      <c r="AL9" s="97">
        <f>AVERAGE(80.7,80.2,82)</f>
        <v>80.966666666666669</v>
      </c>
      <c r="AM9" s="97"/>
      <c r="AN9" s="97"/>
      <c r="AO9" s="97"/>
      <c r="AP9" s="97"/>
      <c r="AQ9" s="97">
        <v>89.4</v>
      </c>
      <c r="AR9" s="87"/>
      <c r="AS9" s="87"/>
      <c r="AT9" s="87"/>
      <c r="AU9" s="87"/>
      <c r="AV9" s="87"/>
      <c r="AW9" s="87"/>
      <c r="AX9" s="87"/>
    </row>
    <row r="10" spans="1:50" ht="15" customHeight="1" x14ac:dyDescent="0.15">
      <c r="A10" s="90">
        <f t="shared" si="0"/>
        <v>9</v>
      </c>
      <c r="B10" s="87" t="s">
        <v>0</v>
      </c>
      <c r="C10" s="86">
        <v>445</v>
      </c>
      <c r="D10" s="87"/>
      <c r="E10" s="87"/>
      <c r="F10" s="87"/>
      <c r="G10" s="87"/>
      <c r="H10" s="87">
        <v>180</v>
      </c>
      <c r="I10" s="87"/>
      <c r="J10" s="88"/>
      <c r="K10" s="88">
        <v>3.95</v>
      </c>
      <c r="L10" s="88"/>
      <c r="M10" s="88"/>
      <c r="N10" s="88"/>
      <c r="O10" s="88"/>
      <c r="P10" s="88"/>
      <c r="Q10" s="88"/>
      <c r="R10" s="88">
        <v>1.8</v>
      </c>
      <c r="S10" s="89"/>
      <c r="T10" s="89"/>
      <c r="U10" s="89">
        <v>890</v>
      </c>
      <c r="V10" s="89">
        <v>280</v>
      </c>
      <c r="W10" s="89"/>
      <c r="X10" s="89">
        <v>625</v>
      </c>
      <c r="Y10" s="89"/>
      <c r="Z10" s="87"/>
      <c r="AA10" s="87"/>
      <c r="AB10" s="97">
        <v>30</v>
      </c>
      <c r="AC10" s="97">
        <f>AVERAGE(42.5,43.2,41.8)</f>
        <v>42.5</v>
      </c>
      <c r="AD10" s="97"/>
      <c r="AE10" s="97"/>
      <c r="AF10" s="97"/>
      <c r="AG10" s="97"/>
      <c r="AH10" s="97">
        <v>62.1</v>
      </c>
      <c r="AI10" s="97"/>
      <c r="AJ10" s="97"/>
      <c r="AK10" s="97"/>
      <c r="AL10" s="97">
        <f>AVERAGE(72.7,70.2,71.2)</f>
        <v>71.366666666666674</v>
      </c>
      <c r="AM10" s="97"/>
      <c r="AN10" s="97"/>
      <c r="AO10" s="97"/>
      <c r="AP10" s="97"/>
      <c r="AQ10" s="97">
        <v>76.8</v>
      </c>
      <c r="AR10" s="87"/>
      <c r="AS10" s="87"/>
      <c r="AT10" s="87"/>
      <c r="AU10" s="87"/>
      <c r="AV10" s="87"/>
      <c r="AW10" s="87"/>
      <c r="AX10" s="87"/>
    </row>
    <row r="11" spans="1:50" ht="15" customHeight="1" x14ac:dyDescent="0.15">
      <c r="A11" s="90">
        <f t="shared" si="0"/>
        <v>10</v>
      </c>
      <c r="B11" s="87" t="s">
        <v>0</v>
      </c>
      <c r="C11" s="86">
        <v>445</v>
      </c>
      <c r="D11" s="87"/>
      <c r="E11" s="87"/>
      <c r="F11" s="87"/>
      <c r="G11" s="87"/>
      <c r="H11" s="87">
        <v>180</v>
      </c>
      <c r="I11" s="87"/>
      <c r="J11" s="88"/>
      <c r="K11" s="88">
        <v>3.95</v>
      </c>
      <c r="L11" s="88"/>
      <c r="M11" s="88"/>
      <c r="N11" s="88"/>
      <c r="O11" s="88"/>
      <c r="P11" s="88"/>
      <c r="Q11" s="88"/>
      <c r="R11" s="88">
        <v>1.8</v>
      </c>
      <c r="S11" s="89"/>
      <c r="T11" s="89"/>
      <c r="U11" s="89">
        <v>890</v>
      </c>
      <c r="V11" s="89">
        <v>280</v>
      </c>
      <c r="W11" s="89"/>
      <c r="X11" s="89">
        <v>625</v>
      </c>
      <c r="Y11" s="89"/>
      <c r="Z11" s="87"/>
      <c r="AA11" s="87"/>
      <c r="AB11" s="97">
        <v>34.5</v>
      </c>
      <c r="AC11" s="97">
        <f>AVERAGE(40.5,39.9,40.4)</f>
        <v>40.266666666666673</v>
      </c>
      <c r="AD11" s="97"/>
      <c r="AE11" s="97"/>
      <c r="AF11" s="97"/>
      <c r="AG11" s="97"/>
      <c r="AH11" s="97"/>
      <c r="AI11" s="97">
        <f>AVERAGE(61,62.2,62.3)</f>
        <v>61.833333333333336</v>
      </c>
      <c r="AJ11" s="97"/>
      <c r="AK11" s="97"/>
      <c r="AL11" s="97">
        <f>AVERAGE(71.8,72.2,74.6)</f>
        <v>72.86666666666666</v>
      </c>
      <c r="AM11" s="97"/>
      <c r="AN11" s="97"/>
      <c r="AO11" s="97"/>
      <c r="AP11" s="97"/>
      <c r="AQ11" s="97">
        <v>86.1</v>
      </c>
      <c r="AR11" s="87"/>
      <c r="AS11" s="87"/>
      <c r="AT11" s="87"/>
      <c r="AU11" s="87"/>
      <c r="AV11" s="87"/>
      <c r="AW11" s="87"/>
      <c r="AX11" s="87"/>
    </row>
    <row r="12" spans="1:50" ht="15" customHeight="1" x14ac:dyDescent="0.15">
      <c r="A12" s="90">
        <f t="shared" si="0"/>
        <v>11</v>
      </c>
      <c r="B12" s="87" t="s">
        <v>0</v>
      </c>
      <c r="C12" s="86">
        <v>390</v>
      </c>
      <c r="D12" s="87"/>
      <c r="E12" s="87"/>
      <c r="F12" s="87"/>
      <c r="G12" s="87"/>
      <c r="H12" s="87">
        <v>180</v>
      </c>
      <c r="I12" s="87"/>
      <c r="J12" s="88"/>
      <c r="K12" s="88">
        <v>3</v>
      </c>
      <c r="L12" s="88"/>
      <c r="M12" s="88"/>
      <c r="N12" s="88"/>
      <c r="O12" s="88"/>
      <c r="P12" s="88"/>
      <c r="Q12" s="88"/>
      <c r="R12" s="88"/>
      <c r="S12" s="89"/>
      <c r="T12" s="89"/>
      <c r="U12" s="89">
        <v>780</v>
      </c>
      <c r="V12" s="89">
        <v>180</v>
      </c>
      <c r="W12" s="89"/>
      <c r="X12" s="89">
        <v>840</v>
      </c>
      <c r="Y12" s="89"/>
      <c r="Z12" s="87"/>
      <c r="AA12" s="87"/>
      <c r="AB12" s="97"/>
      <c r="AC12" s="97">
        <f>AVERAGE(38,37.5,37.2)</f>
        <v>37.56666666666667</v>
      </c>
      <c r="AD12" s="97"/>
      <c r="AE12" s="97"/>
      <c r="AF12" s="97"/>
      <c r="AG12" s="97">
        <f>AVERAGE(51.2,50.3,51.2)</f>
        <v>50.9</v>
      </c>
      <c r="AH12" s="97"/>
      <c r="AI12" s="97"/>
      <c r="AJ12" s="97"/>
      <c r="AK12" s="97"/>
      <c r="AL12" s="97">
        <f>AVERAGE(61.9,63.4,60.8)</f>
        <v>62.033333333333331</v>
      </c>
      <c r="AM12" s="97"/>
      <c r="AN12" s="97"/>
      <c r="AO12" s="97"/>
      <c r="AP12" s="97"/>
      <c r="AQ12" s="97">
        <v>77.7</v>
      </c>
      <c r="AR12" s="87"/>
      <c r="AS12" s="87"/>
      <c r="AT12" s="87"/>
      <c r="AU12" s="87"/>
      <c r="AV12" s="87"/>
      <c r="AW12" s="87"/>
      <c r="AX12" s="87"/>
    </row>
    <row r="13" spans="1:50" ht="15" customHeight="1" x14ac:dyDescent="0.15">
      <c r="A13" s="90">
        <f t="shared" si="0"/>
        <v>12</v>
      </c>
      <c r="B13" s="87" t="s">
        <v>0</v>
      </c>
      <c r="C13" s="86">
        <v>390</v>
      </c>
      <c r="D13" s="87"/>
      <c r="E13" s="87">
        <v>100</v>
      </c>
      <c r="F13" s="87"/>
      <c r="G13" s="87"/>
      <c r="H13" s="87">
        <v>175</v>
      </c>
      <c r="I13" s="87"/>
      <c r="J13" s="88"/>
      <c r="K13" s="88">
        <v>3.5</v>
      </c>
      <c r="L13" s="88"/>
      <c r="M13" s="88"/>
      <c r="N13" s="88"/>
      <c r="O13" s="88"/>
      <c r="P13" s="88"/>
      <c r="Q13" s="88"/>
      <c r="R13" s="88"/>
      <c r="S13" s="89"/>
      <c r="T13" s="89"/>
      <c r="U13" s="89">
        <v>770</v>
      </c>
      <c r="V13" s="89">
        <v>380</v>
      </c>
      <c r="W13" s="89"/>
      <c r="X13" s="89">
        <v>550</v>
      </c>
      <c r="Y13" s="89"/>
      <c r="Z13" s="87"/>
      <c r="AA13" s="87"/>
      <c r="AB13" s="97">
        <f>AVERAGE(29.2,30.9,31.2)</f>
        <v>30.433333333333334</v>
      </c>
      <c r="AC13" s="97">
        <f>AVERAGE(45.7,46.7)</f>
        <v>46.2</v>
      </c>
      <c r="AD13" s="97"/>
      <c r="AE13" s="97"/>
      <c r="AF13" s="97"/>
      <c r="AG13" s="97">
        <f>AVERAGE(62.4,65.1)</f>
        <v>63.75</v>
      </c>
      <c r="AH13" s="97"/>
      <c r="AI13" s="97"/>
      <c r="AJ13" s="97"/>
      <c r="AK13" s="97"/>
      <c r="AL13" s="97">
        <v>64</v>
      </c>
      <c r="AM13" s="97"/>
      <c r="AN13" s="97"/>
      <c r="AO13" s="97"/>
      <c r="AP13" s="97"/>
      <c r="AQ13" s="97">
        <v>76.8</v>
      </c>
      <c r="AR13" s="87"/>
      <c r="AS13" s="87"/>
      <c r="AT13" s="87"/>
      <c r="AU13" s="87"/>
      <c r="AV13" s="87"/>
      <c r="AW13" s="87"/>
      <c r="AX13" s="87"/>
    </row>
    <row r="14" spans="1:50" ht="15" customHeight="1" x14ac:dyDescent="0.15">
      <c r="A14" s="90">
        <f t="shared" si="0"/>
        <v>13</v>
      </c>
      <c r="B14" s="87" t="s">
        <v>0</v>
      </c>
      <c r="C14" s="86">
        <v>345</v>
      </c>
      <c r="D14" s="87">
        <v>45</v>
      </c>
      <c r="E14" s="87">
        <v>185</v>
      </c>
      <c r="F14" s="87"/>
      <c r="G14" s="87"/>
      <c r="H14" s="87">
        <v>180</v>
      </c>
      <c r="I14" s="87"/>
      <c r="J14" s="88"/>
      <c r="K14" s="88">
        <v>4</v>
      </c>
      <c r="L14" s="88"/>
      <c r="M14" s="88">
        <v>0.5</v>
      </c>
      <c r="N14" s="88"/>
      <c r="O14" s="88"/>
      <c r="P14" s="88">
        <v>0.5</v>
      </c>
      <c r="Q14" s="88"/>
      <c r="R14" s="88"/>
      <c r="S14" s="89"/>
      <c r="T14" s="89"/>
      <c r="U14" s="89">
        <v>885</v>
      </c>
      <c r="V14" s="89">
        <v>320</v>
      </c>
      <c r="W14" s="89"/>
      <c r="X14" s="89">
        <v>470</v>
      </c>
      <c r="Y14" s="89"/>
      <c r="Z14" s="87"/>
      <c r="AA14" s="87"/>
      <c r="AB14" s="97">
        <v>20.399999999999999</v>
      </c>
      <c r="AC14" s="97">
        <v>29</v>
      </c>
      <c r="AD14" s="97"/>
      <c r="AE14" s="97"/>
      <c r="AF14" s="97"/>
      <c r="AG14" s="97">
        <v>46.4</v>
      </c>
      <c r="AH14" s="97"/>
      <c r="AI14" s="97"/>
      <c r="AJ14" s="97"/>
      <c r="AK14" s="97"/>
      <c r="AL14" s="97"/>
      <c r="AM14" s="97">
        <v>52.7</v>
      </c>
      <c r="AN14" s="97"/>
      <c r="AO14" s="97"/>
      <c r="AP14" s="97"/>
      <c r="AQ14" s="97">
        <v>61</v>
      </c>
      <c r="AR14" s="87"/>
      <c r="AS14" s="87"/>
      <c r="AT14" s="87"/>
      <c r="AU14" s="87"/>
      <c r="AV14" s="87"/>
      <c r="AW14" s="87"/>
      <c r="AX14" s="87"/>
    </row>
    <row r="15" spans="1:50" x14ac:dyDescent="0.15">
      <c r="A15" s="90">
        <f t="shared" si="0"/>
        <v>14</v>
      </c>
      <c r="B15" s="87" t="s">
        <v>1</v>
      </c>
      <c r="C15" s="89">
        <v>475</v>
      </c>
      <c r="D15" s="89">
        <v>21</v>
      </c>
      <c r="E15" s="89"/>
      <c r="F15" s="89"/>
      <c r="G15" s="89"/>
      <c r="H15" s="89">
        <v>190</v>
      </c>
      <c r="I15" s="89"/>
      <c r="J15" s="99"/>
      <c r="K15" s="99">
        <v>3.5</v>
      </c>
      <c r="L15" s="99"/>
      <c r="M15" s="99"/>
      <c r="N15" s="99"/>
      <c r="O15" s="99"/>
      <c r="P15" s="99"/>
      <c r="Q15" s="99"/>
      <c r="R15" s="87"/>
      <c r="S15" s="87"/>
      <c r="T15" s="89"/>
      <c r="U15" s="89">
        <v>780</v>
      </c>
      <c r="V15" s="87"/>
      <c r="W15" s="89"/>
      <c r="X15" s="89">
        <v>1020</v>
      </c>
      <c r="Y15" s="89"/>
      <c r="Z15" s="100"/>
      <c r="AA15" s="100"/>
      <c r="AB15" s="97">
        <v>13</v>
      </c>
      <c r="AC15" s="97">
        <v>29.4</v>
      </c>
      <c r="AD15" s="97"/>
      <c r="AE15" s="97"/>
      <c r="AF15" s="97">
        <v>47.6</v>
      </c>
      <c r="AG15" s="97">
        <v>51.3</v>
      </c>
      <c r="AH15" s="97"/>
      <c r="AI15" s="97"/>
      <c r="AJ15" s="97"/>
      <c r="AK15" s="97"/>
      <c r="AL15" s="97">
        <v>62.3</v>
      </c>
      <c r="AM15" s="97"/>
      <c r="AN15" s="97"/>
      <c r="AO15" s="97"/>
      <c r="AP15" s="97"/>
      <c r="AQ15" s="97">
        <v>79.3</v>
      </c>
      <c r="AR15" s="97"/>
      <c r="AS15" s="97"/>
      <c r="AT15" s="97"/>
      <c r="AU15" s="97"/>
      <c r="AV15" s="97"/>
      <c r="AW15" s="97"/>
      <c r="AX15" s="97"/>
    </row>
    <row r="16" spans="1:50" x14ac:dyDescent="0.15">
      <c r="A16" s="90">
        <f t="shared" si="0"/>
        <v>15</v>
      </c>
      <c r="B16" s="87" t="s">
        <v>1</v>
      </c>
      <c r="C16" s="89">
        <v>475</v>
      </c>
      <c r="D16" s="89">
        <v>21</v>
      </c>
      <c r="E16" s="89"/>
      <c r="F16" s="89"/>
      <c r="G16" s="89"/>
      <c r="H16" s="89">
        <v>190</v>
      </c>
      <c r="I16" s="89"/>
      <c r="J16" s="99"/>
      <c r="K16" s="99">
        <v>3.5</v>
      </c>
      <c r="L16" s="99"/>
      <c r="M16" s="99"/>
      <c r="N16" s="99"/>
      <c r="O16" s="99"/>
      <c r="P16" s="99"/>
      <c r="Q16" s="99"/>
      <c r="R16" s="87"/>
      <c r="S16" s="87"/>
      <c r="T16" s="89"/>
      <c r="U16" s="89">
        <v>780</v>
      </c>
      <c r="V16" s="87"/>
      <c r="W16" s="89"/>
      <c r="X16" s="89">
        <v>1020</v>
      </c>
      <c r="Y16" s="89"/>
      <c r="Z16" s="100"/>
      <c r="AA16" s="100"/>
      <c r="AB16" s="97"/>
      <c r="AC16" s="97"/>
      <c r="AD16" s="97">
        <v>42.5</v>
      </c>
      <c r="AE16" s="97"/>
      <c r="AF16" s="97"/>
      <c r="AG16" s="97">
        <v>57.5</v>
      </c>
      <c r="AH16" s="97"/>
      <c r="AI16" s="97"/>
      <c r="AJ16" s="97"/>
      <c r="AK16" s="97"/>
      <c r="AL16" s="97">
        <v>69.7</v>
      </c>
      <c r="AM16" s="97"/>
      <c r="AN16" s="97"/>
      <c r="AO16" s="97"/>
      <c r="AP16" s="97"/>
      <c r="AQ16" s="97">
        <v>79.3</v>
      </c>
      <c r="AR16" s="97"/>
      <c r="AS16" s="97"/>
      <c r="AT16" s="97"/>
      <c r="AU16" s="97"/>
      <c r="AV16" s="97"/>
      <c r="AW16" s="97"/>
      <c r="AX16" s="97"/>
    </row>
    <row r="17" spans="1:50" x14ac:dyDescent="0.15">
      <c r="A17" s="90">
        <f t="shared" si="0"/>
        <v>16</v>
      </c>
      <c r="B17" s="87" t="s">
        <v>1</v>
      </c>
      <c r="C17" s="89">
        <v>470</v>
      </c>
      <c r="D17" s="89">
        <v>21</v>
      </c>
      <c r="E17" s="89"/>
      <c r="F17" s="89"/>
      <c r="G17" s="89"/>
      <c r="H17" s="89">
        <v>185</v>
      </c>
      <c r="I17" s="89"/>
      <c r="J17" s="99"/>
      <c r="K17" s="99">
        <v>3.5</v>
      </c>
      <c r="L17" s="99"/>
      <c r="M17" s="99"/>
      <c r="N17" s="99"/>
      <c r="O17" s="99"/>
      <c r="P17" s="99"/>
      <c r="Q17" s="99"/>
      <c r="R17" s="87"/>
      <c r="S17" s="87"/>
      <c r="T17" s="89"/>
      <c r="U17" s="89">
        <v>790</v>
      </c>
      <c r="V17" s="87"/>
      <c r="W17" s="89"/>
      <c r="X17" s="89">
        <v>480</v>
      </c>
      <c r="Y17" s="89">
        <v>560</v>
      </c>
      <c r="Z17" s="100"/>
      <c r="AA17" s="100"/>
      <c r="AB17" s="97">
        <v>11.3</v>
      </c>
      <c r="AC17" s="97">
        <v>29.7</v>
      </c>
      <c r="AD17" s="97"/>
      <c r="AE17" s="97"/>
      <c r="AF17" s="97">
        <v>49.4</v>
      </c>
      <c r="AG17" s="97">
        <v>53.2</v>
      </c>
      <c r="AH17" s="97"/>
      <c r="AI17" s="97"/>
      <c r="AJ17" s="97"/>
      <c r="AK17" s="97"/>
      <c r="AL17" s="97">
        <v>66.8</v>
      </c>
      <c r="AM17" s="97"/>
      <c r="AN17" s="97"/>
      <c r="AO17" s="97"/>
      <c r="AP17" s="97"/>
      <c r="AQ17" s="97">
        <v>78.3</v>
      </c>
      <c r="AR17" s="97"/>
      <c r="AS17" s="97"/>
      <c r="AT17" s="97"/>
      <c r="AU17" s="97"/>
      <c r="AV17" s="97"/>
      <c r="AW17" s="97"/>
      <c r="AX17" s="97"/>
    </row>
    <row r="18" spans="1:50" x14ac:dyDescent="0.15">
      <c r="A18" s="90">
        <f t="shared" si="0"/>
        <v>17</v>
      </c>
      <c r="B18" s="87" t="s">
        <v>1</v>
      </c>
      <c r="C18" s="89">
        <v>470</v>
      </c>
      <c r="D18" s="89">
        <v>21</v>
      </c>
      <c r="E18" s="89"/>
      <c r="F18" s="89"/>
      <c r="G18" s="89"/>
      <c r="H18" s="89">
        <v>185</v>
      </c>
      <c r="I18" s="89"/>
      <c r="J18" s="99"/>
      <c r="K18" s="99">
        <v>3.5</v>
      </c>
      <c r="L18" s="99"/>
      <c r="M18" s="99"/>
      <c r="N18" s="99"/>
      <c r="O18" s="99"/>
      <c r="P18" s="99"/>
      <c r="Q18" s="99"/>
      <c r="R18" s="87"/>
      <c r="S18" s="87"/>
      <c r="T18" s="89"/>
      <c r="U18" s="89">
        <v>790</v>
      </c>
      <c r="V18" s="87"/>
      <c r="W18" s="89"/>
      <c r="X18" s="89">
        <v>480</v>
      </c>
      <c r="Y18" s="89">
        <v>560</v>
      </c>
      <c r="Z18" s="100"/>
      <c r="AA18" s="100"/>
      <c r="AB18" s="97"/>
      <c r="AC18" s="97"/>
      <c r="AD18" s="97">
        <v>43.6</v>
      </c>
      <c r="AE18" s="97"/>
      <c r="AF18" s="97"/>
      <c r="AG18" s="97">
        <v>57</v>
      </c>
      <c r="AH18" s="97"/>
      <c r="AI18" s="97"/>
      <c r="AJ18" s="97"/>
      <c r="AK18" s="97"/>
      <c r="AL18" s="97">
        <v>69.599999999999994</v>
      </c>
      <c r="AM18" s="97"/>
      <c r="AN18" s="97"/>
      <c r="AO18" s="97"/>
      <c r="AP18" s="97"/>
      <c r="AQ18" s="97">
        <v>77.8</v>
      </c>
      <c r="AR18" s="97"/>
      <c r="AS18" s="97"/>
      <c r="AT18" s="97"/>
      <c r="AU18" s="97"/>
      <c r="AV18" s="97"/>
      <c r="AW18" s="97"/>
      <c r="AX18" s="97"/>
    </row>
    <row r="19" spans="1:50" x14ac:dyDescent="0.15">
      <c r="A19" s="90">
        <f t="shared" si="0"/>
        <v>18</v>
      </c>
      <c r="B19" s="87" t="s">
        <v>1</v>
      </c>
      <c r="C19" s="89">
        <v>465</v>
      </c>
      <c r="D19" s="89">
        <v>20</v>
      </c>
      <c r="E19" s="89"/>
      <c r="F19" s="89"/>
      <c r="G19" s="89"/>
      <c r="H19" s="89">
        <v>170</v>
      </c>
      <c r="I19" s="89"/>
      <c r="J19" s="99"/>
      <c r="K19" s="99">
        <v>4.5999999999999996</v>
      </c>
      <c r="L19" s="99"/>
      <c r="M19" s="99"/>
      <c r="N19" s="99"/>
      <c r="O19" s="99"/>
      <c r="P19" s="99"/>
      <c r="Q19" s="99"/>
      <c r="R19" s="87"/>
      <c r="S19" s="87"/>
      <c r="T19" s="89"/>
      <c r="U19" s="89">
        <v>750</v>
      </c>
      <c r="V19" s="87"/>
      <c r="W19" s="89">
        <v>135</v>
      </c>
      <c r="X19" s="89">
        <v>880</v>
      </c>
      <c r="Y19" s="89"/>
      <c r="Z19" s="100"/>
      <c r="AA19" s="100"/>
      <c r="AB19" s="97"/>
      <c r="AC19" s="97"/>
      <c r="AD19" s="97">
        <v>46.5</v>
      </c>
      <c r="AE19" s="97"/>
      <c r="AF19" s="97"/>
      <c r="AG19" s="97">
        <v>58.6</v>
      </c>
      <c r="AH19" s="97"/>
      <c r="AI19" s="97"/>
      <c r="AJ19" s="97"/>
      <c r="AK19" s="97"/>
      <c r="AL19" s="97">
        <v>64.5</v>
      </c>
      <c r="AM19" s="97"/>
      <c r="AN19" s="97"/>
      <c r="AO19" s="97"/>
      <c r="AP19" s="97"/>
      <c r="AQ19" s="97">
        <v>81.5</v>
      </c>
      <c r="AR19" s="87"/>
      <c r="AS19" s="87"/>
      <c r="AT19" s="87"/>
      <c r="AU19" s="87"/>
      <c r="AV19" s="87"/>
      <c r="AW19" s="87"/>
      <c r="AX19" s="87"/>
    </row>
    <row r="20" spans="1:50" x14ac:dyDescent="0.15">
      <c r="A20" s="90">
        <f t="shared" si="0"/>
        <v>19</v>
      </c>
      <c r="B20" s="87" t="s">
        <v>1</v>
      </c>
      <c r="C20" s="89">
        <v>455</v>
      </c>
      <c r="D20" s="89"/>
      <c r="E20" s="89"/>
      <c r="F20" s="89"/>
      <c r="G20" s="89">
        <v>30</v>
      </c>
      <c r="H20" s="89">
        <v>165</v>
      </c>
      <c r="I20" s="89"/>
      <c r="J20" s="99"/>
      <c r="K20" s="99">
        <v>3.45</v>
      </c>
      <c r="L20" s="99"/>
      <c r="M20" s="99"/>
      <c r="N20" s="99"/>
      <c r="O20" s="99"/>
      <c r="P20" s="99"/>
      <c r="Q20" s="99"/>
      <c r="R20" s="87"/>
      <c r="S20" s="87"/>
      <c r="T20" s="89"/>
      <c r="U20" s="89">
        <v>790</v>
      </c>
      <c r="V20" s="87"/>
      <c r="W20" s="89">
        <v>160</v>
      </c>
      <c r="X20" s="89">
        <v>860</v>
      </c>
      <c r="Y20" s="89"/>
      <c r="Z20" s="100"/>
      <c r="AA20" s="100"/>
      <c r="AB20" s="97">
        <v>29.8</v>
      </c>
      <c r="AC20" s="97">
        <v>36.700000000000003</v>
      </c>
      <c r="AD20" s="97">
        <v>40.5</v>
      </c>
      <c r="AE20" s="97"/>
      <c r="AF20" s="97"/>
      <c r="AG20" s="97"/>
      <c r="AH20" s="97"/>
      <c r="AI20" s="97"/>
      <c r="AJ20" s="97"/>
      <c r="AK20" s="97"/>
      <c r="AL20" s="97">
        <f>AVERAGE(58.4,58.4,60.1)</f>
        <v>58.966666666666669</v>
      </c>
      <c r="AM20" s="97"/>
      <c r="AN20" s="97"/>
      <c r="AO20" s="97"/>
      <c r="AP20" s="97"/>
      <c r="AQ20" s="97">
        <v>64.5</v>
      </c>
      <c r="AR20" s="87"/>
      <c r="AS20" s="87"/>
      <c r="AT20" s="87"/>
      <c r="AU20" s="87"/>
      <c r="AV20" s="87"/>
      <c r="AW20" s="87"/>
      <c r="AX20" s="87"/>
    </row>
    <row r="21" spans="1:50" x14ac:dyDescent="0.15">
      <c r="A21" s="90">
        <f t="shared" si="0"/>
        <v>20</v>
      </c>
      <c r="B21" s="87" t="s">
        <v>1</v>
      </c>
      <c r="C21" s="89">
        <v>455</v>
      </c>
      <c r="D21" s="89"/>
      <c r="E21" s="89"/>
      <c r="F21" s="89"/>
      <c r="G21" s="89">
        <v>30</v>
      </c>
      <c r="H21" s="89">
        <v>165</v>
      </c>
      <c r="I21" s="89"/>
      <c r="J21" s="99"/>
      <c r="K21" s="99">
        <v>3.45</v>
      </c>
      <c r="L21" s="99"/>
      <c r="M21" s="99"/>
      <c r="N21" s="99"/>
      <c r="O21" s="99"/>
      <c r="P21" s="99"/>
      <c r="Q21" s="99"/>
      <c r="R21" s="87"/>
      <c r="S21" s="87"/>
      <c r="T21" s="89"/>
      <c r="U21" s="89">
        <v>790</v>
      </c>
      <c r="V21" s="87"/>
      <c r="W21" s="89">
        <v>160</v>
      </c>
      <c r="X21" s="89">
        <v>860</v>
      </c>
      <c r="Y21" s="89"/>
      <c r="Z21" s="100"/>
      <c r="AA21" s="100"/>
      <c r="AB21" s="97">
        <v>36.4</v>
      </c>
      <c r="AC21" s="97">
        <v>46.5</v>
      </c>
      <c r="AD21" s="97">
        <v>47.2</v>
      </c>
      <c r="AE21" s="97"/>
      <c r="AF21" s="97"/>
      <c r="AG21" s="97">
        <v>53.7</v>
      </c>
      <c r="AH21" s="97"/>
      <c r="AI21" s="97"/>
      <c r="AJ21" s="97"/>
      <c r="AK21" s="97"/>
      <c r="AL21" s="97">
        <f>AVERAGE(62.6,61.4,65.5)</f>
        <v>63.166666666666664</v>
      </c>
      <c r="AM21" s="97"/>
      <c r="AN21" s="97"/>
      <c r="AO21" s="97"/>
      <c r="AP21" s="97"/>
      <c r="AQ21" s="97">
        <v>68.8</v>
      </c>
      <c r="AR21" s="87"/>
      <c r="AS21" s="87"/>
      <c r="AT21" s="87"/>
      <c r="AU21" s="87"/>
      <c r="AV21" s="87"/>
      <c r="AW21" s="87"/>
      <c r="AX21" s="87"/>
    </row>
    <row r="22" spans="1:50" x14ac:dyDescent="0.15">
      <c r="A22" s="90">
        <f t="shared" si="0"/>
        <v>21</v>
      </c>
      <c r="B22" s="87" t="s">
        <v>1</v>
      </c>
      <c r="C22" s="89">
        <v>450</v>
      </c>
      <c r="D22" s="89"/>
      <c r="E22" s="89"/>
      <c r="F22" s="89"/>
      <c r="G22" s="89"/>
      <c r="H22" s="89">
        <v>90</v>
      </c>
      <c r="I22" s="89">
        <v>90</v>
      </c>
      <c r="J22" s="99"/>
      <c r="K22" s="99">
        <v>3.3</v>
      </c>
      <c r="L22" s="99"/>
      <c r="M22" s="99"/>
      <c r="N22" s="99">
        <v>2.2000000000000002</v>
      </c>
      <c r="O22" s="99"/>
      <c r="P22" s="99"/>
      <c r="Q22" s="99"/>
      <c r="R22" s="91"/>
      <c r="S22" s="91"/>
      <c r="T22" s="89"/>
      <c r="U22" s="89">
        <v>810</v>
      </c>
      <c r="V22" s="91"/>
      <c r="W22" s="89">
        <v>120</v>
      </c>
      <c r="X22" s="89">
        <v>830</v>
      </c>
      <c r="Y22" s="89"/>
      <c r="Z22" s="100"/>
      <c r="AA22" s="100"/>
      <c r="AB22" s="97">
        <v>28.9</v>
      </c>
      <c r="AC22" s="97">
        <v>38.799999999999997</v>
      </c>
      <c r="AD22" s="97">
        <v>43.9</v>
      </c>
      <c r="AE22" s="97"/>
      <c r="AF22" s="97"/>
      <c r="AG22" s="97">
        <v>49.1</v>
      </c>
      <c r="AH22" s="97"/>
      <c r="AI22" s="97"/>
      <c r="AJ22" s="97"/>
      <c r="AK22" s="97"/>
      <c r="AL22" s="97">
        <v>58.3</v>
      </c>
      <c r="AM22" s="97"/>
      <c r="AN22" s="97"/>
      <c r="AO22" s="97"/>
      <c r="AP22" s="97"/>
      <c r="AQ22" s="97">
        <v>64.5</v>
      </c>
      <c r="AR22" s="97"/>
      <c r="AS22" s="97"/>
      <c r="AT22" s="97"/>
      <c r="AU22" s="97"/>
      <c r="AV22" s="97"/>
      <c r="AW22" s="97"/>
      <c r="AX22" s="97"/>
    </row>
    <row r="23" spans="1:50" x14ac:dyDescent="0.15">
      <c r="A23" s="90">
        <f t="shared" si="0"/>
        <v>22</v>
      </c>
      <c r="B23" s="87" t="s">
        <v>1</v>
      </c>
      <c r="C23" s="89">
        <v>440</v>
      </c>
      <c r="D23" s="89">
        <v>100</v>
      </c>
      <c r="E23" s="89"/>
      <c r="F23" s="89"/>
      <c r="G23" s="89"/>
      <c r="H23" s="89">
        <v>195</v>
      </c>
      <c r="I23" s="89"/>
      <c r="J23" s="99"/>
      <c r="K23" s="99">
        <v>5.4</v>
      </c>
      <c r="L23" s="99"/>
      <c r="M23" s="99"/>
      <c r="N23" s="99"/>
      <c r="O23" s="99"/>
      <c r="P23" s="99"/>
      <c r="Q23" s="99"/>
      <c r="R23" s="101"/>
      <c r="S23" s="101"/>
      <c r="T23" s="89"/>
      <c r="U23" s="89">
        <v>760</v>
      </c>
      <c r="V23" s="101"/>
      <c r="W23" s="89">
        <v>260</v>
      </c>
      <c r="X23" s="89">
        <v>595</v>
      </c>
      <c r="Y23" s="89"/>
      <c r="Z23" s="100"/>
      <c r="AA23" s="100"/>
      <c r="AB23" s="97"/>
      <c r="AC23" s="97">
        <f>AVERAGE(38.1,37.9)</f>
        <v>38</v>
      </c>
      <c r="AD23" s="97"/>
      <c r="AE23" s="97"/>
      <c r="AF23" s="97"/>
      <c r="AG23" s="97">
        <f>AVERAGE(53.1,50.1,50.8)</f>
        <v>51.333333333333336</v>
      </c>
      <c r="AH23" s="97"/>
      <c r="AI23" s="97"/>
      <c r="AJ23" s="97"/>
      <c r="AK23" s="97"/>
      <c r="AL23" s="97">
        <f>AVERAGE(62.2,67.6,65.8)</f>
        <v>65.2</v>
      </c>
      <c r="AM23" s="97"/>
      <c r="AN23" s="97"/>
      <c r="AO23" s="97"/>
      <c r="AP23" s="97"/>
      <c r="AQ23" s="97">
        <v>74</v>
      </c>
      <c r="AR23" s="87"/>
      <c r="AS23" s="87"/>
      <c r="AT23" s="87"/>
      <c r="AU23" s="87"/>
      <c r="AV23" s="87"/>
      <c r="AW23" s="87"/>
      <c r="AX23" s="87"/>
    </row>
    <row r="24" spans="1:50" x14ac:dyDescent="0.15">
      <c r="A24" s="90">
        <f t="shared" si="0"/>
        <v>23</v>
      </c>
      <c r="B24" s="87" t="s">
        <v>1</v>
      </c>
      <c r="C24" s="89">
        <v>440</v>
      </c>
      <c r="D24" s="89"/>
      <c r="E24" s="89"/>
      <c r="F24" s="89"/>
      <c r="G24" s="89"/>
      <c r="H24" s="89">
        <v>175</v>
      </c>
      <c r="I24" s="89"/>
      <c r="J24" s="99"/>
      <c r="K24" s="99">
        <v>3</v>
      </c>
      <c r="L24" s="99">
        <v>0.65</v>
      </c>
      <c r="M24" s="99"/>
      <c r="N24" s="99"/>
      <c r="O24" s="99"/>
      <c r="P24" s="99"/>
      <c r="Q24" s="99">
        <v>2</v>
      </c>
      <c r="R24" s="101"/>
      <c r="S24" s="101"/>
      <c r="T24" s="89"/>
      <c r="U24" s="89">
        <v>755</v>
      </c>
      <c r="V24" s="101"/>
      <c r="W24" s="89"/>
      <c r="X24" s="89">
        <v>140</v>
      </c>
      <c r="Y24" s="89">
        <v>770</v>
      </c>
      <c r="Z24" s="100"/>
      <c r="AA24" s="100"/>
      <c r="AB24" s="97"/>
      <c r="AC24" s="97">
        <v>38.299999999999997</v>
      </c>
      <c r="AD24" s="97"/>
      <c r="AE24" s="97"/>
      <c r="AF24" s="97"/>
      <c r="AG24" s="97">
        <v>42.4</v>
      </c>
      <c r="AH24" s="97"/>
      <c r="AI24" s="97"/>
      <c r="AJ24" s="97"/>
      <c r="AK24" s="97"/>
      <c r="AL24" s="97"/>
      <c r="AM24" s="97">
        <v>46.6</v>
      </c>
      <c r="AN24" s="97"/>
      <c r="AO24" s="97"/>
      <c r="AP24" s="97"/>
      <c r="AQ24" s="97">
        <v>51.7</v>
      </c>
      <c r="AR24" s="97"/>
      <c r="AS24" s="97">
        <v>55</v>
      </c>
      <c r="AT24" s="97"/>
      <c r="AU24" s="97"/>
      <c r="AV24" s="97"/>
      <c r="AW24" s="97"/>
      <c r="AX24" s="97"/>
    </row>
    <row r="25" spans="1:50" x14ac:dyDescent="0.15">
      <c r="A25" s="90">
        <f t="shared" si="0"/>
        <v>24</v>
      </c>
      <c r="B25" s="87" t="s">
        <v>1</v>
      </c>
      <c r="C25" s="89">
        <v>440</v>
      </c>
      <c r="D25" s="89"/>
      <c r="E25" s="89"/>
      <c r="F25" s="89"/>
      <c r="G25" s="89"/>
      <c r="H25" s="89">
        <v>175</v>
      </c>
      <c r="I25" s="89"/>
      <c r="J25" s="99"/>
      <c r="K25" s="99">
        <v>3</v>
      </c>
      <c r="L25" s="99">
        <v>0.65</v>
      </c>
      <c r="M25" s="99"/>
      <c r="N25" s="99"/>
      <c r="O25" s="99"/>
      <c r="P25" s="99"/>
      <c r="Q25" s="99">
        <v>2</v>
      </c>
      <c r="R25" s="101"/>
      <c r="S25" s="101"/>
      <c r="T25" s="89"/>
      <c r="U25" s="89">
        <v>755</v>
      </c>
      <c r="V25" s="101"/>
      <c r="W25" s="89"/>
      <c r="X25" s="89">
        <v>140</v>
      </c>
      <c r="Y25" s="89">
        <v>770</v>
      </c>
      <c r="Z25" s="100"/>
      <c r="AA25" s="100"/>
      <c r="AB25" s="97"/>
      <c r="AC25" s="97">
        <v>39.5</v>
      </c>
      <c r="AD25" s="97"/>
      <c r="AE25" s="97"/>
      <c r="AF25" s="97"/>
      <c r="AG25" s="97">
        <v>46.6</v>
      </c>
      <c r="AH25" s="97"/>
      <c r="AI25" s="97"/>
      <c r="AJ25" s="97"/>
      <c r="AK25" s="97"/>
      <c r="AL25" s="97"/>
      <c r="AM25" s="97">
        <v>51</v>
      </c>
      <c r="AN25" s="97"/>
      <c r="AO25" s="97"/>
      <c r="AP25" s="97"/>
      <c r="AQ25" s="97">
        <v>58.3</v>
      </c>
      <c r="AR25" s="97"/>
      <c r="AS25" s="97">
        <v>58.1</v>
      </c>
      <c r="AT25" s="97"/>
      <c r="AU25" s="97"/>
      <c r="AV25" s="97"/>
      <c r="AW25" s="97"/>
      <c r="AX25" s="97"/>
    </row>
    <row r="26" spans="1:50" x14ac:dyDescent="0.15">
      <c r="A26" s="90">
        <f t="shared" si="0"/>
        <v>25</v>
      </c>
      <c r="B26" s="87" t="s">
        <v>1</v>
      </c>
      <c r="C26" s="89">
        <v>440</v>
      </c>
      <c r="D26" s="89"/>
      <c r="E26" s="89"/>
      <c r="F26" s="89"/>
      <c r="G26" s="89"/>
      <c r="H26" s="89">
        <v>175</v>
      </c>
      <c r="I26" s="89"/>
      <c r="J26" s="99"/>
      <c r="K26" s="99">
        <v>3</v>
      </c>
      <c r="L26" s="99">
        <v>0.65</v>
      </c>
      <c r="M26" s="99"/>
      <c r="N26" s="99"/>
      <c r="O26" s="99"/>
      <c r="P26" s="99"/>
      <c r="Q26" s="99"/>
      <c r="R26" s="101"/>
      <c r="S26" s="101"/>
      <c r="T26" s="89"/>
      <c r="U26" s="89">
        <v>755</v>
      </c>
      <c r="V26" s="101"/>
      <c r="W26" s="89"/>
      <c r="X26" s="89">
        <v>140</v>
      </c>
      <c r="Y26" s="89">
        <v>770</v>
      </c>
      <c r="Z26" s="100"/>
      <c r="AA26" s="100"/>
      <c r="AB26" s="97"/>
      <c r="AC26" s="97">
        <v>38.1</v>
      </c>
      <c r="AD26" s="97"/>
      <c r="AE26" s="97"/>
      <c r="AF26" s="97"/>
      <c r="AG26" s="97">
        <v>42.3</v>
      </c>
      <c r="AH26" s="97"/>
      <c r="AI26" s="97"/>
      <c r="AJ26" s="97"/>
      <c r="AK26" s="97"/>
      <c r="AL26" s="97"/>
      <c r="AM26" s="97">
        <v>48.6</v>
      </c>
      <c r="AN26" s="97"/>
      <c r="AO26" s="97"/>
      <c r="AP26" s="97"/>
      <c r="AQ26" s="97">
        <v>55.2</v>
      </c>
      <c r="AR26" s="97"/>
      <c r="AS26" s="97"/>
      <c r="AT26" s="97"/>
      <c r="AU26" s="97"/>
      <c r="AV26" s="97"/>
      <c r="AW26" s="97"/>
      <c r="AX26" s="97"/>
    </row>
    <row r="27" spans="1:50" x14ac:dyDescent="0.15">
      <c r="A27" s="90">
        <f t="shared" si="0"/>
        <v>26</v>
      </c>
      <c r="B27" s="87" t="s">
        <v>1</v>
      </c>
      <c r="C27" s="89">
        <v>430</v>
      </c>
      <c r="D27" s="89"/>
      <c r="E27" s="89"/>
      <c r="F27" s="89"/>
      <c r="G27" s="89"/>
      <c r="H27" s="89">
        <v>163</v>
      </c>
      <c r="I27" s="89"/>
      <c r="J27" s="99"/>
      <c r="K27" s="99">
        <v>2.5</v>
      </c>
      <c r="L27" s="99">
        <v>0.25</v>
      </c>
      <c r="M27" s="99"/>
      <c r="N27" s="99"/>
      <c r="O27" s="99"/>
      <c r="P27" s="99"/>
      <c r="Q27" s="99"/>
      <c r="R27" s="101"/>
      <c r="S27" s="91"/>
      <c r="T27" s="89"/>
      <c r="U27" s="89">
        <v>800</v>
      </c>
      <c r="V27" s="91"/>
      <c r="W27" s="89">
        <v>900</v>
      </c>
      <c r="X27" s="89"/>
      <c r="Y27" s="89"/>
      <c r="Z27" s="100"/>
      <c r="AA27" s="100"/>
      <c r="AB27" s="97"/>
      <c r="AC27" s="97">
        <v>42.6</v>
      </c>
      <c r="AD27" s="97">
        <v>46</v>
      </c>
      <c r="AE27" s="97"/>
      <c r="AF27" s="97"/>
      <c r="AG27" s="97">
        <v>47.2</v>
      </c>
      <c r="AH27" s="97"/>
      <c r="AI27" s="97"/>
      <c r="AJ27" s="97"/>
      <c r="AK27" s="97"/>
      <c r="AL27" s="97">
        <v>62.2</v>
      </c>
      <c r="AM27" s="97"/>
      <c r="AN27" s="97"/>
      <c r="AO27" s="97"/>
      <c r="AP27" s="97"/>
      <c r="AQ27" s="97">
        <v>70.8</v>
      </c>
      <c r="AR27" s="87"/>
      <c r="AS27" s="87"/>
      <c r="AT27" s="87"/>
      <c r="AU27" s="87"/>
      <c r="AV27" s="87"/>
      <c r="AW27" s="87"/>
      <c r="AX27" s="87"/>
    </row>
    <row r="28" spans="1:50" x14ac:dyDescent="0.15">
      <c r="A28" s="90">
        <f t="shared" si="0"/>
        <v>27</v>
      </c>
      <c r="B28" s="87" t="s">
        <v>1</v>
      </c>
      <c r="C28" s="89">
        <v>430</v>
      </c>
      <c r="D28" s="89"/>
      <c r="E28" s="89"/>
      <c r="F28" s="89"/>
      <c r="G28" s="89"/>
      <c r="H28" s="89">
        <v>175</v>
      </c>
      <c r="I28" s="89"/>
      <c r="J28" s="99"/>
      <c r="K28" s="99">
        <v>3</v>
      </c>
      <c r="L28" s="99">
        <v>0.6</v>
      </c>
      <c r="M28" s="99"/>
      <c r="N28" s="99"/>
      <c r="O28" s="99"/>
      <c r="P28" s="99"/>
      <c r="Q28" s="99"/>
      <c r="R28" s="101"/>
      <c r="S28" s="91"/>
      <c r="T28" s="89"/>
      <c r="U28" s="89">
        <v>830</v>
      </c>
      <c r="V28" s="91"/>
      <c r="W28" s="89"/>
      <c r="X28" s="89">
        <v>350</v>
      </c>
      <c r="Y28" s="89">
        <v>515</v>
      </c>
      <c r="Z28" s="100"/>
      <c r="AA28" s="100"/>
      <c r="AB28" s="97">
        <v>10.199999999999999</v>
      </c>
      <c r="AC28" s="97">
        <v>30.4</v>
      </c>
      <c r="AD28" s="97">
        <v>35.9</v>
      </c>
      <c r="AE28" s="97"/>
      <c r="AF28" s="97"/>
      <c r="AG28" s="97">
        <v>41</v>
      </c>
      <c r="AH28" s="97"/>
      <c r="AI28" s="97"/>
      <c r="AJ28" s="97"/>
      <c r="AK28" s="97"/>
      <c r="AL28" s="97">
        <v>50.2</v>
      </c>
      <c r="AM28" s="97"/>
      <c r="AN28" s="97"/>
      <c r="AO28" s="97"/>
      <c r="AP28" s="97"/>
      <c r="AQ28" s="97">
        <v>60</v>
      </c>
      <c r="AR28" s="97"/>
      <c r="AS28" s="97"/>
      <c r="AT28" s="97"/>
      <c r="AU28" s="97"/>
      <c r="AV28" s="97"/>
      <c r="AW28" s="97"/>
      <c r="AX28" s="97"/>
    </row>
    <row r="29" spans="1:50" x14ac:dyDescent="0.15">
      <c r="A29" s="90">
        <f t="shared" si="0"/>
        <v>28</v>
      </c>
      <c r="B29" s="87" t="s">
        <v>1</v>
      </c>
      <c r="C29" s="89">
        <v>430</v>
      </c>
      <c r="D29" s="89"/>
      <c r="E29" s="89"/>
      <c r="F29" s="89"/>
      <c r="G29" s="89"/>
      <c r="H29" s="89">
        <v>175</v>
      </c>
      <c r="I29" s="89"/>
      <c r="J29" s="99"/>
      <c r="K29" s="99">
        <v>3</v>
      </c>
      <c r="L29" s="99">
        <v>0.6</v>
      </c>
      <c r="M29" s="99"/>
      <c r="N29" s="99"/>
      <c r="O29" s="99"/>
      <c r="P29" s="99"/>
      <c r="Q29" s="99"/>
      <c r="R29" s="101"/>
      <c r="S29" s="101"/>
      <c r="T29" s="89"/>
      <c r="U29" s="89">
        <v>860</v>
      </c>
      <c r="V29" s="101"/>
      <c r="W29" s="89"/>
      <c r="X29" s="89">
        <v>350</v>
      </c>
      <c r="Y29" s="89">
        <v>515</v>
      </c>
      <c r="Z29" s="100"/>
      <c r="AA29" s="100"/>
      <c r="AB29" s="97">
        <v>10.4</v>
      </c>
      <c r="AC29" s="97">
        <v>28.9</v>
      </c>
      <c r="AD29" s="97">
        <v>33.9</v>
      </c>
      <c r="AE29" s="97"/>
      <c r="AF29" s="97"/>
      <c r="AG29" s="97">
        <v>39.6</v>
      </c>
      <c r="AH29" s="97"/>
      <c r="AI29" s="97"/>
      <c r="AJ29" s="97"/>
      <c r="AK29" s="97"/>
      <c r="AL29" s="97">
        <v>47.2</v>
      </c>
      <c r="AM29" s="97"/>
      <c r="AN29" s="97"/>
      <c r="AO29" s="97"/>
      <c r="AP29" s="97"/>
      <c r="AQ29" s="97">
        <v>54</v>
      </c>
      <c r="AR29" s="97"/>
      <c r="AS29" s="97"/>
      <c r="AT29" s="97"/>
      <c r="AU29" s="97"/>
      <c r="AV29" s="97"/>
      <c r="AW29" s="97"/>
      <c r="AX29" s="97"/>
    </row>
    <row r="30" spans="1:50" x14ac:dyDescent="0.15">
      <c r="A30" s="90">
        <f t="shared" si="0"/>
        <v>29</v>
      </c>
      <c r="B30" s="87" t="s">
        <v>1</v>
      </c>
      <c r="C30" s="89">
        <v>430</v>
      </c>
      <c r="D30" s="89"/>
      <c r="E30" s="89"/>
      <c r="F30" s="89"/>
      <c r="G30" s="89"/>
      <c r="H30" s="89">
        <v>175</v>
      </c>
      <c r="I30" s="89"/>
      <c r="J30" s="99"/>
      <c r="K30" s="99">
        <v>3</v>
      </c>
      <c r="L30" s="99">
        <v>0.77</v>
      </c>
      <c r="M30" s="99"/>
      <c r="N30" s="99"/>
      <c r="O30" s="99"/>
      <c r="P30" s="99"/>
      <c r="Q30" s="99">
        <v>2</v>
      </c>
      <c r="R30" s="101"/>
      <c r="S30" s="101"/>
      <c r="T30" s="89"/>
      <c r="U30" s="89">
        <v>830</v>
      </c>
      <c r="V30" s="101"/>
      <c r="W30" s="89"/>
      <c r="X30" s="89">
        <v>350</v>
      </c>
      <c r="Y30" s="89">
        <v>515</v>
      </c>
      <c r="Z30" s="100"/>
      <c r="AA30" s="100"/>
      <c r="AB30" s="97"/>
      <c r="AC30" s="97"/>
      <c r="AD30" s="97">
        <v>40</v>
      </c>
      <c r="AE30" s="97"/>
      <c r="AF30" s="97"/>
      <c r="AG30" s="97">
        <v>43.3</v>
      </c>
      <c r="AH30" s="97"/>
      <c r="AI30" s="97"/>
      <c r="AJ30" s="97"/>
      <c r="AK30" s="97"/>
      <c r="AL30" s="97">
        <v>46.8</v>
      </c>
      <c r="AM30" s="97"/>
      <c r="AN30" s="97"/>
      <c r="AO30" s="97"/>
      <c r="AP30" s="97"/>
      <c r="AQ30" s="97">
        <v>55.7</v>
      </c>
      <c r="AR30" s="97"/>
      <c r="AS30" s="97"/>
      <c r="AT30" s="97"/>
      <c r="AU30" s="97">
        <v>56.4</v>
      </c>
      <c r="AV30" s="97"/>
      <c r="AW30" s="97"/>
      <c r="AX30" s="97"/>
    </row>
    <row r="31" spans="1:50" x14ac:dyDescent="0.15">
      <c r="A31" s="90">
        <f t="shared" si="0"/>
        <v>30</v>
      </c>
      <c r="B31" s="87" t="s">
        <v>1</v>
      </c>
      <c r="C31" s="89">
        <v>430</v>
      </c>
      <c r="D31" s="89"/>
      <c r="E31" s="89"/>
      <c r="F31" s="89"/>
      <c r="G31" s="89"/>
      <c r="H31" s="89">
        <v>175</v>
      </c>
      <c r="I31" s="89"/>
      <c r="J31" s="99"/>
      <c r="K31" s="99">
        <v>3</v>
      </c>
      <c r="L31" s="99">
        <v>0.77</v>
      </c>
      <c r="M31" s="99"/>
      <c r="N31" s="99"/>
      <c r="O31" s="99"/>
      <c r="P31" s="99"/>
      <c r="Q31" s="99">
        <v>2</v>
      </c>
      <c r="R31" s="101"/>
      <c r="S31" s="101"/>
      <c r="T31" s="89"/>
      <c r="U31" s="89">
        <v>830</v>
      </c>
      <c r="V31" s="101"/>
      <c r="W31" s="89"/>
      <c r="X31" s="89">
        <v>350</v>
      </c>
      <c r="Y31" s="89">
        <v>515</v>
      </c>
      <c r="Z31" s="100"/>
      <c r="AA31" s="100"/>
      <c r="AB31" s="97"/>
      <c r="AC31" s="97"/>
      <c r="AD31" s="97">
        <v>38.1</v>
      </c>
      <c r="AE31" s="97"/>
      <c r="AF31" s="97"/>
      <c r="AG31" s="97">
        <v>42.8</v>
      </c>
      <c r="AH31" s="97"/>
      <c r="AI31" s="97"/>
      <c r="AJ31" s="97"/>
      <c r="AK31" s="97"/>
      <c r="AL31" s="97">
        <v>43.6</v>
      </c>
      <c r="AM31" s="97"/>
      <c r="AN31" s="97"/>
      <c r="AO31" s="97"/>
      <c r="AP31" s="97"/>
      <c r="AQ31" s="97">
        <v>52.3</v>
      </c>
      <c r="AR31" s="97"/>
      <c r="AS31" s="97"/>
      <c r="AT31" s="97"/>
      <c r="AU31" s="97">
        <v>56.1</v>
      </c>
      <c r="AV31" s="97"/>
      <c r="AW31" s="97"/>
      <c r="AX31" s="97"/>
    </row>
    <row r="32" spans="1:50" x14ac:dyDescent="0.15">
      <c r="A32" s="90">
        <f t="shared" si="0"/>
        <v>31</v>
      </c>
      <c r="B32" s="87" t="s">
        <v>1</v>
      </c>
      <c r="C32" s="89">
        <v>430</v>
      </c>
      <c r="D32" s="89"/>
      <c r="E32" s="89"/>
      <c r="F32" s="89"/>
      <c r="G32" s="89"/>
      <c r="H32" s="89">
        <v>175</v>
      </c>
      <c r="I32" s="89"/>
      <c r="J32" s="99"/>
      <c r="K32" s="99">
        <v>3</v>
      </c>
      <c r="L32" s="99">
        <v>0.77</v>
      </c>
      <c r="M32" s="99"/>
      <c r="N32" s="99"/>
      <c r="O32" s="99"/>
      <c r="P32" s="99"/>
      <c r="Q32" s="99"/>
      <c r="R32" s="101"/>
      <c r="S32" s="101"/>
      <c r="T32" s="89"/>
      <c r="U32" s="89">
        <v>830</v>
      </c>
      <c r="V32" s="101"/>
      <c r="W32" s="89"/>
      <c r="X32" s="89">
        <v>350</v>
      </c>
      <c r="Y32" s="89">
        <v>515</v>
      </c>
      <c r="Z32" s="100"/>
      <c r="AA32" s="100"/>
      <c r="AB32" s="97"/>
      <c r="AC32" s="97"/>
      <c r="AD32" s="97">
        <v>39.700000000000003</v>
      </c>
      <c r="AE32" s="97"/>
      <c r="AF32" s="97"/>
      <c r="AG32" s="97">
        <v>41.5</v>
      </c>
      <c r="AH32" s="97"/>
      <c r="AI32" s="97"/>
      <c r="AJ32" s="97"/>
      <c r="AK32" s="97"/>
      <c r="AL32" s="97">
        <v>47.8</v>
      </c>
      <c r="AM32" s="97"/>
      <c r="AN32" s="97"/>
      <c r="AO32" s="97"/>
      <c r="AP32" s="97"/>
      <c r="AQ32" s="97">
        <v>51.8</v>
      </c>
      <c r="AR32" s="97"/>
      <c r="AS32" s="97"/>
      <c r="AT32" s="97"/>
      <c r="AU32" s="97">
        <v>58.9</v>
      </c>
      <c r="AV32" s="97"/>
      <c r="AW32" s="97"/>
      <c r="AX32" s="97"/>
    </row>
    <row r="33" spans="1:50" x14ac:dyDescent="0.15">
      <c r="A33" s="90">
        <f t="shared" si="0"/>
        <v>32</v>
      </c>
      <c r="B33" s="87" t="s">
        <v>1</v>
      </c>
      <c r="C33" s="89">
        <v>430</v>
      </c>
      <c r="D33" s="89"/>
      <c r="E33" s="89"/>
      <c r="F33" s="89"/>
      <c r="G33" s="89"/>
      <c r="H33" s="89">
        <v>175</v>
      </c>
      <c r="I33" s="89"/>
      <c r="J33" s="99"/>
      <c r="K33" s="99">
        <v>3.44</v>
      </c>
      <c r="L33" s="99">
        <v>0.55000000000000004</v>
      </c>
      <c r="M33" s="99"/>
      <c r="N33" s="99"/>
      <c r="O33" s="99"/>
      <c r="P33" s="99"/>
      <c r="Q33" s="99"/>
      <c r="R33" s="101"/>
      <c r="S33" s="101"/>
      <c r="T33" s="89"/>
      <c r="U33" s="89">
        <v>755</v>
      </c>
      <c r="V33" s="101"/>
      <c r="W33" s="89">
        <v>140</v>
      </c>
      <c r="X33" s="89">
        <v>770</v>
      </c>
      <c r="Y33" s="89"/>
      <c r="Z33" s="100"/>
      <c r="AA33" s="100"/>
      <c r="AB33" s="97"/>
      <c r="AC33" s="97">
        <f>AVERAGE(29,28.6,28.8)</f>
        <v>28.8</v>
      </c>
      <c r="AD33" s="97"/>
      <c r="AE33" s="97"/>
      <c r="AF33" s="97"/>
      <c r="AG33" s="97">
        <f>AVERAGE(41.8,41.7,40.3)</f>
        <v>41.266666666666666</v>
      </c>
      <c r="AH33" s="97"/>
      <c r="AI33" s="97"/>
      <c r="AJ33" s="97"/>
      <c r="AK33" s="97"/>
      <c r="AL33" s="97"/>
      <c r="AM33" s="97">
        <f>AVERAGE(47.2,48.4,47)</f>
        <v>47.533333333333331</v>
      </c>
      <c r="AN33" s="97"/>
      <c r="AO33" s="97"/>
      <c r="AP33" s="97"/>
      <c r="AQ33" s="97">
        <v>54</v>
      </c>
      <c r="AR33" s="97"/>
      <c r="AS33" s="97"/>
      <c r="AT33" s="97"/>
      <c r="AU33" s="97"/>
      <c r="AV33" s="97"/>
      <c r="AW33" s="97"/>
      <c r="AX33" s="97"/>
    </row>
    <row r="34" spans="1:50" x14ac:dyDescent="0.15">
      <c r="A34" s="90">
        <f t="shared" si="0"/>
        <v>33</v>
      </c>
      <c r="B34" s="87" t="s">
        <v>1</v>
      </c>
      <c r="C34" s="89">
        <v>420</v>
      </c>
      <c r="D34" s="89"/>
      <c r="E34" s="89"/>
      <c r="F34" s="89"/>
      <c r="G34" s="89"/>
      <c r="H34" s="89">
        <v>163</v>
      </c>
      <c r="I34" s="89"/>
      <c r="J34" s="99"/>
      <c r="K34" s="99">
        <v>2.4</v>
      </c>
      <c r="L34" s="99">
        <v>0.25</v>
      </c>
      <c r="M34" s="99">
        <v>0.3</v>
      </c>
      <c r="N34" s="99"/>
      <c r="O34" s="99"/>
      <c r="P34" s="99"/>
      <c r="Q34" s="99"/>
      <c r="R34" s="101"/>
      <c r="S34" s="101"/>
      <c r="T34" s="89"/>
      <c r="U34" s="89">
        <v>810</v>
      </c>
      <c r="V34" s="101"/>
      <c r="W34" s="89">
        <v>150</v>
      </c>
      <c r="X34" s="89">
        <v>350</v>
      </c>
      <c r="Y34" s="89">
        <v>490</v>
      </c>
      <c r="Z34" s="100"/>
      <c r="AA34" s="100"/>
      <c r="AB34" s="97"/>
      <c r="AC34" s="97">
        <v>26.2</v>
      </c>
      <c r="AD34" s="97"/>
      <c r="AE34" s="97">
        <v>38.200000000000003</v>
      </c>
      <c r="AF34" s="97">
        <v>40.4</v>
      </c>
      <c r="AG34" s="97">
        <v>43.1</v>
      </c>
      <c r="AH34" s="97"/>
      <c r="AI34" s="97"/>
      <c r="AJ34" s="97"/>
      <c r="AK34" s="97"/>
      <c r="AL34" s="97">
        <v>49</v>
      </c>
      <c r="AM34" s="97"/>
      <c r="AN34" s="97"/>
      <c r="AO34" s="97"/>
      <c r="AP34" s="97"/>
      <c r="AQ34" s="97">
        <v>52.1</v>
      </c>
      <c r="AR34" s="87"/>
      <c r="AS34" s="87"/>
      <c r="AT34" s="87"/>
      <c r="AU34" s="87"/>
      <c r="AV34" s="87"/>
      <c r="AW34" s="87"/>
      <c r="AX34" s="87"/>
    </row>
    <row r="35" spans="1:50" x14ac:dyDescent="0.15">
      <c r="A35" s="90">
        <f t="shared" si="0"/>
        <v>34</v>
      </c>
      <c r="B35" s="87" t="s">
        <v>1</v>
      </c>
      <c r="C35" s="89">
        <v>420</v>
      </c>
      <c r="D35" s="89"/>
      <c r="E35" s="89"/>
      <c r="F35" s="89"/>
      <c r="G35" s="89"/>
      <c r="H35" s="89">
        <v>163</v>
      </c>
      <c r="I35" s="89"/>
      <c r="J35" s="99"/>
      <c r="K35" s="99">
        <v>2.4</v>
      </c>
      <c r="L35" s="99">
        <v>0.25</v>
      </c>
      <c r="M35" s="99">
        <v>0.3</v>
      </c>
      <c r="N35" s="99"/>
      <c r="O35" s="99"/>
      <c r="P35" s="99"/>
      <c r="Q35" s="99"/>
      <c r="R35" s="101"/>
      <c r="S35" s="101"/>
      <c r="T35" s="89"/>
      <c r="U35" s="89">
        <v>810</v>
      </c>
      <c r="V35" s="101"/>
      <c r="W35" s="89">
        <v>150</v>
      </c>
      <c r="X35" s="89">
        <v>350</v>
      </c>
      <c r="Y35" s="89">
        <v>490</v>
      </c>
      <c r="Z35" s="100"/>
      <c r="AA35" s="100"/>
      <c r="AB35" s="97"/>
      <c r="AC35" s="97"/>
      <c r="AD35" s="97">
        <v>34.1</v>
      </c>
      <c r="AE35" s="97"/>
      <c r="AF35" s="97">
        <v>40.4</v>
      </c>
      <c r="AG35" s="97">
        <v>44</v>
      </c>
      <c r="AH35" s="97"/>
      <c r="AI35" s="97"/>
      <c r="AJ35" s="97"/>
      <c r="AK35" s="97"/>
      <c r="AL35" s="97">
        <v>55.6</v>
      </c>
      <c r="AM35" s="97"/>
      <c r="AN35" s="97"/>
      <c r="AO35" s="97"/>
      <c r="AP35" s="97"/>
      <c r="AQ35" s="97">
        <v>63.2</v>
      </c>
      <c r="AR35" s="87"/>
      <c r="AS35" s="87"/>
      <c r="AT35" s="87"/>
      <c r="AU35" s="87"/>
      <c r="AV35" s="87"/>
      <c r="AW35" s="87"/>
      <c r="AX35" s="87"/>
    </row>
    <row r="36" spans="1:50" x14ac:dyDescent="0.15">
      <c r="A36" s="90">
        <f t="shared" si="0"/>
        <v>35</v>
      </c>
      <c r="B36" s="87" t="s">
        <v>1</v>
      </c>
      <c r="C36" s="89">
        <v>420</v>
      </c>
      <c r="D36" s="89"/>
      <c r="E36" s="89"/>
      <c r="F36" s="89"/>
      <c r="G36" s="89"/>
      <c r="H36" s="89">
        <v>163</v>
      </c>
      <c r="I36" s="89"/>
      <c r="J36" s="99"/>
      <c r="K36" s="99">
        <v>2.4</v>
      </c>
      <c r="L36" s="99">
        <v>0.25</v>
      </c>
      <c r="M36" s="99">
        <v>0.3</v>
      </c>
      <c r="N36" s="99"/>
      <c r="O36" s="99"/>
      <c r="P36" s="99"/>
      <c r="Q36" s="99"/>
      <c r="R36" s="101"/>
      <c r="S36" s="101"/>
      <c r="T36" s="89"/>
      <c r="U36" s="89">
        <v>810</v>
      </c>
      <c r="V36" s="101"/>
      <c r="W36" s="89">
        <v>150</v>
      </c>
      <c r="X36" s="89">
        <v>350</v>
      </c>
      <c r="Y36" s="89">
        <v>490</v>
      </c>
      <c r="Z36" s="100"/>
      <c r="AA36" s="100"/>
      <c r="AB36" s="97"/>
      <c r="AC36" s="97"/>
      <c r="AD36" s="97">
        <v>34.9</v>
      </c>
      <c r="AE36" s="97"/>
      <c r="AF36" s="97"/>
      <c r="AG36" s="97"/>
      <c r="AH36" s="97">
        <v>43.3</v>
      </c>
      <c r="AI36" s="97"/>
      <c r="AJ36" s="97"/>
      <c r="AK36" s="97"/>
      <c r="AL36" s="97">
        <v>54.5</v>
      </c>
      <c r="AM36" s="97"/>
      <c r="AN36" s="97"/>
      <c r="AO36" s="97"/>
      <c r="AP36" s="97"/>
      <c r="AQ36" s="97">
        <v>62.6</v>
      </c>
      <c r="AR36" s="87"/>
      <c r="AS36" s="87"/>
      <c r="AT36" s="87"/>
      <c r="AU36" s="87"/>
      <c r="AV36" s="87"/>
      <c r="AW36" s="87"/>
      <c r="AX36" s="87"/>
    </row>
    <row r="37" spans="1:50" x14ac:dyDescent="0.15">
      <c r="A37" s="90">
        <f t="shared" si="0"/>
        <v>36</v>
      </c>
      <c r="B37" s="87" t="s">
        <v>1</v>
      </c>
      <c r="C37" s="89">
        <v>420</v>
      </c>
      <c r="D37" s="89"/>
      <c r="E37" s="89"/>
      <c r="F37" s="89"/>
      <c r="G37" s="89"/>
      <c r="H37" s="89">
        <v>180</v>
      </c>
      <c r="I37" s="89"/>
      <c r="J37" s="99"/>
      <c r="K37" s="99">
        <v>3</v>
      </c>
      <c r="L37" s="99">
        <v>0.55000000000000004</v>
      </c>
      <c r="M37" s="99"/>
      <c r="N37" s="99"/>
      <c r="O37" s="99"/>
      <c r="P37" s="99"/>
      <c r="Q37" s="99"/>
      <c r="R37" s="101"/>
      <c r="S37" s="101"/>
      <c r="T37" s="89"/>
      <c r="U37" s="89">
        <v>755</v>
      </c>
      <c r="V37" s="101"/>
      <c r="W37" s="89">
        <v>140</v>
      </c>
      <c r="X37" s="89">
        <v>840</v>
      </c>
      <c r="Y37" s="89"/>
      <c r="Z37" s="100"/>
      <c r="AA37" s="100"/>
      <c r="AB37" s="97"/>
      <c r="AC37" s="97">
        <f>AVERAGE(32.8,31,32.4)</f>
        <v>32.066666666666663</v>
      </c>
      <c r="AD37" s="97"/>
      <c r="AE37" s="97"/>
      <c r="AF37" s="97"/>
      <c r="AG37" s="97">
        <f>AVERAGE(46.2,42.4,42.8)</f>
        <v>43.79999999999999</v>
      </c>
      <c r="AH37" s="97"/>
      <c r="AI37" s="97"/>
      <c r="AJ37" s="97"/>
      <c r="AK37" s="97"/>
      <c r="AL37" s="97">
        <f>AVERAGE(51.5,46.4,47.2)</f>
        <v>48.366666666666674</v>
      </c>
      <c r="AM37" s="97"/>
      <c r="AN37" s="97"/>
      <c r="AO37" s="97"/>
      <c r="AP37" s="97"/>
      <c r="AQ37" s="97">
        <v>52.5</v>
      </c>
      <c r="AR37" s="97"/>
      <c r="AS37" s="97"/>
      <c r="AT37" s="97"/>
      <c r="AU37" s="97"/>
      <c r="AV37" s="97"/>
      <c r="AW37" s="97"/>
      <c r="AX37" s="97"/>
    </row>
    <row r="38" spans="1:50" x14ac:dyDescent="0.15">
      <c r="A38" s="90">
        <f t="shared" si="0"/>
        <v>37</v>
      </c>
      <c r="B38" s="87" t="s">
        <v>1</v>
      </c>
      <c r="C38" s="89">
        <v>405</v>
      </c>
      <c r="D38" s="89"/>
      <c r="E38" s="89"/>
      <c r="F38" s="89"/>
      <c r="G38" s="89"/>
      <c r="H38" s="89">
        <v>170</v>
      </c>
      <c r="I38" s="89"/>
      <c r="J38" s="99"/>
      <c r="K38" s="99">
        <v>2.65</v>
      </c>
      <c r="L38" s="99">
        <v>0.5</v>
      </c>
      <c r="M38" s="99"/>
      <c r="N38" s="99"/>
      <c r="O38" s="99"/>
      <c r="P38" s="99"/>
      <c r="Q38" s="99"/>
      <c r="R38" s="101"/>
      <c r="S38" s="101"/>
      <c r="T38" s="89"/>
      <c r="U38" s="89">
        <v>875</v>
      </c>
      <c r="V38" s="101"/>
      <c r="W38" s="89">
        <v>170</v>
      </c>
      <c r="X38" s="89">
        <v>700</v>
      </c>
      <c r="Y38" s="89"/>
      <c r="Z38" s="100"/>
      <c r="AA38" s="100"/>
      <c r="AB38" s="97"/>
      <c r="AC38" s="97"/>
      <c r="AD38" s="97">
        <v>37.6</v>
      </c>
      <c r="AE38" s="97">
        <v>40.799999999999997</v>
      </c>
      <c r="AF38" s="97"/>
      <c r="AG38" s="97">
        <f>AVERAGE(43,48.1)</f>
        <v>45.55</v>
      </c>
      <c r="AH38" s="97"/>
      <c r="AI38" s="97"/>
      <c r="AJ38" s="97"/>
      <c r="AK38" s="97"/>
      <c r="AL38" s="97">
        <f>AVERAGE(52.3,57.9)</f>
        <v>55.099999999999994</v>
      </c>
      <c r="AM38" s="97"/>
      <c r="AN38" s="97"/>
      <c r="AO38" s="97"/>
      <c r="AP38" s="97"/>
      <c r="AQ38" s="97">
        <v>61.1</v>
      </c>
      <c r="AR38" s="87"/>
      <c r="AS38" s="87"/>
      <c r="AT38" s="87"/>
      <c r="AU38" s="87"/>
      <c r="AV38" s="87"/>
      <c r="AW38" s="87"/>
      <c r="AX38" s="87"/>
    </row>
    <row r="39" spans="1:50" x14ac:dyDescent="0.15">
      <c r="A39" s="90">
        <f t="shared" si="0"/>
        <v>38</v>
      </c>
      <c r="B39" s="87" t="s">
        <v>1</v>
      </c>
      <c r="C39" s="89">
        <v>405</v>
      </c>
      <c r="D39" s="89"/>
      <c r="E39" s="89"/>
      <c r="F39" s="89"/>
      <c r="G39" s="89"/>
      <c r="H39" s="89">
        <v>160</v>
      </c>
      <c r="I39" s="89"/>
      <c r="J39" s="99"/>
      <c r="K39" s="99">
        <v>3.6</v>
      </c>
      <c r="L39" s="99">
        <v>0.35</v>
      </c>
      <c r="M39" s="99"/>
      <c r="N39" s="99"/>
      <c r="O39" s="99"/>
      <c r="P39" s="99"/>
      <c r="Q39" s="99"/>
      <c r="R39" s="101"/>
      <c r="S39" s="101"/>
      <c r="T39" s="89"/>
      <c r="U39" s="89">
        <v>935</v>
      </c>
      <c r="V39" s="101"/>
      <c r="W39" s="89">
        <v>180</v>
      </c>
      <c r="X39" s="89">
        <v>675</v>
      </c>
      <c r="Y39" s="89"/>
      <c r="Z39" s="100"/>
      <c r="AA39" s="100"/>
      <c r="AB39" s="97"/>
      <c r="AC39" s="97">
        <f>AVERAGE(37.5,37.6,40.6)</f>
        <v>38.566666666666663</v>
      </c>
      <c r="AD39" s="97"/>
      <c r="AE39" s="97"/>
      <c r="AF39" s="97"/>
      <c r="AG39" s="97">
        <f>AVERAGE(46.9,44.4,48.4)</f>
        <v>46.566666666666663</v>
      </c>
      <c r="AH39" s="97"/>
      <c r="AI39" s="97"/>
      <c r="AJ39" s="97"/>
      <c r="AK39" s="97"/>
      <c r="AL39" s="97">
        <f>AVERAGE(53.8,57.1,54.6)</f>
        <v>55.166666666666664</v>
      </c>
      <c r="AM39" s="97"/>
      <c r="AN39" s="97"/>
      <c r="AO39" s="97"/>
      <c r="AP39" s="97"/>
      <c r="AQ39" s="97">
        <v>64.5</v>
      </c>
      <c r="AR39" s="97"/>
      <c r="AS39" s="97"/>
      <c r="AT39" s="97"/>
      <c r="AU39" s="97"/>
      <c r="AV39" s="97"/>
      <c r="AW39" s="97"/>
      <c r="AX39" s="97"/>
    </row>
    <row r="40" spans="1:50" x14ac:dyDescent="0.15">
      <c r="A40" s="90">
        <f t="shared" si="0"/>
        <v>39</v>
      </c>
      <c r="B40" s="87" t="s">
        <v>1</v>
      </c>
      <c r="C40" s="89">
        <v>400</v>
      </c>
      <c r="D40" s="89"/>
      <c r="E40" s="89"/>
      <c r="F40" s="89">
        <v>15</v>
      </c>
      <c r="G40" s="89"/>
      <c r="H40" s="89">
        <v>135</v>
      </c>
      <c r="I40" s="89">
        <v>40</v>
      </c>
      <c r="J40" s="99">
        <v>2.5</v>
      </c>
      <c r="K40" s="99"/>
      <c r="L40" s="99"/>
      <c r="M40" s="99"/>
      <c r="N40" s="99"/>
      <c r="O40" s="99"/>
      <c r="P40" s="99"/>
      <c r="Q40" s="99"/>
      <c r="R40" s="101"/>
      <c r="S40" s="101"/>
      <c r="T40" s="89"/>
      <c r="U40" s="89">
        <v>900</v>
      </c>
      <c r="V40" s="101"/>
      <c r="W40" s="89"/>
      <c r="X40" s="89">
        <v>405</v>
      </c>
      <c r="Y40" s="89">
        <v>490</v>
      </c>
      <c r="Z40" s="100"/>
      <c r="AA40" s="100"/>
      <c r="AB40" s="97">
        <v>2.8</v>
      </c>
      <c r="AC40" s="97"/>
      <c r="AD40" s="97">
        <v>27.3</v>
      </c>
      <c r="AE40" s="97"/>
      <c r="AF40" s="97"/>
      <c r="AG40" s="97">
        <v>38</v>
      </c>
      <c r="AH40" s="97"/>
      <c r="AI40" s="97"/>
      <c r="AJ40" s="97"/>
      <c r="AK40" s="97"/>
      <c r="AL40" s="97">
        <v>46.3</v>
      </c>
      <c r="AM40" s="97"/>
      <c r="AN40" s="97"/>
      <c r="AO40" s="97"/>
      <c r="AP40" s="97"/>
      <c r="AQ40" s="97">
        <v>52.6</v>
      </c>
      <c r="AR40" s="97"/>
      <c r="AS40" s="97"/>
      <c r="AT40" s="97"/>
      <c r="AU40" s="97"/>
      <c r="AV40" s="97"/>
      <c r="AW40" s="97"/>
      <c r="AX40" s="97"/>
    </row>
    <row r="41" spans="1:50" x14ac:dyDescent="0.15">
      <c r="A41" s="90">
        <f t="shared" si="0"/>
        <v>40</v>
      </c>
      <c r="B41" s="87" t="s">
        <v>1</v>
      </c>
      <c r="C41" s="89">
        <v>400</v>
      </c>
      <c r="D41" s="89"/>
      <c r="E41" s="89"/>
      <c r="F41" s="89"/>
      <c r="G41" s="89"/>
      <c r="H41" s="89">
        <v>135</v>
      </c>
      <c r="I41" s="89">
        <v>40</v>
      </c>
      <c r="J41" s="99">
        <v>2.5</v>
      </c>
      <c r="K41" s="99"/>
      <c r="L41" s="99"/>
      <c r="M41" s="99"/>
      <c r="N41" s="99"/>
      <c r="O41" s="99"/>
      <c r="P41" s="99"/>
      <c r="Q41" s="99"/>
      <c r="R41" s="101"/>
      <c r="S41" s="101"/>
      <c r="T41" s="89"/>
      <c r="U41" s="89">
        <v>900</v>
      </c>
      <c r="V41" s="101"/>
      <c r="W41" s="89"/>
      <c r="X41" s="89">
        <v>405</v>
      </c>
      <c r="Y41" s="89">
        <v>490</v>
      </c>
      <c r="Z41" s="100"/>
      <c r="AA41" s="100"/>
      <c r="AB41" s="97">
        <v>2</v>
      </c>
      <c r="AC41" s="97"/>
      <c r="AD41" s="97">
        <v>27.7</v>
      </c>
      <c r="AE41" s="97"/>
      <c r="AF41" s="97"/>
      <c r="AG41" s="97">
        <v>37.5</v>
      </c>
      <c r="AH41" s="97"/>
      <c r="AI41" s="97"/>
      <c r="AJ41" s="97"/>
      <c r="AK41" s="97"/>
      <c r="AL41" s="97">
        <v>44.2</v>
      </c>
      <c r="AM41" s="97"/>
      <c r="AN41" s="97"/>
      <c r="AO41" s="97"/>
      <c r="AP41" s="97"/>
      <c r="AQ41" s="97">
        <v>52.6</v>
      </c>
      <c r="AR41" s="97"/>
      <c r="AS41" s="97"/>
      <c r="AT41" s="97"/>
      <c r="AU41" s="97"/>
      <c r="AV41" s="97"/>
      <c r="AW41" s="97"/>
      <c r="AX41" s="97"/>
    </row>
    <row r="42" spans="1:50" x14ac:dyDescent="0.15">
      <c r="A42" s="90">
        <f t="shared" si="0"/>
        <v>41</v>
      </c>
      <c r="B42" s="87" t="s">
        <v>1</v>
      </c>
      <c r="C42" s="89">
        <v>400</v>
      </c>
      <c r="D42" s="89"/>
      <c r="E42" s="89"/>
      <c r="F42" s="89"/>
      <c r="G42" s="89"/>
      <c r="H42" s="89">
        <v>180</v>
      </c>
      <c r="I42" s="89"/>
      <c r="J42" s="99"/>
      <c r="K42" s="99">
        <v>2.8</v>
      </c>
      <c r="L42" s="99"/>
      <c r="M42" s="99"/>
      <c r="N42" s="99"/>
      <c r="O42" s="99"/>
      <c r="P42" s="99"/>
      <c r="Q42" s="99"/>
      <c r="R42" s="101"/>
      <c r="S42" s="101"/>
      <c r="T42" s="89"/>
      <c r="U42" s="89">
        <v>820</v>
      </c>
      <c r="V42" s="101"/>
      <c r="W42" s="89">
        <v>220</v>
      </c>
      <c r="X42" s="89">
        <v>720</v>
      </c>
      <c r="Y42" s="89"/>
      <c r="Z42" s="100"/>
      <c r="AA42" s="100"/>
      <c r="AB42" s="97"/>
      <c r="AC42" s="97">
        <f>AVERAGE(32,32.6)</f>
        <v>32.299999999999997</v>
      </c>
      <c r="AD42" s="97"/>
      <c r="AE42" s="97"/>
      <c r="AF42" s="97"/>
      <c r="AG42" s="97">
        <f>AVERAGE(38,38.5)</f>
        <v>38.25</v>
      </c>
      <c r="AH42" s="97"/>
      <c r="AI42" s="97"/>
      <c r="AJ42" s="97"/>
      <c r="AK42" s="97"/>
      <c r="AL42" s="97">
        <f>AVERAGE(43.8,43.1)</f>
        <v>43.45</v>
      </c>
      <c r="AM42" s="97"/>
      <c r="AN42" s="97"/>
      <c r="AO42" s="97"/>
      <c r="AP42" s="97"/>
      <c r="AQ42" s="97">
        <v>54.9</v>
      </c>
      <c r="AR42" s="97"/>
      <c r="AS42" s="97"/>
      <c r="AT42" s="97"/>
      <c r="AU42" s="97"/>
      <c r="AV42" s="97"/>
      <c r="AW42" s="97"/>
      <c r="AX42" s="97"/>
    </row>
    <row r="43" spans="1:50" x14ac:dyDescent="0.15">
      <c r="A43" s="90">
        <f t="shared" si="0"/>
        <v>42</v>
      </c>
      <c r="B43" s="87" t="s">
        <v>1</v>
      </c>
      <c r="C43" s="89">
        <v>400</v>
      </c>
      <c r="D43" s="89"/>
      <c r="E43" s="89"/>
      <c r="F43" s="89"/>
      <c r="G43" s="89"/>
      <c r="H43" s="89">
        <v>180</v>
      </c>
      <c r="I43" s="89"/>
      <c r="J43" s="99"/>
      <c r="K43" s="99">
        <v>2.8</v>
      </c>
      <c r="L43" s="99"/>
      <c r="M43" s="99"/>
      <c r="N43" s="99"/>
      <c r="O43" s="99"/>
      <c r="P43" s="99"/>
      <c r="Q43" s="99"/>
      <c r="R43" s="101"/>
      <c r="S43" s="101"/>
      <c r="T43" s="89"/>
      <c r="U43" s="89">
        <v>820</v>
      </c>
      <c r="V43" s="101"/>
      <c r="W43" s="89">
        <v>220</v>
      </c>
      <c r="X43" s="89">
        <v>720</v>
      </c>
      <c r="Y43" s="89"/>
      <c r="Z43" s="100"/>
      <c r="AA43" s="100"/>
      <c r="AB43" s="97"/>
      <c r="AC43" s="97">
        <f>AVERAGE(26.8,26.3)</f>
        <v>26.55</v>
      </c>
      <c r="AD43" s="97"/>
      <c r="AE43" s="97"/>
      <c r="AF43" s="97"/>
      <c r="AG43" s="97">
        <f>AVERAGE(32.8,31.7)</f>
        <v>32.25</v>
      </c>
      <c r="AH43" s="97"/>
      <c r="AI43" s="97"/>
      <c r="AJ43" s="97"/>
      <c r="AK43" s="97"/>
      <c r="AL43" s="97">
        <f>AVERAGE(36.8,37.7)</f>
        <v>37.25</v>
      </c>
      <c r="AM43" s="97"/>
      <c r="AN43" s="97"/>
      <c r="AO43" s="97"/>
      <c r="AP43" s="97"/>
      <c r="AQ43" s="97">
        <v>44.7</v>
      </c>
      <c r="AR43" s="97"/>
      <c r="AS43" s="97"/>
      <c r="AT43" s="97"/>
      <c r="AU43" s="97"/>
      <c r="AV43" s="97"/>
      <c r="AW43" s="97"/>
      <c r="AX43" s="97"/>
    </row>
    <row r="44" spans="1:50" x14ac:dyDescent="0.15">
      <c r="A44" s="90">
        <f t="shared" si="0"/>
        <v>43</v>
      </c>
      <c r="B44" s="87" t="s">
        <v>1</v>
      </c>
      <c r="C44" s="89">
        <v>400</v>
      </c>
      <c r="D44" s="89"/>
      <c r="E44" s="89"/>
      <c r="F44" s="89"/>
      <c r="G44" s="89"/>
      <c r="H44" s="89">
        <v>180</v>
      </c>
      <c r="I44" s="89"/>
      <c r="J44" s="99"/>
      <c r="K44" s="99">
        <v>2.8</v>
      </c>
      <c r="L44" s="99"/>
      <c r="M44" s="99"/>
      <c r="N44" s="99"/>
      <c r="O44" s="99"/>
      <c r="P44" s="99"/>
      <c r="Q44" s="99"/>
      <c r="R44" s="101"/>
      <c r="S44" s="101"/>
      <c r="T44" s="89"/>
      <c r="U44" s="89">
        <v>820</v>
      </c>
      <c r="V44" s="101"/>
      <c r="W44" s="89">
        <v>220</v>
      </c>
      <c r="X44" s="89">
        <v>720</v>
      </c>
      <c r="Y44" s="89"/>
      <c r="Z44" s="100"/>
      <c r="AA44" s="100"/>
      <c r="AB44" s="97"/>
      <c r="AC44" s="97">
        <f>AVERAGE(30.8,32.4)</f>
        <v>31.6</v>
      </c>
      <c r="AD44" s="97"/>
      <c r="AE44" s="97"/>
      <c r="AF44" s="97"/>
      <c r="AG44" s="97">
        <f>AVERAGE(35.6,36.2)</f>
        <v>35.900000000000006</v>
      </c>
      <c r="AH44" s="97"/>
      <c r="AI44" s="97"/>
      <c r="AJ44" s="97"/>
      <c r="AK44" s="97"/>
      <c r="AL44" s="97">
        <f>AVERAGE(40.5,41.7)</f>
        <v>41.1</v>
      </c>
      <c r="AM44" s="97"/>
      <c r="AN44" s="97"/>
      <c r="AO44" s="97"/>
      <c r="AP44" s="97"/>
      <c r="AQ44" s="97">
        <v>48.5</v>
      </c>
      <c r="AR44" s="97"/>
      <c r="AS44" s="97"/>
      <c r="AT44" s="97"/>
      <c r="AU44" s="97"/>
      <c r="AV44" s="97"/>
      <c r="AW44" s="97"/>
      <c r="AX44" s="97"/>
    </row>
    <row r="45" spans="1:50" x14ac:dyDescent="0.15">
      <c r="A45" s="90">
        <f t="shared" si="0"/>
        <v>44</v>
      </c>
      <c r="B45" s="87" t="s">
        <v>1</v>
      </c>
      <c r="C45" s="89">
        <v>400</v>
      </c>
      <c r="D45" s="89"/>
      <c r="E45" s="89"/>
      <c r="F45" s="89"/>
      <c r="G45" s="89"/>
      <c r="H45" s="89">
        <v>180</v>
      </c>
      <c r="I45" s="89"/>
      <c r="J45" s="99"/>
      <c r="K45" s="99">
        <v>2.8</v>
      </c>
      <c r="L45" s="99"/>
      <c r="M45" s="99"/>
      <c r="N45" s="99"/>
      <c r="O45" s="99"/>
      <c r="P45" s="99"/>
      <c r="Q45" s="99"/>
      <c r="R45" s="101"/>
      <c r="S45" s="101"/>
      <c r="T45" s="89"/>
      <c r="U45" s="89">
        <v>820</v>
      </c>
      <c r="V45" s="101"/>
      <c r="W45" s="89">
        <v>220</v>
      </c>
      <c r="X45" s="89">
        <v>720</v>
      </c>
      <c r="Y45" s="89"/>
      <c r="Z45" s="100"/>
      <c r="AA45" s="100"/>
      <c r="AB45" s="97"/>
      <c r="AC45" s="97">
        <f>AVERAGE(35.3,35.8)</f>
        <v>35.549999999999997</v>
      </c>
      <c r="AD45" s="97"/>
      <c r="AE45" s="97"/>
      <c r="AF45" s="97"/>
      <c r="AG45" s="97"/>
      <c r="AH45" s="97">
        <f>AVERAGE(41.3,41.5)</f>
        <v>41.4</v>
      </c>
      <c r="AI45" s="97"/>
      <c r="AJ45" s="97"/>
      <c r="AK45" s="97"/>
      <c r="AL45" s="97"/>
      <c r="AM45" s="97">
        <f>AVERAGE(45.6,46.4)</f>
        <v>46</v>
      </c>
      <c r="AN45" s="97"/>
      <c r="AO45" s="97"/>
      <c r="AP45" s="97"/>
      <c r="AQ45" s="97">
        <v>57</v>
      </c>
      <c r="AR45" s="97"/>
      <c r="AS45" s="97"/>
      <c r="AT45" s="97"/>
      <c r="AU45" s="97"/>
      <c r="AV45" s="97"/>
      <c r="AW45" s="97"/>
      <c r="AX45" s="97"/>
    </row>
    <row r="46" spans="1:50" x14ac:dyDescent="0.15">
      <c r="A46" s="90">
        <f t="shared" si="0"/>
        <v>45</v>
      </c>
      <c r="B46" s="87" t="s">
        <v>1</v>
      </c>
      <c r="C46" s="89">
        <v>400</v>
      </c>
      <c r="D46" s="89"/>
      <c r="E46" s="89"/>
      <c r="F46" s="89"/>
      <c r="G46" s="89"/>
      <c r="H46" s="89">
        <v>180</v>
      </c>
      <c r="I46" s="89"/>
      <c r="J46" s="99"/>
      <c r="K46" s="99">
        <v>2.8</v>
      </c>
      <c r="L46" s="99"/>
      <c r="M46" s="99"/>
      <c r="N46" s="99"/>
      <c r="O46" s="99"/>
      <c r="P46" s="99"/>
      <c r="Q46" s="99"/>
      <c r="R46" s="101"/>
      <c r="S46" s="101"/>
      <c r="T46" s="89"/>
      <c r="U46" s="89">
        <v>820</v>
      </c>
      <c r="V46" s="101"/>
      <c r="W46" s="89">
        <v>220</v>
      </c>
      <c r="X46" s="89">
        <v>720</v>
      </c>
      <c r="Y46" s="89"/>
      <c r="Z46" s="100"/>
      <c r="AA46" s="100"/>
      <c r="AB46" s="97"/>
      <c r="AC46" s="97">
        <f>AVERAGE(30.9,30)</f>
        <v>30.45</v>
      </c>
      <c r="AD46" s="97"/>
      <c r="AE46" s="97"/>
      <c r="AF46" s="97"/>
      <c r="AG46" s="97"/>
      <c r="AH46" s="97">
        <f>AVERAGE(37.4,38)</f>
        <v>37.700000000000003</v>
      </c>
      <c r="AI46" s="97"/>
      <c r="AJ46" s="97"/>
      <c r="AK46" s="97"/>
      <c r="AL46" s="97"/>
      <c r="AM46" s="97">
        <f>AVERAGE(42.2,44.4)</f>
        <v>43.3</v>
      </c>
      <c r="AN46" s="97"/>
      <c r="AO46" s="97"/>
      <c r="AP46" s="97"/>
      <c r="AQ46" s="97">
        <v>50.1</v>
      </c>
      <c r="AR46" s="97"/>
      <c r="AS46" s="97"/>
      <c r="AT46" s="97"/>
      <c r="AU46" s="97"/>
      <c r="AV46" s="97"/>
      <c r="AW46" s="97"/>
      <c r="AX46" s="97"/>
    </row>
    <row r="47" spans="1:50" x14ac:dyDescent="0.15">
      <c r="A47" s="90">
        <f t="shared" si="0"/>
        <v>46</v>
      </c>
      <c r="B47" s="87" t="s">
        <v>1</v>
      </c>
      <c r="C47" s="89">
        <v>400</v>
      </c>
      <c r="D47" s="89"/>
      <c r="E47" s="89"/>
      <c r="F47" s="89"/>
      <c r="G47" s="89"/>
      <c r="H47" s="89">
        <v>90</v>
      </c>
      <c r="I47" s="89">
        <v>85</v>
      </c>
      <c r="J47" s="99">
        <v>2.5</v>
      </c>
      <c r="K47" s="99"/>
      <c r="L47" s="99"/>
      <c r="M47" s="99"/>
      <c r="N47" s="99"/>
      <c r="O47" s="99"/>
      <c r="P47" s="99"/>
      <c r="Q47" s="101">
        <v>2</v>
      </c>
      <c r="R47" s="101"/>
      <c r="S47" s="101"/>
      <c r="T47" s="89"/>
      <c r="U47" s="89">
        <v>900</v>
      </c>
      <c r="V47" s="101"/>
      <c r="W47" s="89">
        <v>105</v>
      </c>
      <c r="X47" s="89">
        <v>400</v>
      </c>
      <c r="Y47" s="89">
        <v>390</v>
      </c>
      <c r="Z47" s="100"/>
      <c r="AA47" s="100"/>
      <c r="AB47" s="97"/>
      <c r="AC47" s="97">
        <v>35.700000000000003</v>
      </c>
      <c r="AD47" s="97"/>
      <c r="AE47" s="97"/>
      <c r="AF47" s="97"/>
      <c r="AG47" s="97"/>
      <c r="AH47" s="97">
        <v>40.6</v>
      </c>
      <c r="AI47" s="97"/>
      <c r="AJ47" s="97"/>
      <c r="AK47" s="97"/>
      <c r="AL47" s="97"/>
      <c r="AM47" s="97">
        <v>47.1</v>
      </c>
      <c r="AN47" s="97"/>
      <c r="AO47" s="97"/>
      <c r="AP47" s="97"/>
      <c r="AQ47" s="97">
        <v>51.7</v>
      </c>
      <c r="AR47" s="97"/>
      <c r="AS47" s="97"/>
      <c r="AT47" s="97"/>
      <c r="AU47" s="97"/>
      <c r="AV47" s="97"/>
      <c r="AW47" s="97">
        <v>54.7</v>
      </c>
      <c r="AX47" s="97"/>
    </row>
    <row r="48" spans="1:50" x14ac:dyDescent="0.15">
      <c r="A48" s="90">
        <f t="shared" si="0"/>
        <v>47</v>
      </c>
      <c r="B48" s="87" t="s">
        <v>1</v>
      </c>
      <c r="C48" s="89">
        <v>400</v>
      </c>
      <c r="D48" s="89"/>
      <c r="E48" s="89"/>
      <c r="F48" s="89"/>
      <c r="G48" s="89"/>
      <c r="H48" s="89">
        <v>90</v>
      </c>
      <c r="I48" s="89">
        <v>85</v>
      </c>
      <c r="J48" s="99">
        <v>2.5</v>
      </c>
      <c r="K48" s="99"/>
      <c r="L48" s="99"/>
      <c r="M48" s="99"/>
      <c r="N48" s="99"/>
      <c r="O48" s="99"/>
      <c r="P48" s="99"/>
      <c r="Q48" s="99">
        <v>2</v>
      </c>
      <c r="R48" s="101"/>
      <c r="S48" s="101"/>
      <c r="T48" s="89"/>
      <c r="U48" s="89">
        <v>900</v>
      </c>
      <c r="V48" s="101"/>
      <c r="W48" s="89">
        <v>105</v>
      </c>
      <c r="X48" s="89">
        <v>400</v>
      </c>
      <c r="Y48" s="89">
        <v>390</v>
      </c>
      <c r="Z48" s="100"/>
      <c r="AA48" s="100"/>
      <c r="AB48" s="97"/>
      <c r="AC48" s="97">
        <v>30.9</v>
      </c>
      <c r="AD48" s="97"/>
      <c r="AE48" s="97"/>
      <c r="AF48" s="97"/>
      <c r="AG48" s="97"/>
      <c r="AH48" s="97">
        <v>38</v>
      </c>
      <c r="AI48" s="97"/>
      <c r="AJ48" s="97"/>
      <c r="AK48" s="97"/>
      <c r="AL48" s="97"/>
      <c r="AM48" s="97">
        <v>43.8</v>
      </c>
      <c r="AN48" s="97"/>
      <c r="AO48" s="97"/>
      <c r="AP48" s="97"/>
      <c r="AQ48" s="97">
        <v>46.8</v>
      </c>
      <c r="AR48" s="97"/>
      <c r="AS48" s="97"/>
      <c r="AT48" s="97"/>
      <c r="AU48" s="97"/>
      <c r="AV48" s="97"/>
      <c r="AW48" s="97"/>
      <c r="AX48" s="97"/>
    </row>
    <row r="49" spans="1:50" x14ac:dyDescent="0.15">
      <c r="A49" s="90">
        <f t="shared" si="0"/>
        <v>48</v>
      </c>
      <c r="B49" s="87" t="s">
        <v>1</v>
      </c>
      <c r="C49" s="89">
        <v>400</v>
      </c>
      <c r="D49" s="89">
        <v>50</v>
      </c>
      <c r="E49" s="89"/>
      <c r="F49" s="89"/>
      <c r="G49" s="89"/>
      <c r="H49" s="89">
        <v>175</v>
      </c>
      <c r="I49" s="89"/>
      <c r="J49" s="99"/>
      <c r="K49" s="99">
        <v>2.8</v>
      </c>
      <c r="L49" s="99"/>
      <c r="M49" s="99"/>
      <c r="N49" s="99"/>
      <c r="O49" s="99"/>
      <c r="P49" s="99"/>
      <c r="Q49" s="99"/>
      <c r="R49" s="101"/>
      <c r="S49" s="101"/>
      <c r="T49" s="89"/>
      <c r="U49" s="89">
        <v>860</v>
      </c>
      <c r="V49" s="101"/>
      <c r="W49" s="89">
        <v>160</v>
      </c>
      <c r="X49" s="89">
        <v>370</v>
      </c>
      <c r="Y49" s="89">
        <v>400</v>
      </c>
      <c r="Z49" s="100"/>
      <c r="AA49" s="100"/>
      <c r="AB49" s="97"/>
      <c r="AC49" s="97">
        <f>AVERAGE(30.2,31.2,31.7)</f>
        <v>31.033333333333331</v>
      </c>
      <c r="AD49" s="97"/>
      <c r="AE49" s="97"/>
      <c r="AF49" s="97"/>
      <c r="AG49" s="97">
        <f>AVERAGE(42.2,43.4,43.8)</f>
        <v>43.133333333333326</v>
      </c>
      <c r="AH49" s="97"/>
      <c r="AI49" s="97"/>
      <c r="AJ49" s="97"/>
      <c r="AK49" s="97"/>
      <c r="AL49" s="97">
        <f>AVERAGE(54.1,57.2,55.4)</f>
        <v>55.56666666666667</v>
      </c>
      <c r="AM49" s="97"/>
      <c r="AN49" s="97"/>
      <c r="AO49" s="97"/>
      <c r="AP49" s="97"/>
      <c r="AQ49" s="97">
        <f>AVERAGE(64.6,66.2,66.3)</f>
        <v>65.7</v>
      </c>
      <c r="AR49" s="97"/>
      <c r="AS49" s="97"/>
      <c r="AT49" s="97"/>
      <c r="AU49" s="97"/>
      <c r="AV49" s="97"/>
      <c r="AW49" s="97"/>
      <c r="AX49" s="97"/>
    </row>
    <row r="50" spans="1:50" x14ac:dyDescent="0.15">
      <c r="A50" s="90">
        <f t="shared" si="0"/>
        <v>49</v>
      </c>
      <c r="B50" s="87" t="s">
        <v>1</v>
      </c>
      <c r="C50" s="89">
        <v>395</v>
      </c>
      <c r="D50" s="89"/>
      <c r="E50" s="89"/>
      <c r="F50" s="89"/>
      <c r="G50" s="89"/>
      <c r="H50" s="89">
        <v>167</v>
      </c>
      <c r="I50" s="89"/>
      <c r="J50" s="99"/>
      <c r="K50" s="99">
        <v>2.8</v>
      </c>
      <c r="L50" s="99">
        <v>0.79</v>
      </c>
      <c r="M50" s="99"/>
      <c r="N50" s="99"/>
      <c r="O50" s="99"/>
      <c r="P50" s="99"/>
      <c r="Q50" s="99"/>
      <c r="R50" s="101"/>
      <c r="S50" s="101"/>
      <c r="T50" s="89"/>
      <c r="U50" s="89">
        <v>805</v>
      </c>
      <c r="V50" s="101"/>
      <c r="W50" s="89">
        <v>190</v>
      </c>
      <c r="X50" s="89">
        <v>425</v>
      </c>
      <c r="Y50" s="89">
        <v>315</v>
      </c>
      <c r="Z50" s="100"/>
      <c r="AA50" s="100"/>
      <c r="AB50" s="97"/>
      <c r="AC50" s="97">
        <f>AVERAGE(32.6,31.9,31.3)</f>
        <v>31.933333333333334</v>
      </c>
      <c r="AD50" s="97"/>
      <c r="AE50" s="97"/>
      <c r="AF50" s="97"/>
      <c r="AG50" s="97">
        <v>41.2</v>
      </c>
      <c r="AH50" s="97"/>
      <c r="AI50" s="97"/>
      <c r="AJ50" s="97"/>
      <c r="AK50" s="97">
        <f>AVERAGE(47.2,44.9,44.9)</f>
        <v>45.666666666666664</v>
      </c>
      <c r="AL50" s="97"/>
      <c r="AM50" s="97"/>
      <c r="AN50" s="97"/>
      <c r="AO50" s="97"/>
      <c r="AP50" s="97"/>
      <c r="AQ50" s="97">
        <v>51.8</v>
      </c>
      <c r="AR50" s="87"/>
      <c r="AS50" s="87"/>
      <c r="AT50" s="87"/>
      <c r="AU50" s="87"/>
      <c r="AV50" s="87"/>
      <c r="AW50" s="87"/>
      <c r="AX50" s="87"/>
    </row>
    <row r="51" spans="1:50" x14ac:dyDescent="0.15">
      <c r="A51" s="90">
        <f t="shared" si="0"/>
        <v>50</v>
      </c>
      <c r="B51" s="87" t="s">
        <v>1</v>
      </c>
      <c r="C51" s="89">
        <v>390</v>
      </c>
      <c r="D51" s="89"/>
      <c r="E51" s="89"/>
      <c r="F51" s="89"/>
      <c r="G51" s="89"/>
      <c r="H51" s="89">
        <v>160</v>
      </c>
      <c r="I51" s="89"/>
      <c r="J51" s="99"/>
      <c r="K51" s="99">
        <v>3.3</v>
      </c>
      <c r="L51" s="99">
        <v>0.6</v>
      </c>
      <c r="M51" s="99"/>
      <c r="N51" s="99"/>
      <c r="O51" s="99"/>
      <c r="P51" s="99"/>
      <c r="Q51" s="99"/>
      <c r="R51" s="101"/>
      <c r="S51" s="101"/>
      <c r="T51" s="89"/>
      <c r="U51" s="89">
        <v>810</v>
      </c>
      <c r="V51" s="101"/>
      <c r="W51" s="89"/>
      <c r="X51" s="89">
        <v>530</v>
      </c>
      <c r="Y51" s="89">
        <v>500</v>
      </c>
      <c r="Z51" s="100"/>
      <c r="AA51" s="100"/>
      <c r="AB51" s="97"/>
      <c r="AC51" s="97">
        <v>31.6</v>
      </c>
      <c r="AD51" s="97">
        <v>34.299999999999997</v>
      </c>
      <c r="AE51" s="97"/>
      <c r="AF51" s="97"/>
      <c r="AG51" s="97">
        <v>46</v>
      </c>
      <c r="AH51" s="97"/>
      <c r="AI51" s="97"/>
      <c r="AJ51" s="97"/>
      <c r="AK51" s="97"/>
      <c r="AL51" s="97">
        <f>AVERAGE(54.7,52.4,53.1)</f>
        <v>53.4</v>
      </c>
      <c r="AM51" s="97"/>
      <c r="AN51" s="97"/>
      <c r="AO51" s="97"/>
      <c r="AP51" s="97"/>
      <c r="AQ51" s="97">
        <v>57</v>
      </c>
      <c r="AR51" s="97"/>
      <c r="AS51" s="97"/>
      <c r="AT51" s="97"/>
      <c r="AU51" s="97"/>
      <c r="AV51" s="97"/>
      <c r="AW51" s="97"/>
      <c r="AX51" s="97"/>
    </row>
    <row r="52" spans="1:50" x14ac:dyDescent="0.15">
      <c r="A52" s="90">
        <f t="shared" si="0"/>
        <v>51</v>
      </c>
      <c r="B52" s="87" t="s">
        <v>1</v>
      </c>
      <c r="C52" s="89">
        <v>390</v>
      </c>
      <c r="D52" s="89"/>
      <c r="E52" s="89"/>
      <c r="F52" s="89"/>
      <c r="G52" s="89"/>
      <c r="H52" s="89">
        <v>160</v>
      </c>
      <c r="I52" s="89"/>
      <c r="J52" s="99"/>
      <c r="K52" s="99">
        <v>3.3</v>
      </c>
      <c r="L52" s="99">
        <v>0.6</v>
      </c>
      <c r="M52" s="99"/>
      <c r="N52" s="99"/>
      <c r="O52" s="99"/>
      <c r="P52" s="99"/>
      <c r="Q52" s="99"/>
      <c r="R52" s="101"/>
      <c r="S52" s="101"/>
      <c r="T52" s="89"/>
      <c r="U52" s="89">
        <v>810</v>
      </c>
      <c r="V52" s="101"/>
      <c r="W52" s="89"/>
      <c r="X52" s="89">
        <v>530</v>
      </c>
      <c r="Y52" s="89">
        <v>500</v>
      </c>
      <c r="Z52" s="100">
        <v>1</v>
      </c>
      <c r="AA52" s="100"/>
      <c r="AB52" s="97"/>
      <c r="AC52" s="97">
        <v>24</v>
      </c>
      <c r="AD52" s="97">
        <v>31.2</v>
      </c>
      <c r="AE52" s="97"/>
      <c r="AF52" s="97"/>
      <c r="AG52" s="97">
        <v>38.299999999999997</v>
      </c>
      <c r="AH52" s="97"/>
      <c r="AI52" s="97"/>
      <c r="AJ52" s="97"/>
      <c r="AK52" s="97"/>
      <c r="AL52" s="97">
        <f>AVERAGE(50.7,48.6,45.6)</f>
        <v>48.300000000000004</v>
      </c>
      <c r="AM52" s="97"/>
      <c r="AN52" s="97"/>
      <c r="AO52" s="97"/>
      <c r="AP52" s="97"/>
      <c r="AQ52" s="97">
        <v>53.8</v>
      </c>
      <c r="AR52" s="97"/>
      <c r="AS52" s="97"/>
      <c r="AT52" s="97"/>
      <c r="AU52" s="97"/>
      <c r="AV52" s="97"/>
      <c r="AW52" s="97"/>
      <c r="AX52" s="97"/>
    </row>
    <row r="53" spans="1:50" x14ac:dyDescent="0.15">
      <c r="A53" s="90">
        <f t="shared" si="0"/>
        <v>52</v>
      </c>
      <c r="B53" s="87" t="s">
        <v>1</v>
      </c>
      <c r="C53" s="89">
        <v>390</v>
      </c>
      <c r="D53" s="89"/>
      <c r="E53" s="89"/>
      <c r="F53" s="89"/>
      <c r="G53" s="89"/>
      <c r="H53" s="89">
        <v>160</v>
      </c>
      <c r="I53" s="89"/>
      <c r="J53" s="99"/>
      <c r="K53" s="99">
        <v>3.3</v>
      </c>
      <c r="L53" s="99">
        <v>0.6</v>
      </c>
      <c r="M53" s="99"/>
      <c r="N53" s="99"/>
      <c r="O53" s="99"/>
      <c r="P53" s="99"/>
      <c r="Q53" s="99"/>
      <c r="R53" s="101"/>
      <c r="S53" s="101"/>
      <c r="T53" s="89"/>
      <c r="U53" s="89">
        <v>810</v>
      </c>
      <c r="V53" s="101"/>
      <c r="W53" s="89"/>
      <c r="X53" s="89">
        <v>530</v>
      </c>
      <c r="Y53" s="89">
        <v>500</v>
      </c>
      <c r="Z53" s="100">
        <v>1</v>
      </c>
      <c r="AA53" s="100"/>
      <c r="AB53" s="97"/>
      <c r="AC53" s="97">
        <v>28</v>
      </c>
      <c r="AD53" s="97">
        <v>33.700000000000003</v>
      </c>
      <c r="AE53" s="97"/>
      <c r="AF53" s="97"/>
      <c r="AG53" s="97">
        <v>41.2</v>
      </c>
      <c r="AH53" s="97"/>
      <c r="AI53" s="97"/>
      <c r="AJ53" s="97"/>
      <c r="AK53" s="97"/>
      <c r="AL53" s="97">
        <f>AVERAGE(46.3,46.2,47.2)</f>
        <v>46.566666666666663</v>
      </c>
      <c r="AM53" s="97"/>
      <c r="AN53" s="97"/>
      <c r="AO53" s="97"/>
      <c r="AP53" s="97"/>
      <c r="AQ53" s="97">
        <v>56.7</v>
      </c>
      <c r="AR53" s="97"/>
      <c r="AS53" s="97"/>
      <c r="AT53" s="97"/>
      <c r="AU53" s="97"/>
      <c r="AV53" s="97"/>
      <c r="AW53" s="97"/>
      <c r="AX53" s="97"/>
    </row>
    <row r="54" spans="1:50" x14ac:dyDescent="0.15">
      <c r="A54" s="90">
        <f t="shared" si="0"/>
        <v>53</v>
      </c>
      <c r="B54" s="87" t="s">
        <v>1</v>
      </c>
      <c r="C54" s="89">
        <v>390</v>
      </c>
      <c r="D54" s="89"/>
      <c r="E54" s="89"/>
      <c r="F54" s="89"/>
      <c r="G54" s="89"/>
      <c r="H54" s="89">
        <v>160</v>
      </c>
      <c r="I54" s="89"/>
      <c r="J54" s="99"/>
      <c r="K54" s="99">
        <v>3.3</v>
      </c>
      <c r="L54" s="99">
        <v>0.6</v>
      </c>
      <c r="M54" s="99"/>
      <c r="N54" s="99"/>
      <c r="O54" s="99"/>
      <c r="P54" s="99"/>
      <c r="Q54" s="99"/>
      <c r="R54" s="101"/>
      <c r="S54" s="101"/>
      <c r="T54" s="89"/>
      <c r="U54" s="89">
        <v>810</v>
      </c>
      <c r="V54" s="101"/>
      <c r="W54" s="89"/>
      <c r="X54" s="89">
        <v>530</v>
      </c>
      <c r="Y54" s="89">
        <v>500</v>
      </c>
      <c r="Z54" s="100">
        <v>1</v>
      </c>
      <c r="AA54" s="100"/>
      <c r="AB54" s="97"/>
      <c r="AC54" s="97">
        <v>24.5</v>
      </c>
      <c r="AD54" s="97">
        <v>30.5</v>
      </c>
      <c r="AE54" s="97"/>
      <c r="AF54" s="97"/>
      <c r="AG54" s="97">
        <v>41.1</v>
      </c>
      <c r="AH54" s="97"/>
      <c r="AI54" s="97"/>
      <c r="AJ54" s="97"/>
      <c r="AK54" s="97"/>
      <c r="AL54" s="97">
        <f>AVERAGE(50,41.1,50.5)</f>
        <v>47.199999999999996</v>
      </c>
      <c r="AM54" s="97"/>
      <c r="AN54" s="97"/>
      <c r="AO54" s="97"/>
      <c r="AP54" s="97"/>
      <c r="AQ54" s="97">
        <v>59.2</v>
      </c>
      <c r="AR54" s="97"/>
      <c r="AS54" s="97"/>
      <c r="AT54" s="97"/>
      <c r="AU54" s="97"/>
      <c r="AV54" s="97"/>
      <c r="AW54" s="97"/>
      <c r="AX54" s="97"/>
    </row>
    <row r="55" spans="1:50" x14ac:dyDescent="0.15">
      <c r="A55" s="90">
        <f t="shared" si="0"/>
        <v>54</v>
      </c>
      <c r="B55" s="87" t="s">
        <v>1</v>
      </c>
      <c r="C55" s="89">
        <v>390</v>
      </c>
      <c r="D55" s="89"/>
      <c r="E55" s="89"/>
      <c r="F55" s="89"/>
      <c r="G55" s="89"/>
      <c r="H55" s="89">
        <v>180</v>
      </c>
      <c r="I55" s="89"/>
      <c r="J55" s="99"/>
      <c r="K55" s="99">
        <v>2.9</v>
      </c>
      <c r="L55" s="99">
        <v>0.55000000000000004</v>
      </c>
      <c r="M55" s="99"/>
      <c r="N55" s="99"/>
      <c r="O55" s="99"/>
      <c r="P55" s="99"/>
      <c r="Q55" s="99"/>
      <c r="R55" s="101"/>
      <c r="S55" s="101"/>
      <c r="T55" s="89"/>
      <c r="U55" s="89">
        <v>880</v>
      </c>
      <c r="V55" s="101"/>
      <c r="W55" s="89">
        <v>165</v>
      </c>
      <c r="X55" s="89">
        <v>780</v>
      </c>
      <c r="Y55" s="89"/>
      <c r="Z55" s="100"/>
      <c r="AA55" s="100"/>
      <c r="AB55" s="97"/>
      <c r="AC55" s="97">
        <f>AVERAGE(28.2,27,27.5)</f>
        <v>27.566666666666666</v>
      </c>
      <c r="AD55" s="97"/>
      <c r="AE55" s="97"/>
      <c r="AF55" s="97"/>
      <c r="AG55" s="97">
        <f>AVERAGE(38.1,37.2,36.5)</f>
        <v>37.266666666666673</v>
      </c>
      <c r="AH55" s="97"/>
      <c r="AI55" s="97"/>
      <c r="AJ55" s="97"/>
      <c r="AK55" s="97"/>
      <c r="AL55" s="97">
        <f>AVERAGE(44.8,46.4,46.1)</f>
        <v>45.766666666666659</v>
      </c>
      <c r="AM55" s="97"/>
      <c r="AN55" s="97"/>
      <c r="AO55" s="97"/>
      <c r="AP55" s="97"/>
      <c r="AQ55" s="97">
        <v>58.4</v>
      </c>
      <c r="AR55" s="97"/>
      <c r="AS55" s="97"/>
      <c r="AT55" s="97"/>
      <c r="AU55" s="97"/>
      <c r="AV55" s="97"/>
      <c r="AW55" s="97"/>
      <c r="AX55" s="97"/>
    </row>
    <row r="56" spans="1:50" x14ac:dyDescent="0.15">
      <c r="A56" s="90">
        <f t="shared" si="0"/>
        <v>55</v>
      </c>
      <c r="B56" s="87" t="s">
        <v>1</v>
      </c>
      <c r="C56" s="89">
        <v>390</v>
      </c>
      <c r="D56" s="89"/>
      <c r="E56" s="89"/>
      <c r="F56" s="89"/>
      <c r="G56" s="89"/>
      <c r="H56" s="89">
        <v>160</v>
      </c>
      <c r="I56" s="89"/>
      <c r="J56" s="99"/>
      <c r="K56" s="99">
        <v>3.6</v>
      </c>
      <c r="L56" s="99">
        <v>0.12</v>
      </c>
      <c r="M56" s="99"/>
      <c r="N56" s="99"/>
      <c r="O56" s="99"/>
      <c r="P56" s="99"/>
      <c r="Q56" s="99"/>
      <c r="R56" s="101"/>
      <c r="S56" s="101"/>
      <c r="T56" s="89"/>
      <c r="U56" s="89">
        <v>935</v>
      </c>
      <c r="V56" s="101"/>
      <c r="W56" s="89">
        <v>180</v>
      </c>
      <c r="X56" s="89">
        <v>675</v>
      </c>
      <c r="Y56" s="89"/>
      <c r="Z56" s="100"/>
      <c r="AA56" s="100"/>
      <c r="AB56" s="97"/>
      <c r="AC56" s="97">
        <f>AVERAGE(39.3,39.9,38.4)</f>
        <v>39.199999999999996</v>
      </c>
      <c r="AD56" s="97"/>
      <c r="AE56" s="97"/>
      <c r="AF56" s="97"/>
      <c r="AG56" s="97">
        <f>AVERAGE(47.9,48.1,45.6)</f>
        <v>47.199999999999996</v>
      </c>
      <c r="AH56" s="97"/>
      <c r="AI56" s="97"/>
      <c r="AJ56" s="97"/>
      <c r="AK56" s="97"/>
      <c r="AL56" s="97">
        <f>AVERAGE(56,54.7,51.2)</f>
        <v>53.966666666666669</v>
      </c>
      <c r="AM56" s="97"/>
      <c r="AN56" s="97"/>
      <c r="AO56" s="97"/>
      <c r="AP56" s="97"/>
      <c r="AQ56" s="97">
        <v>69.599999999999994</v>
      </c>
      <c r="AR56" s="97"/>
      <c r="AS56" s="97"/>
      <c r="AT56" s="97"/>
      <c r="AU56" s="97"/>
      <c r="AV56" s="97"/>
      <c r="AW56" s="97"/>
      <c r="AX56" s="97"/>
    </row>
    <row r="57" spans="1:50" x14ac:dyDescent="0.15">
      <c r="A57" s="90">
        <f t="shared" si="0"/>
        <v>56</v>
      </c>
      <c r="B57" s="87" t="s">
        <v>1</v>
      </c>
      <c r="C57" s="89">
        <v>390</v>
      </c>
      <c r="D57" s="89"/>
      <c r="E57" s="89">
        <v>140</v>
      </c>
      <c r="F57" s="89"/>
      <c r="G57" s="89"/>
      <c r="H57" s="89">
        <v>190</v>
      </c>
      <c r="I57" s="89"/>
      <c r="J57" s="99"/>
      <c r="K57" s="99">
        <v>3.5</v>
      </c>
      <c r="L57" s="99">
        <v>0.15</v>
      </c>
      <c r="M57" s="99"/>
      <c r="N57" s="99"/>
      <c r="O57" s="99">
        <v>6</v>
      </c>
      <c r="P57" s="99"/>
      <c r="Q57" s="99"/>
      <c r="R57" s="101"/>
      <c r="S57" s="101"/>
      <c r="T57" s="89"/>
      <c r="U57" s="89">
        <v>900</v>
      </c>
      <c r="V57" s="101"/>
      <c r="W57" s="89">
        <v>600</v>
      </c>
      <c r="X57" s="89"/>
      <c r="Y57" s="89"/>
      <c r="Z57" s="100"/>
      <c r="AA57" s="100"/>
      <c r="AB57" s="97">
        <v>14.1</v>
      </c>
      <c r="AC57" s="97">
        <v>24.7</v>
      </c>
      <c r="AD57" s="97"/>
      <c r="AE57" s="97"/>
      <c r="AF57" s="97"/>
      <c r="AG57" s="97">
        <v>36.700000000000003</v>
      </c>
      <c r="AH57" s="97"/>
      <c r="AI57" s="97"/>
      <c r="AJ57" s="97"/>
      <c r="AK57" s="97"/>
      <c r="AL57" s="97">
        <v>44.8</v>
      </c>
      <c r="AM57" s="97"/>
      <c r="AN57" s="97"/>
      <c r="AO57" s="97"/>
      <c r="AP57" s="97"/>
      <c r="AQ57" s="97">
        <v>53.9</v>
      </c>
      <c r="AR57" s="97"/>
      <c r="AS57" s="97"/>
      <c r="AT57" s="97"/>
      <c r="AU57" s="97"/>
      <c r="AV57" s="97"/>
      <c r="AW57" s="97"/>
      <c r="AX57" s="97"/>
    </row>
    <row r="58" spans="1:50" x14ac:dyDescent="0.15">
      <c r="A58" s="90">
        <f t="shared" si="0"/>
        <v>57</v>
      </c>
      <c r="B58" s="87" t="s">
        <v>1</v>
      </c>
      <c r="C58" s="89">
        <v>390</v>
      </c>
      <c r="D58" s="89"/>
      <c r="E58" s="89"/>
      <c r="F58" s="89"/>
      <c r="G58" s="89"/>
      <c r="H58" s="89">
        <v>170</v>
      </c>
      <c r="I58" s="89"/>
      <c r="J58" s="99"/>
      <c r="K58" s="99">
        <v>3.2</v>
      </c>
      <c r="L58" s="99">
        <v>0.25</v>
      </c>
      <c r="M58" s="99"/>
      <c r="N58" s="99"/>
      <c r="O58" s="99"/>
      <c r="P58" s="99"/>
      <c r="Q58" s="99"/>
      <c r="R58" s="101"/>
      <c r="S58" s="101"/>
      <c r="T58" s="89"/>
      <c r="U58" s="89">
        <v>925</v>
      </c>
      <c r="V58" s="101"/>
      <c r="W58" s="89"/>
      <c r="X58" s="89">
        <v>450</v>
      </c>
      <c r="Y58" s="89">
        <v>410</v>
      </c>
      <c r="Z58" s="100"/>
      <c r="AA58" s="100"/>
      <c r="AB58" s="97"/>
      <c r="AC58" s="97">
        <f>AVERAGE(31.5,33.2,32)</f>
        <v>32.233333333333334</v>
      </c>
      <c r="AD58" s="97"/>
      <c r="AE58" s="97"/>
      <c r="AF58" s="97"/>
      <c r="AG58" s="97">
        <f>AVERAGE(41.1,42,43.6)</f>
        <v>42.233333333333327</v>
      </c>
      <c r="AH58" s="97"/>
      <c r="AI58" s="97"/>
      <c r="AJ58" s="97"/>
      <c r="AK58" s="97"/>
      <c r="AL58" s="97">
        <f>AVERAGE(49.8,51.2,51.8)</f>
        <v>50.933333333333337</v>
      </c>
      <c r="AM58" s="97"/>
      <c r="AN58" s="97"/>
      <c r="AO58" s="97"/>
      <c r="AP58" s="97"/>
      <c r="AQ58" s="97">
        <f>AVERAGE(53.8,54.8,54.1)</f>
        <v>54.233333333333327</v>
      </c>
      <c r="AR58" s="97"/>
      <c r="AS58" s="97"/>
      <c r="AT58" s="97"/>
      <c r="AU58" s="97"/>
      <c r="AV58" s="97"/>
      <c r="AW58" s="97"/>
      <c r="AX58" s="97"/>
    </row>
    <row r="59" spans="1:50" x14ac:dyDescent="0.15">
      <c r="A59" s="90">
        <f t="shared" si="0"/>
        <v>58</v>
      </c>
      <c r="B59" s="87" t="s">
        <v>1</v>
      </c>
      <c r="C59" s="89">
        <v>380</v>
      </c>
      <c r="D59" s="89"/>
      <c r="E59" s="89"/>
      <c r="F59" s="89"/>
      <c r="G59" s="89"/>
      <c r="H59" s="89">
        <v>135</v>
      </c>
      <c r="I59" s="89">
        <v>55</v>
      </c>
      <c r="J59" s="99">
        <v>1.9</v>
      </c>
      <c r="K59" s="99">
        <v>1.1000000000000001</v>
      </c>
      <c r="L59" s="99"/>
      <c r="M59" s="99"/>
      <c r="N59" s="99"/>
      <c r="O59" s="99"/>
      <c r="P59" s="99"/>
      <c r="Q59" s="99"/>
      <c r="R59" s="101"/>
      <c r="S59" s="101"/>
      <c r="T59" s="89"/>
      <c r="U59" s="89">
        <v>885</v>
      </c>
      <c r="V59" s="101"/>
      <c r="W59" s="89">
        <v>140</v>
      </c>
      <c r="X59" s="89">
        <v>430</v>
      </c>
      <c r="Y59" s="89">
        <v>315</v>
      </c>
      <c r="Z59" s="100"/>
      <c r="AA59" s="100"/>
      <c r="AB59" s="97"/>
      <c r="AC59" s="97">
        <v>27.2</v>
      </c>
      <c r="AD59" s="97"/>
      <c r="AE59" s="97"/>
      <c r="AF59" s="97"/>
      <c r="AG59" s="97">
        <v>42.8</v>
      </c>
      <c r="AH59" s="97"/>
      <c r="AI59" s="97"/>
      <c r="AJ59" s="97"/>
      <c r="AK59" s="97"/>
      <c r="AL59" s="97">
        <v>51.3</v>
      </c>
      <c r="AM59" s="97"/>
      <c r="AN59" s="97"/>
      <c r="AO59" s="97"/>
      <c r="AP59" s="97"/>
      <c r="AQ59" s="97">
        <v>58.3</v>
      </c>
      <c r="AR59" s="87"/>
      <c r="AS59" s="87"/>
      <c r="AT59" s="87"/>
      <c r="AU59" s="87"/>
      <c r="AV59" s="87"/>
      <c r="AW59" s="87"/>
      <c r="AX59" s="87"/>
    </row>
    <row r="60" spans="1:50" x14ac:dyDescent="0.15">
      <c r="A60" s="90">
        <f t="shared" si="0"/>
        <v>59</v>
      </c>
      <c r="B60" s="87" t="s">
        <v>1</v>
      </c>
      <c r="C60" s="89">
        <v>380</v>
      </c>
      <c r="D60" s="89"/>
      <c r="E60" s="89"/>
      <c r="F60" s="89"/>
      <c r="G60" s="89"/>
      <c r="H60" s="89">
        <v>180</v>
      </c>
      <c r="I60" s="89"/>
      <c r="J60" s="99"/>
      <c r="K60" s="99">
        <v>2.2999999999999998</v>
      </c>
      <c r="L60" s="99"/>
      <c r="M60" s="99"/>
      <c r="N60" s="99"/>
      <c r="O60" s="99"/>
      <c r="P60" s="99"/>
      <c r="Q60" s="99"/>
      <c r="R60" s="101"/>
      <c r="S60" s="101"/>
      <c r="T60" s="89"/>
      <c r="U60" s="89">
        <v>870</v>
      </c>
      <c r="V60" s="101"/>
      <c r="W60" s="89">
        <v>220</v>
      </c>
      <c r="X60" s="89">
        <v>700</v>
      </c>
      <c r="Y60" s="89"/>
      <c r="Z60" s="100"/>
      <c r="AA60" s="100"/>
      <c r="AB60" s="97"/>
      <c r="AC60" s="97">
        <f>AVERAGE(35.8,34.9)</f>
        <v>35.349999999999994</v>
      </c>
      <c r="AD60" s="97"/>
      <c r="AE60" s="97"/>
      <c r="AF60" s="97"/>
      <c r="AG60" s="97"/>
      <c r="AH60" s="97">
        <f>AVERAGE(43.7,42.9)</f>
        <v>43.3</v>
      </c>
      <c r="AI60" s="97"/>
      <c r="AJ60" s="97"/>
      <c r="AK60" s="97"/>
      <c r="AL60" s="97"/>
      <c r="AM60" s="97">
        <f>AVERAGE(50.8,50.8)</f>
        <v>50.8</v>
      </c>
      <c r="AN60" s="97"/>
      <c r="AO60" s="97"/>
      <c r="AP60" s="97"/>
      <c r="AQ60" s="97">
        <v>57.1</v>
      </c>
      <c r="AR60" s="97"/>
      <c r="AS60" s="97"/>
      <c r="AT60" s="97"/>
      <c r="AU60" s="97"/>
      <c r="AV60" s="97"/>
      <c r="AW60" s="97"/>
      <c r="AX60" s="97"/>
    </row>
    <row r="61" spans="1:50" x14ac:dyDescent="0.15">
      <c r="A61" s="90">
        <f t="shared" si="0"/>
        <v>60</v>
      </c>
      <c r="B61" s="87" t="s">
        <v>1</v>
      </c>
      <c r="C61" s="89">
        <v>380</v>
      </c>
      <c r="D61" s="89"/>
      <c r="E61" s="89"/>
      <c r="F61" s="89"/>
      <c r="G61" s="89"/>
      <c r="H61" s="89">
        <v>180</v>
      </c>
      <c r="I61" s="89"/>
      <c r="J61" s="99"/>
      <c r="K61" s="99">
        <v>2.2999999999999998</v>
      </c>
      <c r="L61" s="99"/>
      <c r="M61" s="99"/>
      <c r="N61" s="99"/>
      <c r="O61" s="99"/>
      <c r="P61" s="99"/>
      <c r="Q61" s="99"/>
      <c r="R61" s="101"/>
      <c r="S61" s="101"/>
      <c r="T61" s="89"/>
      <c r="U61" s="89">
        <v>870</v>
      </c>
      <c r="V61" s="101"/>
      <c r="W61" s="89">
        <v>220</v>
      </c>
      <c r="X61" s="89">
        <v>700</v>
      </c>
      <c r="Y61" s="89"/>
      <c r="Z61" s="100"/>
      <c r="AA61" s="100"/>
      <c r="AB61" s="97"/>
      <c r="AC61" s="97">
        <f>AVERAGE(37.4,37.5)</f>
        <v>37.450000000000003</v>
      </c>
      <c r="AD61" s="97"/>
      <c r="AE61" s="97"/>
      <c r="AF61" s="97"/>
      <c r="AG61" s="97"/>
      <c r="AH61" s="97">
        <f>AVERAGE(44.6,44.7)</f>
        <v>44.650000000000006</v>
      </c>
      <c r="AI61" s="97"/>
      <c r="AJ61" s="97"/>
      <c r="AK61" s="97"/>
      <c r="AL61" s="97"/>
      <c r="AM61" s="97">
        <f>AVERAGE(50.4,52.2)</f>
        <v>51.3</v>
      </c>
      <c r="AN61" s="97"/>
      <c r="AO61" s="97"/>
      <c r="AP61" s="97"/>
      <c r="AQ61" s="97">
        <v>60.6</v>
      </c>
      <c r="AR61" s="97"/>
      <c r="AS61" s="97"/>
      <c r="AT61" s="97"/>
      <c r="AU61" s="97"/>
      <c r="AV61" s="97"/>
      <c r="AW61" s="97"/>
      <c r="AX61" s="97"/>
    </row>
    <row r="62" spans="1:50" x14ac:dyDescent="0.15">
      <c r="A62" s="90">
        <f t="shared" si="0"/>
        <v>61</v>
      </c>
      <c r="B62" s="87" t="s">
        <v>1</v>
      </c>
      <c r="C62" s="89">
        <v>380</v>
      </c>
      <c r="D62" s="89"/>
      <c r="E62" s="89"/>
      <c r="F62" s="89"/>
      <c r="G62" s="89"/>
      <c r="H62" s="89">
        <v>180</v>
      </c>
      <c r="I62" s="89"/>
      <c r="J62" s="99"/>
      <c r="K62" s="99">
        <v>2.2999999999999998</v>
      </c>
      <c r="L62" s="99"/>
      <c r="M62" s="99"/>
      <c r="N62" s="99"/>
      <c r="O62" s="99"/>
      <c r="P62" s="99"/>
      <c r="Q62" s="99"/>
      <c r="R62" s="101"/>
      <c r="S62" s="101"/>
      <c r="T62" s="89"/>
      <c r="U62" s="89">
        <v>870</v>
      </c>
      <c r="V62" s="101"/>
      <c r="W62" s="89">
        <v>220</v>
      </c>
      <c r="X62" s="89">
        <v>700</v>
      </c>
      <c r="Y62" s="89"/>
      <c r="Z62" s="100"/>
      <c r="AA62" s="100"/>
      <c r="AB62" s="97"/>
      <c r="AC62" s="97">
        <f>AVERAGE(33.2,33.7)</f>
        <v>33.450000000000003</v>
      </c>
      <c r="AD62" s="97"/>
      <c r="AE62" s="97"/>
      <c r="AF62" s="97"/>
      <c r="AG62" s="97"/>
      <c r="AH62" s="97">
        <f>AVERAGE(40.8,39.9)</f>
        <v>40.349999999999994</v>
      </c>
      <c r="AI62" s="97"/>
      <c r="AJ62" s="97"/>
      <c r="AK62" s="97"/>
      <c r="AL62" s="97"/>
      <c r="AM62" s="97">
        <f>AVERAGE(46.9,47.2)</f>
        <v>47.05</v>
      </c>
      <c r="AN62" s="97"/>
      <c r="AO62" s="97"/>
      <c r="AP62" s="97"/>
      <c r="AQ62" s="97">
        <v>54.7</v>
      </c>
      <c r="AR62" s="97"/>
      <c r="AS62" s="97"/>
      <c r="AT62" s="97"/>
      <c r="AU62" s="97"/>
      <c r="AV62" s="97"/>
      <c r="AW62" s="97"/>
      <c r="AX62" s="97"/>
    </row>
    <row r="63" spans="1:50" x14ac:dyDescent="0.15">
      <c r="A63" s="90">
        <f t="shared" si="0"/>
        <v>62</v>
      </c>
      <c r="B63" s="87" t="s">
        <v>1</v>
      </c>
      <c r="C63" s="89">
        <v>380</v>
      </c>
      <c r="D63" s="89"/>
      <c r="E63" s="89"/>
      <c r="F63" s="89"/>
      <c r="G63" s="89"/>
      <c r="H63" s="89">
        <v>180</v>
      </c>
      <c r="I63" s="89"/>
      <c r="J63" s="99"/>
      <c r="K63" s="99">
        <v>2.2999999999999998</v>
      </c>
      <c r="L63" s="99"/>
      <c r="M63" s="99"/>
      <c r="N63" s="99"/>
      <c r="O63" s="99"/>
      <c r="P63" s="99"/>
      <c r="Q63" s="99"/>
      <c r="R63" s="101"/>
      <c r="S63" s="101"/>
      <c r="T63" s="89"/>
      <c r="U63" s="89">
        <v>870</v>
      </c>
      <c r="V63" s="101"/>
      <c r="W63" s="89">
        <v>220</v>
      </c>
      <c r="X63" s="89">
        <v>700</v>
      </c>
      <c r="Y63" s="89"/>
      <c r="Z63" s="100"/>
      <c r="AA63" s="100"/>
      <c r="AB63" s="97"/>
      <c r="AC63" s="97">
        <f>AVERAGE(31.7,30.3)</f>
        <v>31</v>
      </c>
      <c r="AD63" s="97"/>
      <c r="AE63" s="97"/>
      <c r="AF63" s="97"/>
      <c r="AG63" s="97"/>
      <c r="AH63" s="97">
        <f>AVERAGE(38.3,39.2)</f>
        <v>38.75</v>
      </c>
      <c r="AI63" s="97"/>
      <c r="AJ63" s="97"/>
      <c r="AK63" s="97"/>
      <c r="AL63" s="97"/>
      <c r="AM63" s="97">
        <f>AVERAGE(45.9,47.1)</f>
        <v>46.5</v>
      </c>
      <c r="AN63" s="97"/>
      <c r="AO63" s="97"/>
      <c r="AP63" s="97"/>
      <c r="AQ63" s="97">
        <v>55.2</v>
      </c>
      <c r="AR63" s="97"/>
      <c r="AS63" s="97"/>
      <c r="AT63" s="97"/>
      <c r="AU63" s="97"/>
      <c r="AV63" s="97"/>
      <c r="AW63" s="97"/>
      <c r="AX63" s="97"/>
    </row>
    <row r="64" spans="1:50" x14ac:dyDescent="0.15">
      <c r="A64" s="90">
        <f t="shared" si="0"/>
        <v>63</v>
      </c>
      <c r="B64" s="87" t="s">
        <v>1</v>
      </c>
      <c r="C64" s="89">
        <v>375</v>
      </c>
      <c r="D64" s="89"/>
      <c r="E64" s="89"/>
      <c r="F64" s="89"/>
      <c r="G64" s="89"/>
      <c r="H64" s="89">
        <v>175</v>
      </c>
      <c r="I64" s="89"/>
      <c r="J64" s="99"/>
      <c r="K64" s="99">
        <v>2.81</v>
      </c>
      <c r="L64" s="99"/>
      <c r="M64" s="99"/>
      <c r="N64" s="99"/>
      <c r="O64" s="99"/>
      <c r="P64" s="99"/>
      <c r="Q64" s="99"/>
      <c r="R64" s="101"/>
      <c r="S64" s="101"/>
      <c r="T64" s="89"/>
      <c r="U64" s="89">
        <v>810</v>
      </c>
      <c r="V64" s="101"/>
      <c r="W64" s="89">
        <v>185</v>
      </c>
      <c r="X64" s="89">
        <v>440</v>
      </c>
      <c r="Y64" s="89">
        <v>375</v>
      </c>
      <c r="Z64" s="100"/>
      <c r="AA64" s="100"/>
      <c r="AB64" s="87"/>
      <c r="AC64" s="87">
        <v>18.899999999999999</v>
      </c>
      <c r="AD64" s="87"/>
      <c r="AE64" s="87"/>
      <c r="AF64" s="87"/>
      <c r="AG64" s="87">
        <f>AVERAGE(36.4,33.2)</f>
        <v>34.799999999999997</v>
      </c>
      <c r="AH64" s="87"/>
      <c r="AI64" s="87"/>
      <c r="AJ64" s="87"/>
      <c r="AK64" s="87"/>
      <c r="AL64" s="87">
        <f>AVERAGE(42.3,36.4)</f>
        <v>39.349999999999994</v>
      </c>
      <c r="AM64" s="87"/>
      <c r="AN64" s="87"/>
      <c r="AO64" s="87"/>
      <c r="AP64" s="87"/>
      <c r="AQ64" s="87">
        <v>40.4</v>
      </c>
      <c r="AR64" s="87"/>
      <c r="AS64" s="87"/>
      <c r="AT64" s="87"/>
      <c r="AU64" s="87"/>
      <c r="AV64" s="87"/>
      <c r="AW64" s="87"/>
      <c r="AX64" s="87"/>
    </row>
    <row r="65" spans="1:50" x14ac:dyDescent="0.15">
      <c r="A65" s="90">
        <f t="shared" si="0"/>
        <v>64</v>
      </c>
      <c r="B65" s="87" t="s">
        <v>1</v>
      </c>
      <c r="C65" s="89">
        <v>375</v>
      </c>
      <c r="D65" s="89">
        <v>40</v>
      </c>
      <c r="E65" s="89"/>
      <c r="F65" s="89"/>
      <c r="G65" s="89"/>
      <c r="H65" s="89">
        <v>190</v>
      </c>
      <c r="I65" s="89"/>
      <c r="J65" s="99">
        <v>3.7</v>
      </c>
      <c r="K65" s="99"/>
      <c r="L65" s="99"/>
      <c r="M65" s="99"/>
      <c r="N65" s="99"/>
      <c r="O65" s="99"/>
      <c r="P65" s="99"/>
      <c r="Q65" s="99"/>
      <c r="R65" s="101"/>
      <c r="S65" s="101"/>
      <c r="T65" s="89"/>
      <c r="U65" s="89">
        <v>900</v>
      </c>
      <c r="V65" s="101"/>
      <c r="W65" s="89"/>
      <c r="X65" s="89">
        <v>460</v>
      </c>
      <c r="Y65" s="89">
        <v>400</v>
      </c>
      <c r="Z65" s="100"/>
      <c r="AA65" s="100"/>
      <c r="AB65" s="97"/>
      <c r="AC65" s="97">
        <f>AVERAGE(18.6,19.5,19)</f>
        <v>19.033333333333335</v>
      </c>
      <c r="AD65" s="97"/>
      <c r="AE65" s="97"/>
      <c r="AF65" s="97"/>
      <c r="AG65" s="97">
        <f>AVERAGE(27.3,29.2,29.2)</f>
        <v>28.566666666666666</v>
      </c>
      <c r="AH65" s="97"/>
      <c r="AI65" s="97"/>
      <c r="AJ65" s="97"/>
      <c r="AK65" s="97"/>
      <c r="AL65" s="97">
        <f>AVERAGE(38.5,37.9,37)</f>
        <v>37.800000000000004</v>
      </c>
      <c r="AM65" s="97"/>
      <c r="AN65" s="97"/>
      <c r="AO65" s="97"/>
      <c r="AP65" s="97"/>
      <c r="AQ65" s="97">
        <f>AVERAGE(48.5,47,45.8)</f>
        <v>47.1</v>
      </c>
      <c r="AR65" s="97"/>
      <c r="AS65" s="97"/>
      <c r="AT65" s="97"/>
      <c r="AU65" s="97"/>
      <c r="AV65" s="97"/>
      <c r="AW65" s="97"/>
      <c r="AX65" s="97"/>
    </row>
    <row r="66" spans="1:50" x14ac:dyDescent="0.15">
      <c r="A66" s="90">
        <f t="shared" si="0"/>
        <v>65</v>
      </c>
      <c r="B66" s="87" t="s">
        <v>1</v>
      </c>
      <c r="C66" s="89">
        <v>370</v>
      </c>
      <c r="D66" s="89"/>
      <c r="E66" s="89"/>
      <c r="F66" s="89"/>
      <c r="G66" s="89"/>
      <c r="H66" s="89">
        <v>175</v>
      </c>
      <c r="I66" s="89">
        <v>15</v>
      </c>
      <c r="J66" s="99">
        <v>2.2000000000000002</v>
      </c>
      <c r="K66" s="99"/>
      <c r="L66" s="99"/>
      <c r="M66" s="99"/>
      <c r="N66" s="99"/>
      <c r="O66" s="99"/>
      <c r="P66" s="99"/>
      <c r="Q66" s="99"/>
      <c r="R66" s="101"/>
      <c r="S66" s="101"/>
      <c r="T66" s="89"/>
      <c r="U66" s="89">
        <v>880</v>
      </c>
      <c r="V66" s="101"/>
      <c r="W66" s="89">
        <v>120</v>
      </c>
      <c r="X66" s="89">
        <v>800</v>
      </c>
      <c r="Y66" s="89"/>
      <c r="Z66" s="100"/>
      <c r="AA66" s="100"/>
      <c r="AB66" s="97"/>
      <c r="AC66" s="97"/>
      <c r="AD66" s="97">
        <v>27.2</v>
      </c>
      <c r="AE66" s="97"/>
      <c r="AF66" s="97"/>
      <c r="AG66" s="97">
        <v>32.299999999999997</v>
      </c>
      <c r="AH66" s="97"/>
      <c r="AI66" s="97"/>
      <c r="AJ66" s="97"/>
      <c r="AK66" s="97"/>
      <c r="AL66" s="97">
        <f>AVERAGE(42,40.1,40.8)</f>
        <v>40.966666666666661</v>
      </c>
      <c r="AM66" s="97"/>
      <c r="AN66" s="97"/>
      <c r="AO66" s="97"/>
      <c r="AP66" s="97"/>
      <c r="AQ66" s="97">
        <v>46.5</v>
      </c>
      <c r="AR66" s="97"/>
      <c r="AS66" s="97"/>
      <c r="AT66" s="97"/>
      <c r="AU66" s="97"/>
      <c r="AV66" s="97"/>
      <c r="AW66" s="97"/>
      <c r="AX66" s="97"/>
    </row>
    <row r="67" spans="1:50" x14ac:dyDescent="0.15">
      <c r="A67" s="90">
        <f t="shared" si="0"/>
        <v>66</v>
      </c>
      <c r="B67" s="87" t="s">
        <v>1</v>
      </c>
      <c r="C67" s="89">
        <v>370</v>
      </c>
      <c r="D67" s="89"/>
      <c r="E67" s="89"/>
      <c r="F67" s="89"/>
      <c r="G67" s="89"/>
      <c r="H67" s="89">
        <v>175</v>
      </c>
      <c r="I67" s="89">
        <v>15</v>
      </c>
      <c r="J67" s="99">
        <v>2.2000000000000002</v>
      </c>
      <c r="K67" s="99"/>
      <c r="L67" s="99"/>
      <c r="M67" s="99"/>
      <c r="N67" s="99"/>
      <c r="O67" s="99"/>
      <c r="P67" s="99"/>
      <c r="Q67" s="99"/>
      <c r="R67" s="101"/>
      <c r="S67" s="101"/>
      <c r="T67" s="89"/>
      <c r="U67" s="89">
        <v>880</v>
      </c>
      <c r="V67" s="101"/>
      <c r="W67" s="89">
        <v>120</v>
      </c>
      <c r="X67" s="89">
        <v>800</v>
      </c>
      <c r="Y67" s="89"/>
      <c r="Z67" s="100"/>
      <c r="AA67" s="100"/>
      <c r="AB67" s="97"/>
      <c r="AC67" s="97"/>
      <c r="AD67" s="97">
        <v>32.6</v>
      </c>
      <c r="AE67" s="97"/>
      <c r="AF67" s="97"/>
      <c r="AG67" s="97">
        <v>38.299999999999997</v>
      </c>
      <c r="AH67" s="97"/>
      <c r="AI67" s="97"/>
      <c r="AJ67" s="97"/>
      <c r="AK67" s="97"/>
      <c r="AL67" s="97">
        <f>AVERAGE(46.8,45.5,47.2)</f>
        <v>46.5</v>
      </c>
      <c r="AM67" s="97"/>
      <c r="AN67" s="97"/>
      <c r="AO67" s="97"/>
      <c r="AP67" s="97"/>
      <c r="AQ67" s="97">
        <v>55.1</v>
      </c>
      <c r="AR67" s="97"/>
      <c r="AS67" s="97"/>
      <c r="AT67" s="97"/>
      <c r="AU67" s="97"/>
      <c r="AV67" s="97"/>
      <c r="AW67" s="97"/>
      <c r="AX67" s="97"/>
    </row>
    <row r="68" spans="1:50" x14ac:dyDescent="0.15">
      <c r="A68" s="90">
        <f t="shared" ref="A68:A131" si="1">A67+1</f>
        <v>67</v>
      </c>
      <c r="B68" s="87" t="s">
        <v>1</v>
      </c>
      <c r="C68" s="89">
        <v>370</v>
      </c>
      <c r="D68" s="89"/>
      <c r="E68" s="89"/>
      <c r="F68" s="89"/>
      <c r="G68" s="89"/>
      <c r="H68" s="89">
        <v>100</v>
      </c>
      <c r="I68" s="89">
        <v>75</v>
      </c>
      <c r="J68" s="99"/>
      <c r="K68" s="99">
        <v>2.2999999999999998</v>
      </c>
      <c r="L68" s="99"/>
      <c r="M68" s="99"/>
      <c r="N68" s="99"/>
      <c r="O68" s="99"/>
      <c r="P68" s="99"/>
      <c r="Q68" s="99"/>
      <c r="R68" s="101"/>
      <c r="S68" s="101"/>
      <c r="T68" s="89"/>
      <c r="U68" s="89">
        <v>850</v>
      </c>
      <c r="V68" s="101"/>
      <c r="W68" s="89">
        <v>130</v>
      </c>
      <c r="X68" s="89">
        <v>420</v>
      </c>
      <c r="Y68" s="89">
        <v>350</v>
      </c>
      <c r="Z68" s="100"/>
      <c r="AA68" s="100"/>
      <c r="AB68" s="97">
        <v>9.4</v>
      </c>
      <c r="AC68" s="97">
        <v>21.3</v>
      </c>
      <c r="AD68" s="97"/>
      <c r="AE68" s="97"/>
      <c r="AF68" s="97"/>
      <c r="AG68" s="97">
        <v>36.299999999999997</v>
      </c>
      <c r="AH68" s="97"/>
      <c r="AI68" s="97"/>
      <c r="AJ68" s="97"/>
      <c r="AK68" s="97"/>
      <c r="AL68" s="97"/>
      <c r="AM68" s="97">
        <v>43.9</v>
      </c>
      <c r="AN68" s="97"/>
      <c r="AO68" s="97"/>
      <c r="AP68" s="97"/>
      <c r="AQ68" s="97">
        <v>52.9</v>
      </c>
      <c r="AR68" s="97"/>
      <c r="AS68" s="97"/>
      <c r="AT68" s="97"/>
      <c r="AU68" s="97"/>
      <c r="AV68" s="97"/>
      <c r="AW68" s="97"/>
      <c r="AX68" s="97"/>
    </row>
    <row r="69" spans="1:50" x14ac:dyDescent="0.15">
      <c r="A69" s="90">
        <f t="shared" si="1"/>
        <v>68</v>
      </c>
      <c r="B69" s="87" t="s">
        <v>1</v>
      </c>
      <c r="C69" s="89">
        <v>360</v>
      </c>
      <c r="D69" s="89"/>
      <c r="E69" s="89"/>
      <c r="F69" s="89"/>
      <c r="G69" s="89"/>
      <c r="H69" s="89">
        <v>160</v>
      </c>
      <c r="I69" s="89"/>
      <c r="J69" s="99"/>
      <c r="K69" s="99">
        <v>2.5</v>
      </c>
      <c r="L69" s="99"/>
      <c r="M69" s="99"/>
      <c r="N69" s="99"/>
      <c r="O69" s="99"/>
      <c r="P69" s="99"/>
      <c r="Q69" s="99"/>
      <c r="R69" s="101"/>
      <c r="S69" s="101"/>
      <c r="T69" s="89"/>
      <c r="U69" s="89">
        <v>790</v>
      </c>
      <c r="V69" s="101"/>
      <c r="W69" s="89">
        <v>180</v>
      </c>
      <c r="X69" s="89">
        <v>840</v>
      </c>
      <c r="Y69" s="89"/>
      <c r="Z69" s="100"/>
      <c r="AA69" s="100"/>
      <c r="AB69" s="97"/>
      <c r="AC69" s="97">
        <f>AVERAGE(30,31.6,31.3)</f>
        <v>30.966666666666669</v>
      </c>
      <c r="AD69" s="97"/>
      <c r="AE69" s="97"/>
      <c r="AF69" s="97"/>
      <c r="AG69" s="97">
        <f>AVERAGE(43.8,42.8,42.2)</f>
        <v>42.933333333333337</v>
      </c>
      <c r="AH69" s="97"/>
      <c r="AI69" s="97"/>
      <c r="AJ69" s="97"/>
      <c r="AK69" s="97"/>
      <c r="AL69" s="97">
        <f>AVERAGE(51.9,51.9,50)</f>
        <v>51.266666666666673</v>
      </c>
      <c r="AM69" s="97"/>
      <c r="AN69" s="97"/>
      <c r="AO69" s="97"/>
      <c r="AP69" s="97"/>
      <c r="AQ69" s="97">
        <v>63.4</v>
      </c>
      <c r="AR69" s="97"/>
      <c r="AS69" s="97"/>
      <c r="AT69" s="97"/>
      <c r="AU69" s="97"/>
      <c r="AV69" s="97"/>
      <c r="AW69" s="97"/>
      <c r="AX69" s="97"/>
    </row>
    <row r="70" spans="1:50" x14ac:dyDescent="0.15">
      <c r="A70" s="90">
        <f t="shared" si="1"/>
        <v>69</v>
      </c>
      <c r="B70" s="87" t="s">
        <v>1</v>
      </c>
      <c r="C70" s="89">
        <v>360</v>
      </c>
      <c r="D70" s="89"/>
      <c r="E70" s="89"/>
      <c r="F70" s="89"/>
      <c r="G70" s="89"/>
      <c r="H70" s="89">
        <v>95</v>
      </c>
      <c r="I70" s="89">
        <v>95</v>
      </c>
      <c r="J70" s="99"/>
      <c r="K70" s="99">
        <v>2.9</v>
      </c>
      <c r="L70" s="99"/>
      <c r="M70" s="99"/>
      <c r="N70" s="99"/>
      <c r="O70" s="99"/>
      <c r="P70" s="99"/>
      <c r="Q70" s="99"/>
      <c r="R70" s="101"/>
      <c r="S70" s="101"/>
      <c r="T70" s="89"/>
      <c r="U70" s="89">
        <v>920</v>
      </c>
      <c r="V70" s="101"/>
      <c r="W70" s="89">
        <v>170</v>
      </c>
      <c r="X70" s="89">
        <v>800</v>
      </c>
      <c r="Y70" s="89"/>
      <c r="Z70" s="100"/>
      <c r="AA70" s="100"/>
      <c r="AB70" s="97"/>
      <c r="AC70" s="97">
        <f>AVERAGE(28.6,29.2,28.1)</f>
        <v>28.633333333333336</v>
      </c>
      <c r="AD70" s="97"/>
      <c r="AE70" s="97"/>
      <c r="AF70" s="97"/>
      <c r="AG70" s="97">
        <f>AVERAGE(42.6,42.6,43.2)</f>
        <v>42.800000000000004</v>
      </c>
      <c r="AH70" s="97"/>
      <c r="AI70" s="97"/>
      <c r="AJ70" s="97"/>
      <c r="AK70" s="97"/>
      <c r="AL70" s="97">
        <f>AVERAGE(49.9,49.2,48.9)</f>
        <v>49.333333333333336</v>
      </c>
      <c r="AM70" s="97"/>
      <c r="AN70" s="97"/>
      <c r="AO70" s="97"/>
      <c r="AP70" s="97"/>
      <c r="AQ70" s="97">
        <v>59.5</v>
      </c>
      <c r="AR70" s="97"/>
      <c r="AS70" s="97"/>
      <c r="AT70" s="97"/>
      <c r="AU70" s="97"/>
      <c r="AV70" s="97"/>
      <c r="AW70" s="97"/>
      <c r="AX70" s="97"/>
    </row>
    <row r="71" spans="1:50" x14ac:dyDescent="0.15">
      <c r="A71" s="90">
        <f t="shared" si="1"/>
        <v>70</v>
      </c>
      <c r="B71" s="87" t="s">
        <v>1</v>
      </c>
      <c r="C71" s="89">
        <v>360</v>
      </c>
      <c r="D71" s="89"/>
      <c r="E71" s="89"/>
      <c r="F71" s="89"/>
      <c r="G71" s="89"/>
      <c r="H71" s="89">
        <v>175</v>
      </c>
      <c r="I71" s="89"/>
      <c r="J71" s="99"/>
      <c r="K71" s="99">
        <v>2.8</v>
      </c>
      <c r="L71" s="99">
        <v>0.55000000000000004</v>
      </c>
      <c r="M71" s="99"/>
      <c r="N71" s="99"/>
      <c r="O71" s="99"/>
      <c r="P71" s="99"/>
      <c r="Q71" s="99"/>
      <c r="R71" s="91"/>
      <c r="S71" s="101"/>
      <c r="T71" s="89"/>
      <c r="U71" s="89">
        <v>900</v>
      </c>
      <c r="V71" s="101"/>
      <c r="W71" s="89">
        <v>175</v>
      </c>
      <c r="X71" s="89">
        <v>780</v>
      </c>
      <c r="Y71" s="89"/>
      <c r="Z71" s="100"/>
      <c r="AA71" s="100"/>
      <c r="AB71" s="97"/>
      <c r="AC71" s="97">
        <f>AVERAGE(23.7,24.1,23.9)</f>
        <v>23.899999999999995</v>
      </c>
      <c r="AD71" s="97"/>
      <c r="AE71" s="97"/>
      <c r="AF71" s="97"/>
      <c r="AG71" s="97">
        <f>AVERAGE(31.9,31.9,30.8)</f>
        <v>31.533333333333331</v>
      </c>
      <c r="AH71" s="97"/>
      <c r="AI71" s="97"/>
      <c r="AJ71" s="97"/>
      <c r="AK71" s="97"/>
      <c r="AL71" s="97">
        <f>AVERAGE(36.8,38.4,37.6)</f>
        <v>37.599999999999994</v>
      </c>
      <c r="AM71" s="97"/>
      <c r="AN71" s="97"/>
      <c r="AO71" s="97"/>
      <c r="AP71" s="97"/>
      <c r="AQ71" s="97">
        <v>45.2</v>
      </c>
      <c r="AR71" s="97"/>
      <c r="AS71" s="97"/>
      <c r="AT71" s="97"/>
      <c r="AU71" s="97"/>
      <c r="AV71" s="97"/>
      <c r="AW71" s="97"/>
      <c r="AX71" s="97"/>
    </row>
    <row r="72" spans="1:50" x14ac:dyDescent="0.15">
      <c r="A72" s="90">
        <f t="shared" si="1"/>
        <v>71</v>
      </c>
      <c r="B72" s="87" t="s">
        <v>1</v>
      </c>
      <c r="C72" s="89">
        <v>360</v>
      </c>
      <c r="D72" s="89">
        <v>20</v>
      </c>
      <c r="E72" s="89"/>
      <c r="F72" s="89"/>
      <c r="G72" s="89"/>
      <c r="H72" s="89">
        <v>180</v>
      </c>
      <c r="I72" s="89"/>
      <c r="J72" s="99">
        <v>1.9</v>
      </c>
      <c r="K72" s="99">
        <v>2.1</v>
      </c>
      <c r="L72" s="99"/>
      <c r="M72" s="99"/>
      <c r="N72" s="99"/>
      <c r="O72" s="99"/>
      <c r="P72" s="99"/>
      <c r="Q72" s="99">
        <v>2</v>
      </c>
      <c r="R72" s="91"/>
      <c r="S72" s="101"/>
      <c r="T72" s="89"/>
      <c r="U72" s="89">
        <v>900</v>
      </c>
      <c r="V72" s="101"/>
      <c r="W72" s="89">
        <v>200</v>
      </c>
      <c r="X72" s="89">
        <v>330</v>
      </c>
      <c r="Y72" s="89">
        <v>330</v>
      </c>
      <c r="Z72" s="100"/>
      <c r="AA72" s="100"/>
      <c r="AB72" s="97">
        <v>6.4</v>
      </c>
      <c r="AC72" s="97">
        <v>30.3</v>
      </c>
      <c r="AD72" s="97">
        <v>35.1</v>
      </c>
      <c r="AE72" s="97"/>
      <c r="AF72" s="97"/>
      <c r="AG72" s="97">
        <v>44.7</v>
      </c>
      <c r="AH72" s="97"/>
      <c r="AI72" s="97"/>
      <c r="AJ72" s="97"/>
      <c r="AK72" s="97"/>
      <c r="AL72" s="97">
        <v>53.6</v>
      </c>
      <c r="AM72" s="97"/>
      <c r="AN72" s="97"/>
      <c r="AO72" s="97"/>
      <c r="AP72" s="97"/>
      <c r="AQ72" s="97">
        <v>57.5</v>
      </c>
      <c r="AR72" s="97"/>
      <c r="AS72" s="97"/>
      <c r="AT72" s="97">
        <v>65.2</v>
      </c>
      <c r="AU72" s="97"/>
      <c r="AV72" s="97"/>
      <c r="AW72" s="97"/>
      <c r="AX72" s="97">
        <v>67.3</v>
      </c>
    </row>
    <row r="73" spans="1:50" x14ac:dyDescent="0.15">
      <c r="A73" s="90">
        <f t="shared" si="1"/>
        <v>72</v>
      </c>
      <c r="B73" s="87" t="s">
        <v>1</v>
      </c>
      <c r="C73" s="89">
        <v>360</v>
      </c>
      <c r="D73" s="89">
        <v>20</v>
      </c>
      <c r="E73" s="89"/>
      <c r="F73" s="89"/>
      <c r="G73" s="89"/>
      <c r="H73" s="89">
        <v>180</v>
      </c>
      <c r="I73" s="89"/>
      <c r="J73" s="99">
        <v>1.9</v>
      </c>
      <c r="K73" s="99">
        <v>2.1</v>
      </c>
      <c r="L73" s="99"/>
      <c r="M73" s="99"/>
      <c r="N73" s="99"/>
      <c r="O73" s="99"/>
      <c r="P73" s="99"/>
      <c r="Q73" s="99"/>
      <c r="R73" s="91"/>
      <c r="S73" s="101"/>
      <c r="T73" s="89"/>
      <c r="U73" s="89">
        <v>900</v>
      </c>
      <c r="V73" s="101"/>
      <c r="W73" s="89">
        <v>200</v>
      </c>
      <c r="X73" s="89">
        <v>330</v>
      </c>
      <c r="Y73" s="89">
        <v>330</v>
      </c>
      <c r="Z73" s="100"/>
      <c r="AA73" s="100"/>
      <c r="AB73" s="97">
        <v>3.4</v>
      </c>
      <c r="AC73" s="97">
        <v>26.2</v>
      </c>
      <c r="AD73" s="97">
        <v>33.1</v>
      </c>
      <c r="AE73" s="97"/>
      <c r="AF73" s="97"/>
      <c r="AG73" s="97">
        <v>42.9</v>
      </c>
      <c r="AH73" s="97"/>
      <c r="AI73" s="97"/>
      <c r="AJ73" s="97"/>
      <c r="AK73" s="97"/>
      <c r="AL73" s="97">
        <v>53</v>
      </c>
      <c r="AM73" s="97"/>
      <c r="AN73" s="97"/>
      <c r="AO73" s="97"/>
      <c r="AP73" s="97"/>
      <c r="AQ73" s="97">
        <v>56.4</v>
      </c>
      <c r="AR73" s="97"/>
      <c r="AS73" s="97"/>
      <c r="AT73" s="97">
        <v>63.8</v>
      </c>
      <c r="AU73" s="97"/>
      <c r="AV73" s="97"/>
      <c r="AW73" s="97"/>
      <c r="AX73" s="97">
        <v>65.7</v>
      </c>
    </row>
    <row r="74" spans="1:50" x14ac:dyDescent="0.15">
      <c r="A74" s="90">
        <f t="shared" si="1"/>
        <v>73</v>
      </c>
      <c r="B74" s="87" t="s">
        <v>1</v>
      </c>
      <c r="C74" s="89">
        <v>350</v>
      </c>
      <c r="D74" s="89"/>
      <c r="E74" s="89"/>
      <c r="F74" s="89"/>
      <c r="G74" s="89"/>
      <c r="H74" s="89">
        <v>180</v>
      </c>
      <c r="I74" s="89"/>
      <c r="J74" s="99"/>
      <c r="K74" s="99">
        <v>2.4500000000000002</v>
      </c>
      <c r="L74" s="99"/>
      <c r="M74" s="99"/>
      <c r="N74" s="99"/>
      <c r="O74" s="99"/>
      <c r="P74" s="99"/>
      <c r="Q74" s="99"/>
      <c r="R74" s="91"/>
      <c r="S74" s="101"/>
      <c r="T74" s="89"/>
      <c r="U74" s="89">
        <v>910</v>
      </c>
      <c r="V74" s="101"/>
      <c r="W74" s="89">
        <v>160</v>
      </c>
      <c r="X74" s="89">
        <v>605</v>
      </c>
      <c r="Y74" s="89"/>
      <c r="Z74" s="100"/>
      <c r="AA74" s="100"/>
      <c r="AB74" s="97"/>
      <c r="AC74" s="97">
        <f>AVERAGE(24.3,26.2)</f>
        <v>25.25</v>
      </c>
      <c r="AD74" s="97"/>
      <c r="AE74" s="97"/>
      <c r="AF74" s="97"/>
      <c r="AG74" s="97">
        <f>AVERAGE(35.1,34.6)</f>
        <v>34.85</v>
      </c>
      <c r="AH74" s="97"/>
      <c r="AI74" s="97"/>
      <c r="AJ74" s="97"/>
      <c r="AK74" s="97"/>
      <c r="AL74" s="97">
        <f>AVERAGE(44.4,42.1)</f>
        <v>43.25</v>
      </c>
      <c r="AM74" s="97"/>
      <c r="AN74" s="97"/>
      <c r="AO74" s="97"/>
      <c r="AP74" s="97"/>
      <c r="AQ74" s="97">
        <f>AVERAGE(49.6,47.9,50.8,49.2)</f>
        <v>49.375</v>
      </c>
      <c r="AR74" s="87"/>
      <c r="AS74" s="87"/>
      <c r="AT74" s="87"/>
      <c r="AU74" s="87"/>
      <c r="AV74" s="87"/>
      <c r="AW74" s="87"/>
      <c r="AX74" s="87"/>
    </row>
    <row r="75" spans="1:50" x14ac:dyDescent="0.15">
      <c r="A75" s="90">
        <f t="shared" si="1"/>
        <v>74</v>
      </c>
      <c r="B75" s="87" t="s">
        <v>1</v>
      </c>
      <c r="C75" s="89">
        <v>350</v>
      </c>
      <c r="D75" s="89">
        <v>45</v>
      </c>
      <c r="E75" s="89"/>
      <c r="F75" s="89"/>
      <c r="G75" s="89"/>
      <c r="H75" s="89">
        <v>135</v>
      </c>
      <c r="I75" s="89">
        <v>65</v>
      </c>
      <c r="J75" s="99">
        <v>1.5</v>
      </c>
      <c r="K75" s="99">
        <v>2</v>
      </c>
      <c r="L75" s="99"/>
      <c r="M75" s="99"/>
      <c r="N75" s="99"/>
      <c r="O75" s="99"/>
      <c r="P75" s="99"/>
      <c r="Q75" s="99"/>
      <c r="R75" s="91"/>
      <c r="S75" s="101"/>
      <c r="T75" s="89"/>
      <c r="U75" s="89">
        <v>910</v>
      </c>
      <c r="V75" s="101"/>
      <c r="W75" s="89"/>
      <c r="X75" s="89">
        <v>400</v>
      </c>
      <c r="Y75" s="89">
        <v>400</v>
      </c>
      <c r="Z75" s="100"/>
      <c r="AA75" s="100"/>
      <c r="AB75" s="97"/>
      <c r="AC75" s="97">
        <f>AVERAGE(23.5,23.4)</f>
        <v>23.45</v>
      </c>
      <c r="AD75" s="97"/>
      <c r="AE75" s="97"/>
      <c r="AF75" s="97"/>
      <c r="AG75" s="97">
        <f>AVERAGE(38.4,38.6)</f>
        <v>38.5</v>
      </c>
      <c r="AH75" s="97"/>
      <c r="AI75" s="97"/>
      <c r="AJ75" s="97"/>
      <c r="AK75" s="97"/>
      <c r="AL75" s="97">
        <f>AVERAGE(49.5,50.5)</f>
        <v>50</v>
      </c>
      <c r="AM75" s="97"/>
      <c r="AN75" s="97"/>
      <c r="AO75" s="97"/>
      <c r="AP75" s="97"/>
      <c r="AQ75" s="97">
        <f>AVERAGE(57.2,58.9)</f>
        <v>58.05</v>
      </c>
      <c r="AR75" s="87"/>
      <c r="AS75" s="87"/>
      <c r="AT75" s="87"/>
      <c r="AU75" s="87"/>
      <c r="AV75" s="87"/>
      <c r="AW75" s="87"/>
      <c r="AX75" s="87"/>
    </row>
    <row r="76" spans="1:50" x14ac:dyDescent="0.15">
      <c r="A76" s="90">
        <f t="shared" si="1"/>
        <v>75</v>
      </c>
      <c r="B76" s="87" t="s">
        <v>1</v>
      </c>
      <c r="C76" s="89">
        <v>350</v>
      </c>
      <c r="D76" s="89">
        <v>50</v>
      </c>
      <c r="E76" s="89"/>
      <c r="F76" s="89"/>
      <c r="G76" s="89"/>
      <c r="H76" s="89">
        <v>185</v>
      </c>
      <c r="I76" s="89"/>
      <c r="J76" s="99">
        <v>1.4</v>
      </c>
      <c r="K76" s="99">
        <v>1.6</v>
      </c>
      <c r="L76" s="99"/>
      <c r="M76" s="99"/>
      <c r="N76" s="99"/>
      <c r="O76" s="99"/>
      <c r="P76" s="99"/>
      <c r="Q76" s="99"/>
      <c r="R76" s="91"/>
      <c r="S76" s="101"/>
      <c r="T76" s="89"/>
      <c r="U76" s="89">
        <v>920</v>
      </c>
      <c r="V76" s="101"/>
      <c r="W76" s="89"/>
      <c r="X76" s="89">
        <v>415</v>
      </c>
      <c r="Y76" s="89">
        <v>420</v>
      </c>
      <c r="Z76" s="100"/>
      <c r="AA76" s="100"/>
      <c r="AB76" s="97"/>
      <c r="AC76" s="97">
        <f>AVERAGE(18.9,20.3,19.4)</f>
        <v>19.533333333333335</v>
      </c>
      <c r="AD76" s="97"/>
      <c r="AE76" s="97"/>
      <c r="AF76" s="97"/>
      <c r="AG76" s="97">
        <f>AVERAGE(28.8,29,28)</f>
        <v>28.599999999999998</v>
      </c>
      <c r="AH76" s="97"/>
      <c r="AI76" s="97"/>
      <c r="AJ76" s="97"/>
      <c r="AK76" s="97"/>
      <c r="AL76" s="97">
        <f>AVERAGE(40,39.3,39.9)</f>
        <v>39.733333333333327</v>
      </c>
      <c r="AM76" s="97"/>
      <c r="AN76" s="97"/>
      <c r="AO76" s="97"/>
      <c r="AP76" s="97"/>
      <c r="AQ76" s="97">
        <f>AVERAGE(48.4,48.3,46.1)</f>
        <v>47.599999999999994</v>
      </c>
      <c r="AR76" s="97"/>
      <c r="AS76" s="97"/>
      <c r="AT76" s="97"/>
      <c r="AU76" s="97"/>
      <c r="AV76" s="97"/>
      <c r="AW76" s="97"/>
      <c r="AX76" s="97"/>
    </row>
    <row r="77" spans="1:50" x14ac:dyDescent="0.15">
      <c r="A77" s="90">
        <f t="shared" si="1"/>
        <v>76</v>
      </c>
      <c r="B77" s="87" t="s">
        <v>1</v>
      </c>
      <c r="C77" s="89">
        <v>345</v>
      </c>
      <c r="D77" s="89"/>
      <c r="E77" s="89"/>
      <c r="F77" s="89"/>
      <c r="G77" s="89"/>
      <c r="H77" s="89">
        <v>170</v>
      </c>
      <c r="I77" s="89"/>
      <c r="J77" s="99"/>
      <c r="K77" s="99">
        <v>2.4</v>
      </c>
      <c r="L77" s="99"/>
      <c r="M77" s="99"/>
      <c r="N77" s="99"/>
      <c r="O77" s="99"/>
      <c r="P77" s="99"/>
      <c r="Q77" s="99"/>
      <c r="R77" s="91"/>
      <c r="S77" s="101"/>
      <c r="T77" s="89"/>
      <c r="U77" s="89">
        <v>850</v>
      </c>
      <c r="V77" s="101"/>
      <c r="W77" s="89">
        <v>170</v>
      </c>
      <c r="X77" s="89">
        <v>465</v>
      </c>
      <c r="Y77" s="89">
        <v>340</v>
      </c>
      <c r="Z77" s="100"/>
      <c r="AA77" s="100"/>
      <c r="AB77" s="97"/>
      <c r="AC77" s="97">
        <v>28.8</v>
      </c>
      <c r="AD77" s="97"/>
      <c r="AE77" s="97"/>
      <c r="AF77" s="97"/>
      <c r="AG77" s="97"/>
      <c r="AH77" s="97">
        <v>42.1</v>
      </c>
      <c r="AI77" s="97"/>
      <c r="AJ77" s="97"/>
      <c r="AK77" s="97"/>
      <c r="AL77" s="97"/>
      <c r="AM77" s="97">
        <f>AVERAGE(49,50.9)</f>
        <v>49.95</v>
      </c>
      <c r="AN77" s="97"/>
      <c r="AO77" s="97"/>
      <c r="AP77" s="97"/>
      <c r="AQ77" s="97">
        <v>57.7</v>
      </c>
      <c r="AR77" s="97"/>
      <c r="AS77" s="97"/>
      <c r="AT77" s="97"/>
      <c r="AU77" s="97"/>
      <c r="AV77" s="97"/>
      <c r="AW77" s="97"/>
      <c r="AX77" s="97"/>
    </row>
    <row r="78" spans="1:50" x14ac:dyDescent="0.15">
      <c r="A78" s="90">
        <f t="shared" si="1"/>
        <v>77</v>
      </c>
      <c r="B78" s="87" t="s">
        <v>1</v>
      </c>
      <c r="C78" s="89">
        <v>345</v>
      </c>
      <c r="D78" s="89"/>
      <c r="E78" s="89"/>
      <c r="F78" s="89"/>
      <c r="G78" s="89"/>
      <c r="H78" s="89">
        <v>170</v>
      </c>
      <c r="I78" s="89"/>
      <c r="J78" s="99"/>
      <c r="K78" s="99">
        <v>2.4</v>
      </c>
      <c r="L78" s="99"/>
      <c r="M78" s="99"/>
      <c r="N78" s="99"/>
      <c r="O78" s="99"/>
      <c r="P78" s="99"/>
      <c r="Q78" s="99"/>
      <c r="R78" s="91"/>
      <c r="S78" s="101"/>
      <c r="T78" s="89"/>
      <c r="U78" s="89">
        <v>850</v>
      </c>
      <c r="V78" s="101"/>
      <c r="W78" s="89">
        <v>170</v>
      </c>
      <c r="X78" s="89">
        <v>465</v>
      </c>
      <c r="Y78" s="89">
        <v>340</v>
      </c>
      <c r="Z78" s="100"/>
      <c r="AA78" s="100"/>
      <c r="AB78" s="97"/>
      <c r="AC78" s="97">
        <v>28</v>
      </c>
      <c r="AD78" s="97"/>
      <c r="AE78" s="97"/>
      <c r="AF78" s="97"/>
      <c r="AG78" s="97">
        <v>44.4</v>
      </c>
      <c r="AH78" s="97"/>
      <c r="AI78" s="97"/>
      <c r="AJ78" s="97"/>
      <c r="AK78" s="97"/>
      <c r="AL78" s="97">
        <f>AVERAGE(52.9,52)</f>
        <v>52.45</v>
      </c>
      <c r="AM78" s="97"/>
      <c r="AN78" s="97"/>
      <c r="AO78" s="97"/>
      <c r="AP78" s="97"/>
      <c r="AQ78" s="97">
        <v>62.9</v>
      </c>
      <c r="AR78" s="97"/>
      <c r="AS78" s="97"/>
      <c r="AT78" s="97"/>
      <c r="AU78" s="97"/>
      <c r="AV78" s="97"/>
      <c r="AW78" s="97"/>
      <c r="AX78" s="97"/>
    </row>
    <row r="79" spans="1:50" x14ac:dyDescent="0.15">
      <c r="A79" s="90">
        <f t="shared" si="1"/>
        <v>78</v>
      </c>
      <c r="B79" s="87" t="s">
        <v>1</v>
      </c>
      <c r="C79" s="89">
        <v>345</v>
      </c>
      <c r="D79" s="89"/>
      <c r="E79" s="89"/>
      <c r="F79" s="89"/>
      <c r="G79" s="89"/>
      <c r="H79" s="89">
        <v>170</v>
      </c>
      <c r="I79" s="89"/>
      <c r="J79" s="99"/>
      <c r="K79" s="99">
        <v>2.4</v>
      </c>
      <c r="L79" s="99"/>
      <c r="M79" s="99"/>
      <c r="N79" s="99"/>
      <c r="O79" s="99"/>
      <c r="P79" s="99"/>
      <c r="Q79" s="99"/>
      <c r="R79" s="91"/>
      <c r="S79" s="101"/>
      <c r="T79" s="89"/>
      <c r="U79" s="89">
        <v>850</v>
      </c>
      <c r="V79" s="101"/>
      <c r="W79" s="89">
        <v>170</v>
      </c>
      <c r="X79" s="89">
        <v>465</v>
      </c>
      <c r="Y79" s="89">
        <v>340</v>
      </c>
      <c r="Z79" s="100"/>
      <c r="AA79" s="100"/>
      <c r="AB79" s="97"/>
      <c r="AC79" s="97">
        <v>25</v>
      </c>
      <c r="AD79" s="97"/>
      <c r="AE79" s="97"/>
      <c r="AF79" s="97"/>
      <c r="AG79" s="97">
        <v>39</v>
      </c>
      <c r="AH79" s="97"/>
      <c r="AI79" s="97"/>
      <c r="AJ79" s="97"/>
      <c r="AK79" s="97"/>
      <c r="AL79" s="97">
        <f>AVERAGE(46.9,47.1)</f>
        <v>47</v>
      </c>
      <c r="AM79" s="97"/>
      <c r="AN79" s="97"/>
      <c r="AO79" s="97"/>
      <c r="AP79" s="97"/>
      <c r="AQ79" s="97">
        <v>55.8</v>
      </c>
      <c r="AR79" s="97"/>
      <c r="AS79" s="97"/>
      <c r="AT79" s="97"/>
      <c r="AU79" s="97"/>
      <c r="AV79" s="97"/>
      <c r="AW79" s="97"/>
      <c r="AX79" s="97"/>
    </row>
    <row r="80" spans="1:50" x14ac:dyDescent="0.15">
      <c r="A80" s="90">
        <f t="shared" si="1"/>
        <v>79</v>
      </c>
      <c r="B80" s="87" t="s">
        <v>1</v>
      </c>
      <c r="C80" s="89">
        <v>340</v>
      </c>
      <c r="D80" s="89">
        <v>50</v>
      </c>
      <c r="E80" s="89"/>
      <c r="F80" s="89"/>
      <c r="G80" s="89"/>
      <c r="H80" s="89">
        <v>160</v>
      </c>
      <c r="I80" s="89"/>
      <c r="J80" s="99"/>
      <c r="K80" s="99">
        <v>2.8</v>
      </c>
      <c r="L80" s="99"/>
      <c r="M80" s="99"/>
      <c r="N80" s="99"/>
      <c r="O80" s="99"/>
      <c r="P80" s="99"/>
      <c r="Q80" s="99"/>
      <c r="R80" s="91"/>
      <c r="S80" s="101"/>
      <c r="T80" s="89">
        <v>200</v>
      </c>
      <c r="U80" s="89">
        <v>670</v>
      </c>
      <c r="V80" s="101"/>
      <c r="W80" s="89">
        <v>350</v>
      </c>
      <c r="X80" s="89">
        <v>560</v>
      </c>
      <c r="Y80" s="89"/>
      <c r="Z80" s="100"/>
      <c r="AA80" s="100"/>
      <c r="AB80" s="97">
        <v>5.4</v>
      </c>
      <c r="AC80" s="97">
        <v>21</v>
      </c>
      <c r="AD80" s="97"/>
      <c r="AE80" s="97"/>
      <c r="AF80" s="97"/>
      <c r="AG80" s="97">
        <v>34</v>
      </c>
      <c r="AH80" s="97"/>
      <c r="AI80" s="97"/>
      <c r="AJ80" s="97"/>
      <c r="AK80" s="97"/>
      <c r="AL80" s="97">
        <v>43</v>
      </c>
      <c r="AM80" s="97"/>
      <c r="AN80" s="97"/>
      <c r="AO80" s="97"/>
      <c r="AP80" s="97"/>
      <c r="AQ80" s="97">
        <v>53.2</v>
      </c>
      <c r="AR80" s="97"/>
      <c r="AS80" s="97"/>
      <c r="AT80" s="97"/>
      <c r="AU80" s="97"/>
      <c r="AV80" s="97"/>
      <c r="AW80" s="97"/>
      <c r="AX80" s="97"/>
    </row>
    <row r="81" spans="1:50" x14ac:dyDescent="0.15">
      <c r="A81" s="90">
        <f t="shared" si="1"/>
        <v>80</v>
      </c>
      <c r="B81" s="87" t="s">
        <v>1</v>
      </c>
      <c r="C81" s="89">
        <v>340</v>
      </c>
      <c r="D81" s="89"/>
      <c r="E81" s="89"/>
      <c r="F81" s="89"/>
      <c r="G81" s="89"/>
      <c r="H81" s="89">
        <v>180</v>
      </c>
      <c r="I81" s="89"/>
      <c r="J81" s="99"/>
      <c r="K81" s="99">
        <v>3</v>
      </c>
      <c r="L81" s="99">
        <v>0.28999999999999998</v>
      </c>
      <c r="M81" s="99"/>
      <c r="N81" s="99"/>
      <c r="O81" s="99"/>
      <c r="P81" s="99"/>
      <c r="Q81" s="99"/>
      <c r="R81" s="91"/>
      <c r="S81" s="101"/>
      <c r="T81" s="89"/>
      <c r="U81" s="89">
        <v>860</v>
      </c>
      <c r="V81" s="101"/>
      <c r="W81" s="89">
        <v>150</v>
      </c>
      <c r="X81" s="89">
        <v>300</v>
      </c>
      <c r="Y81" s="89">
        <v>400</v>
      </c>
      <c r="Z81" s="100"/>
      <c r="AA81" s="100"/>
      <c r="AB81" s="97"/>
      <c r="AC81" s="97">
        <f>AVERAGE(25.1,23.7,24.7)</f>
        <v>24.5</v>
      </c>
      <c r="AD81" s="97"/>
      <c r="AE81" s="97"/>
      <c r="AF81" s="97"/>
      <c r="AG81" s="97">
        <f>AVERAGE(34.1,34.9,34.4)</f>
        <v>34.466666666666669</v>
      </c>
      <c r="AH81" s="97"/>
      <c r="AI81" s="97"/>
      <c r="AJ81" s="97"/>
      <c r="AK81" s="97"/>
      <c r="AL81" s="97">
        <f>AVERAGE(43,39.8,43.2)</f>
        <v>42</v>
      </c>
      <c r="AM81" s="97"/>
      <c r="AN81" s="97"/>
      <c r="AO81" s="97"/>
      <c r="AP81" s="97"/>
      <c r="AQ81" s="97">
        <f>AVERAGE(50,50.4,49.9)</f>
        <v>50.1</v>
      </c>
      <c r="AR81" s="97"/>
      <c r="AS81" s="97"/>
      <c r="AT81" s="97"/>
      <c r="AU81" s="97"/>
      <c r="AV81" s="97"/>
      <c r="AW81" s="97"/>
      <c r="AX81" s="97"/>
    </row>
    <row r="82" spans="1:50" x14ac:dyDescent="0.15">
      <c r="A82" s="90">
        <f t="shared" si="1"/>
        <v>81</v>
      </c>
      <c r="B82" s="87" t="s">
        <v>1</v>
      </c>
      <c r="C82" s="89">
        <v>330</v>
      </c>
      <c r="D82" s="89">
        <v>20</v>
      </c>
      <c r="E82" s="89"/>
      <c r="F82" s="89"/>
      <c r="G82" s="89"/>
      <c r="H82" s="89"/>
      <c r="I82" s="89">
        <v>180</v>
      </c>
      <c r="J82" s="99">
        <v>2.2999999999999998</v>
      </c>
      <c r="K82" s="99"/>
      <c r="L82" s="99"/>
      <c r="M82" s="99"/>
      <c r="N82" s="99"/>
      <c r="O82" s="99"/>
      <c r="P82" s="99"/>
      <c r="Q82" s="99"/>
      <c r="R82" s="91"/>
      <c r="S82" s="101"/>
      <c r="T82" s="89"/>
      <c r="U82" s="89">
        <v>950</v>
      </c>
      <c r="V82" s="101"/>
      <c r="W82" s="89"/>
      <c r="X82" s="89">
        <v>480</v>
      </c>
      <c r="Y82" s="89">
        <v>380</v>
      </c>
      <c r="Z82" s="100"/>
      <c r="AA82" s="100"/>
      <c r="AB82" s="97">
        <v>2.4</v>
      </c>
      <c r="AC82" s="97"/>
      <c r="AD82" s="97">
        <v>22.5</v>
      </c>
      <c r="AE82" s="97"/>
      <c r="AF82" s="97"/>
      <c r="AG82" s="97">
        <v>33.6</v>
      </c>
      <c r="AH82" s="97"/>
      <c r="AI82" s="97"/>
      <c r="AJ82" s="97"/>
      <c r="AK82" s="97"/>
      <c r="AL82" s="97">
        <v>42.2</v>
      </c>
      <c r="AM82" s="97"/>
      <c r="AN82" s="97"/>
      <c r="AO82" s="97"/>
      <c r="AP82" s="97"/>
      <c r="AQ82" s="97">
        <v>51.7</v>
      </c>
      <c r="AR82" s="97"/>
      <c r="AS82" s="97"/>
      <c r="AT82" s="97"/>
      <c r="AU82" s="97"/>
      <c r="AV82" s="97"/>
      <c r="AW82" s="97"/>
      <c r="AX82" s="97"/>
    </row>
    <row r="83" spans="1:50" x14ac:dyDescent="0.15">
      <c r="A83" s="90">
        <f t="shared" si="1"/>
        <v>82</v>
      </c>
      <c r="B83" s="87" t="s">
        <v>1</v>
      </c>
      <c r="C83" s="89">
        <v>330</v>
      </c>
      <c r="D83" s="89">
        <v>20</v>
      </c>
      <c r="E83" s="89"/>
      <c r="F83" s="89"/>
      <c r="G83" s="89"/>
      <c r="H83" s="89"/>
      <c r="I83" s="89">
        <v>180</v>
      </c>
      <c r="J83" s="99">
        <v>2.2999999999999998</v>
      </c>
      <c r="K83" s="99"/>
      <c r="L83" s="99"/>
      <c r="M83" s="99"/>
      <c r="N83" s="99"/>
      <c r="O83" s="99"/>
      <c r="P83" s="99"/>
      <c r="Q83" s="99"/>
      <c r="R83" s="91"/>
      <c r="S83" s="101"/>
      <c r="T83" s="89"/>
      <c r="U83" s="89">
        <v>950</v>
      </c>
      <c r="V83" s="101"/>
      <c r="W83" s="89"/>
      <c r="X83" s="89">
        <v>480</v>
      </c>
      <c r="Y83" s="89">
        <v>380</v>
      </c>
      <c r="Z83" s="100"/>
      <c r="AA83" s="100"/>
      <c r="AB83" s="97">
        <v>1.5</v>
      </c>
      <c r="AC83" s="97"/>
      <c r="AD83" s="97">
        <v>18</v>
      </c>
      <c r="AE83" s="97"/>
      <c r="AF83" s="97"/>
      <c r="AG83" s="97">
        <v>28.4</v>
      </c>
      <c r="AH83" s="97"/>
      <c r="AI83" s="97"/>
      <c r="AJ83" s="97"/>
      <c r="AK83" s="97"/>
      <c r="AL83" s="97">
        <v>34.799999999999997</v>
      </c>
      <c r="AM83" s="97"/>
      <c r="AN83" s="97"/>
      <c r="AO83" s="97"/>
      <c r="AP83" s="97"/>
      <c r="AQ83" s="97">
        <v>46.3</v>
      </c>
      <c r="AR83" s="97"/>
      <c r="AS83" s="97"/>
      <c r="AT83" s="97"/>
      <c r="AU83" s="97"/>
      <c r="AV83" s="97"/>
      <c r="AW83" s="97"/>
      <c r="AX83" s="97"/>
    </row>
    <row r="84" spans="1:50" x14ac:dyDescent="0.15">
      <c r="A84" s="90">
        <f t="shared" si="1"/>
        <v>83</v>
      </c>
      <c r="B84" s="87" t="s">
        <v>1</v>
      </c>
      <c r="C84" s="89">
        <v>330</v>
      </c>
      <c r="D84" s="89"/>
      <c r="E84" s="89"/>
      <c r="F84" s="89"/>
      <c r="G84" s="89"/>
      <c r="H84" s="89">
        <v>130</v>
      </c>
      <c r="I84" s="89">
        <v>50</v>
      </c>
      <c r="J84" s="99">
        <v>2.1</v>
      </c>
      <c r="K84" s="99"/>
      <c r="L84" s="99"/>
      <c r="M84" s="99"/>
      <c r="N84" s="99"/>
      <c r="O84" s="99"/>
      <c r="P84" s="99"/>
      <c r="Q84" s="99"/>
      <c r="R84" s="91"/>
      <c r="S84" s="101"/>
      <c r="T84" s="89"/>
      <c r="U84" s="89">
        <v>925</v>
      </c>
      <c r="V84" s="101"/>
      <c r="W84" s="89">
        <v>180</v>
      </c>
      <c r="X84" s="89">
        <v>800</v>
      </c>
      <c r="Y84" s="89"/>
      <c r="Z84" s="100"/>
      <c r="AA84" s="100"/>
      <c r="AB84" s="97"/>
      <c r="AC84" s="97">
        <f>AVERAGE(16.5,17.1,16.9)</f>
        <v>16.833333333333332</v>
      </c>
      <c r="AD84" s="97"/>
      <c r="AE84" s="97"/>
      <c r="AF84" s="97"/>
      <c r="AG84" s="97">
        <f>AVERAGE(28.1,28.5,27.3)</f>
        <v>27.966666666666669</v>
      </c>
      <c r="AH84" s="97"/>
      <c r="AI84" s="97"/>
      <c r="AJ84" s="97"/>
      <c r="AK84" s="97"/>
      <c r="AL84" s="97">
        <f>AVERAGE(36,35.9,35.3)</f>
        <v>35.733333333333334</v>
      </c>
      <c r="AM84" s="97"/>
      <c r="AN84" s="97"/>
      <c r="AO84" s="97"/>
      <c r="AP84" s="97"/>
      <c r="AQ84" s="97">
        <v>46.7</v>
      </c>
      <c r="AR84" s="97"/>
      <c r="AS84" s="97"/>
      <c r="AT84" s="97"/>
      <c r="AU84" s="97"/>
      <c r="AV84" s="97"/>
      <c r="AW84" s="97"/>
      <c r="AX84" s="97"/>
    </row>
    <row r="85" spans="1:50" x14ac:dyDescent="0.15">
      <c r="A85" s="90">
        <f t="shared" si="1"/>
        <v>84</v>
      </c>
      <c r="B85" s="87" t="s">
        <v>1</v>
      </c>
      <c r="C85" s="89">
        <v>330</v>
      </c>
      <c r="D85" s="89">
        <v>50</v>
      </c>
      <c r="E85" s="89">
        <v>150</v>
      </c>
      <c r="F85" s="89"/>
      <c r="G85" s="89"/>
      <c r="H85" s="89">
        <v>195</v>
      </c>
      <c r="I85" s="89"/>
      <c r="J85" s="99"/>
      <c r="K85" s="99">
        <v>2.5</v>
      </c>
      <c r="L85" s="99"/>
      <c r="M85" s="99"/>
      <c r="N85" s="99"/>
      <c r="O85" s="99"/>
      <c r="P85" s="99"/>
      <c r="Q85" s="99"/>
      <c r="R85" s="91"/>
      <c r="S85" s="101"/>
      <c r="T85" s="89"/>
      <c r="U85" s="89">
        <v>830</v>
      </c>
      <c r="V85" s="101"/>
      <c r="W85" s="89">
        <v>300</v>
      </c>
      <c r="X85" s="89">
        <v>470</v>
      </c>
      <c r="Y85" s="89"/>
      <c r="Z85" s="100"/>
      <c r="AA85" s="100"/>
      <c r="AB85" s="97">
        <v>6.2</v>
      </c>
      <c r="AC85" s="97">
        <v>21</v>
      </c>
      <c r="AD85" s="97"/>
      <c r="AE85" s="97"/>
      <c r="AF85" s="97"/>
      <c r="AG85" s="97">
        <v>37.6</v>
      </c>
      <c r="AH85" s="97"/>
      <c r="AI85" s="97"/>
      <c r="AJ85" s="97"/>
      <c r="AK85" s="97"/>
      <c r="AL85" s="97">
        <v>46.8</v>
      </c>
      <c r="AM85" s="97"/>
      <c r="AN85" s="97"/>
      <c r="AO85" s="97"/>
      <c r="AP85" s="97"/>
      <c r="AQ85" s="97">
        <v>62.6</v>
      </c>
      <c r="AR85" s="97"/>
      <c r="AS85" s="97"/>
      <c r="AT85" s="97"/>
      <c r="AU85" s="97"/>
      <c r="AV85" s="97"/>
      <c r="AW85" s="97"/>
      <c r="AX85" s="97"/>
    </row>
    <row r="86" spans="1:50" x14ac:dyDescent="0.15">
      <c r="A86" s="90">
        <f t="shared" si="1"/>
        <v>85</v>
      </c>
      <c r="B86" s="87" t="s">
        <v>1</v>
      </c>
      <c r="C86" s="89">
        <v>330</v>
      </c>
      <c r="D86" s="89">
        <v>70</v>
      </c>
      <c r="E86" s="89"/>
      <c r="F86" s="89"/>
      <c r="G86" s="89"/>
      <c r="H86" s="89">
        <v>180</v>
      </c>
      <c r="I86" s="89"/>
      <c r="J86" s="99">
        <v>3</v>
      </c>
      <c r="K86" s="99"/>
      <c r="L86" s="99"/>
      <c r="M86" s="99"/>
      <c r="N86" s="99"/>
      <c r="O86" s="99"/>
      <c r="P86" s="99"/>
      <c r="Q86" s="99"/>
      <c r="R86" s="91"/>
      <c r="S86" s="101"/>
      <c r="T86" s="89"/>
      <c r="U86" s="89">
        <v>950</v>
      </c>
      <c r="V86" s="101"/>
      <c r="W86" s="89"/>
      <c r="X86" s="89">
        <v>400</v>
      </c>
      <c r="Y86" s="89">
        <v>410</v>
      </c>
      <c r="Z86" s="100"/>
      <c r="AA86" s="100"/>
      <c r="AB86" s="97"/>
      <c r="AC86" s="97">
        <f>AVERAGE(15.2,15.3,16.8)</f>
        <v>15.766666666666666</v>
      </c>
      <c r="AD86" s="97"/>
      <c r="AE86" s="97"/>
      <c r="AF86" s="97"/>
      <c r="AG86" s="97"/>
      <c r="AH86" s="97">
        <f>AVERAGE(18,23.3,24.6)</f>
        <v>21.966666666666669</v>
      </c>
      <c r="AI86" s="97"/>
      <c r="AJ86" s="97"/>
      <c r="AK86" s="97"/>
      <c r="AL86" s="97">
        <f>AVERAGE(32.9,33.9,33.5)</f>
        <v>33.43333333333333</v>
      </c>
      <c r="AM86" s="97"/>
      <c r="AN86" s="97"/>
      <c r="AO86" s="97"/>
      <c r="AP86" s="97"/>
      <c r="AQ86" s="97">
        <f>AVERAGE(43.1,42.4,41.6)</f>
        <v>42.366666666666667</v>
      </c>
      <c r="AR86" s="97"/>
      <c r="AS86" s="97"/>
      <c r="AT86" s="97"/>
      <c r="AU86" s="97"/>
      <c r="AV86" s="97"/>
      <c r="AW86" s="97"/>
      <c r="AX86" s="97"/>
    </row>
    <row r="87" spans="1:50" x14ac:dyDescent="0.15">
      <c r="A87" s="90">
        <f t="shared" si="1"/>
        <v>86</v>
      </c>
      <c r="B87" s="87" t="s">
        <v>1</v>
      </c>
      <c r="C87" s="89">
        <v>330</v>
      </c>
      <c r="D87" s="89">
        <v>30</v>
      </c>
      <c r="E87" s="89"/>
      <c r="F87" s="89"/>
      <c r="G87" s="89"/>
      <c r="H87" s="89">
        <v>175</v>
      </c>
      <c r="I87" s="89"/>
      <c r="J87" s="99">
        <v>1.5</v>
      </c>
      <c r="K87" s="99">
        <v>2</v>
      </c>
      <c r="L87" s="99"/>
      <c r="M87" s="99"/>
      <c r="N87" s="99"/>
      <c r="O87" s="99"/>
      <c r="P87" s="99"/>
      <c r="Q87" s="99"/>
      <c r="R87" s="91"/>
      <c r="S87" s="101"/>
      <c r="T87" s="89"/>
      <c r="U87" s="89">
        <v>910</v>
      </c>
      <c r="V87" s="101"/>
      <c r="W87" s="89">
        <v>100</v>
      </c>
      <c r="X87" s="89">
        <v>360</v>
      </c>
      <c r="Y87" s="89">
        <v>410</v>
      </c>
      <c r="Z87" s="100"/>
      <c r="AA87" s="100"/>
      <c r="AB87" s="97"/>
      <c r="AC87" s="97">
        <f>AVERAGE(18.9,19.4,17.1)</f>
        <v>18.466666666666665</v>
      </c>
      <c r="AD87" s="97"/>
      <c r="AE87" s="97"/>
      <c r="AF87" s="97"/>
      <c r="AG87" s="97"/>
      <c r="AH87" s="97">
        <f>AVERAGE(29.3,29.8,29.7)</f>
        <v>29.599999999999998</v>
      </c>
      <c r="AI87" s="97"/>
      <c r="AJ87" s="97"/>
      <c r="AK87" s="97"/>
      <c r="AL87" s="97">
        <f>AVERAGE(37.5,38.3,37.7)</f>
        <v>37.833333333333336</v>
      </c>
      <c r="AM87" s="97"/>
      <c r="AN87" s="97"/>
      <c r="AO87" s="97"/>
      <c r="AP87" s="97"/>
      <c r="AQ87" s="97">
        <f>AVERAGE(47.6,47.6,47.6)</f>
        <v>47.6</v>
      </c>
      <c r="AR87" s="97"/>
      <c r="AS87" s="97"/>
      <c r="AT87" s="97"/>
      <c r="AU87" s="97"/>
      <c r="AV87" s="97"/>
      <c r="AW87" s="97"/>
      <c r="AX87" s="97"/>
    </row>
    <row r="88" spans="1:50" x14ac:dyDescent="0.15">
      <c r="A88" s="90">
        <f t="shared" si="1"/>
        <v>87</v>
      </c>
      <c r="B88" s="87" t="s">
        <v>1</v>
      </c>
      <c r="C88" s="89">
        <v>320</v>
      </c>
      <c r="D88" s="89"/>
      <c r="E88" s="89"/>
      <c r="F88" s="89"/>
      <c r="G88" s="89"/>
      <c r="H88" s="89">
        <v>180</v>
      </c>
      <c r="I88" s="89"/>
      <c r="J88" s="99"/>
      <c r="K88" s="99">
        <v>2.2000000000000002</v>
      </c>
      <c r="L88" s="99"/>
      <c r="M88" s="99"/>
      <c r="N88" s="99"/>
      <c r="O88" s="99"/>
      <c r="P88" s="99"/>
      <c r="Q88" s="99"/>
      <c r="R88" s="91"/>
      <c r="S88" s="101"/>
      <c r="T88" s="89"/>
      <c r="U88" s="89">
        <v>1050</v>
      </c>
      <c r="V88" s="101"/>
      <c r="W88" s="89"/>
      <c r="X88" s="89">
        <v>850</v>
      </c>
      <c r="Y88" s="89"/>
      <c r="Z88" s="100"/>
      <c r="AA88" s="100"/>
      <c r="AB88" s="97"/>
      <c r="AC88" s="97">
        <f>AVERAGE(15.7,14.1)</f>
        <v>14.899999999999999</v>
      </c>
      <c r="AD88" s="97"/>
      <c r="AE88" s="97"/>
      <c r="AF88" s="97"/>
      <c r="AG88" s="97">
        <f>AVERAGE(28.9,26.7)</f>
        <v>27.799999999999997</v>
      </c>
      <c r="AH88" s="97"/>
      <c r="AI88" s="97"/>
      <c r="AJ88" s="97"/>
      <c r="AK88" s="97"/>
      <c r="AL88" s="97">
        <f>AVERAGE(44.3,45.7)</f>
        <v>45</v>
      </c>
      <c r="AM88" s="97"/>
      <c r="AN88" s="97"/>
      <c r="AO88" s="97"/>
      <c r="AP88" s="97"/>
      <c r="AQ88" s="97">
        <f>AVERAGE(59.1,54.9)</f>
        <v>57</v>
      </c>
      <c r="AR88" s="87"/>
      <c r="AS88" s="87"/>
      <c r="AT88" s="87"/>
      <c r="AU88" s="87"/>
      <c r="AV88" s="87"/>
      <c r="AW88" s="87"/>
      <c r="AX88" s="87"/>
    </row>
    <row r="89" spans="1:50" x14ac:dyDescent="0.15">
      <c r="A89" s="90">
        <f t="shared" si="1"/>
        <v>88</v>
      </c>
      <c r="B89" s="87" t="s">
        <v>1</v>
      </c>
      <c r="C89" s="89">
        <v>320</v>
      </c>
      <c r="D89" s="89"/>
      <c r="E89" s="89"/>
      <c r="F89" s="89"/>
      <c r="G89" s="89"/>
      <c r="H89" s="89">
        <v>90</v>
      </c>
      <c r="I89" s="89">
        <v>80</v>
      </c>
      <c r="J89" s="99">
        <v>1.9</v>
      </c>
      <c r="K89" s="99"/>
      <c r="L89" s="99"/>
      <c r="M89" s="99"/>
      <c r="N89" s="99"/>
      <c r="O89" s="99"/>
      <c r="P89" s="99"/>
      <c r="Q89" s="99"/>
      <c r="R89" s="91"/>
      <c r="S89" s="101"/>
      <c r="T89" s="89"/>
      <c r="U89" s="89">
        <v>900</v>
      </c>
      <c r="V89" s="101"/>
      <c r="W89" s="89"/>
      <c r="X89" s="89">
        <v>480</v>
      </c>
      <c r="Y89" s="89">
        <v>520</v>
      </c>
      <c r="Z89" s="100"/>
      <c r="AA89" s="100"/>
      <c r="AB89" s="97"/>
      <c r="AC89" s="97">
        <v>14.8</v>
      </c>
      <c r="AD89" s="97">
        <v>16.8</v>
      </c>
      <c r="AE89" s="97"/>
      <c r="AF89" s="97"/>
      <c r="AG89" s="97">
        <v>27.9</v>
      </c>
      <c r="AH89" s="97"/>
      <c r="AI89" s="97"/>
      <c r="AJ89" s="97"/>
      <c r="AK89" s="97"/>
      <c r="AL89" s="97">
        <f>AVERAGE(32.9,33.2,33)</f>
        <v>33.033333333333331</v>
      </c>
      <c r="AM89" s="97"/>
      <c r="AN89" s="97"/>
      <c r="AO89" s="97"/>
      <c r="AP89" s="97"/>
      <c r="AQ89" s="97">
        <v>40.200000000000003</v>
      </c>
      <c r="AR89" s="97"/>
      <c r="AS89" s="97"/>
      <c r="AT89" s="97"/>
      <c r="AU89" s="97"/>
      <c r="AV89" s="97"/>
      <c r="AW89" s="97"/>
      <c r="AX89" s="97"/>
    </row>
    <row r="90" spans="1:50" x14ac:dyDescent="0.15">
      <c r="A90" s="90">
        <f t="shared" si="1"/>
        <v>89</v>
      </c>
      <c r="B90" s="87" t="s">
        <v>1</v>
      </c>
      <c r="C90" s="89">
        <v>320</v>
      </c>
      <c r="D90" s="89"/>
      <c r="E90" s="89"/>
      <c r="F90" s="89"/>
      <c r="G90" s="89"/>
      <c r="H90" s="89">
        <v>90</v>
      </c>
      <c r="I90" s="89">
        <v>80</v>
      </c>
      <c r="J90" s="99">
        <v>1.9</v>
      </c>
      <c r="K90" s="99"/>
      <c r="L90" s="99"/>
      <c r="M90" s="99"/>
      <c r="N90" s="99"/>
      <c r="O90" s="99"/>
      <c r="P90" s="99"/>
      <c r="Q90" s="99"/>
      <c r="R90" s="91"/>
      <c r="S90" s="101"/>
      <c r="T90" s="89"/>
      <c r="U90" s="89">
        <v>900</v>
      </c>
      <c r="V90" s="101"/>
      <c r="W90" s="89"/>
      <c r="X90" s="89">
        <v>480</v>
      </c>
      <c r="Y90" s="89">
        <v>520</v>
      </c>
      <c r="Z90" s="100">
        <v>1</v>
      </c>
      <c r="AA90" s="100"/>
      <c r="AB90" s="97"/>
      <c r="AC90" s="97">
        <v>12.9</v>
      </c>
      <c r="AD90" s="97">
        <v>17.600000000000001</v>
      </c>
      <c r="AE90" s="97"/>
      <c r="AF90" s="97"/>
      <c r="AG90" s="97">
        <v>23.2</v>
      </c>
      <c r="AH90" s="97"/>
      <c r="AI90" s="97"/>
      <c r="AJ90" s="97"/>
      <c r="AK90" s="97"/>
      <c r="AL90" s="97">
        <f>AVERAGE(29.4,31.3,29.1)</f>
        <v>29.933333333333337</v>
      </c>
      <c r="AM90" s="97"/>
      <c r="AN90" s="97"/>
      <c r="AO90" s="97"/>
      <c r="AP90" s="97"/>
      <c r="AQ90" s="97">
        <v>31.7</v>
      </c>
      <c r="AR90" s="97"/>
      <c r="AS90" s="97"/>
      <c r="AT90" s="97"/>
      <c r="AU90" s="97"/>
      <c r="AV90" s="97"/>
      <c r="AW90" s="97"/>
      <c r="AX90" s="97"/>
    </row>
    <row r="91" spans="1:50" x14ac:dyDescent="0.15">
      <c r="A91" s="90">
        <f t="shared" si="1"/>
        <v>90</v>
      </c>
      <c r="B91" s="87" t="s">
        <v>1</v>
      </c>
      <c r="C91" s="89">
        <v>320</v>
      </c>
      <c r="D91" s="89"/>
      <c r="E91" s="89"/>
      <c r="F91" s="89"/>
      <c r="G91" s="89"/>
      <c r="H91" s="89">
        <v>90</v>
      </c>
      <c r="I91" s="89">
        <v>80</v>
      </c>
      <c r="J91" s="99">
        <v>1.9</v>
      </c>
      <c r="K91" s="99"/>
      <c r="L91" s="99"/>
      <c r="M91" s="99"/>
      <c r="N91" s="99"/>
      <c r="O91" s="99"/>
      <c r="P91" s="99"/>
      <c r="Q91" s="99"/>
      <c r="R91" s="91"/>
      <c r="S91" s="101"/>
      <c r="T91" s="89"/>
      <c r="U91" s="89">
        <v>900</v>
      </c>
      <c r="V91" s="101"/>
      <c r="W91" s="89"/>
      <c r="X91" s="89">
        <v>480</v>
      </c>
      <c r="Y91" s="89">
        <v>520</v>
      </c>
      <c r="Z91" s="100">
        <v>1</v>
      </c>
      <c r="AA91" s="100"/>
      <c r="AB91" s="97"/>
      <c r="AC91" s="97"/>
      <c r="AD91" s="97">
        <v>19.899999999999999</v>
      </c>
      <c r="AE91" s="97"/>
      <c r="AF91" s="97"/>
      <c r="AG91" s="97">
        <f>AVERAGE(26.2,26.2)</f>
        <v>26.2</v>
      </c>
      <c r="AH91" s="97"/>
      <c r="AI91" s="97"/>
      <c r="AJ91" s="97"/>
      <c r="AK91" s="97"/>
      <c r="AL91" s="97">
        <f>AVERAGE(31.9,32.4,31.9)</f>
        <v>32.066666666666663</v>
      </c>
      <c r="AM91" s="97"/>
      <c r="AN91" s="97"/>
      <c r="AO91" s="97"/>
      <c r="AP91" s="97"/>
      <c r="AQ91" s="97">
        <v>39.299999999999997</v>
      </c>
      <c r="AR91" s="97"/>
      <c r="AS91" s="97"/>
      <c r="AT91" s="97"/>
      <c r="AU91" s="97"/>
      <c r="AV91" s="97"/>
      <c r="AW91" s="97"/>
      <c r="AX91" s="97"/>
    </row>
    <row r="92" spans="1:50" x14ac:dyDescent="0.15">
      <c r="A92" s="90">
        <f t="shared" si="1"/>
        <v>91</v>
      </c>
      <c r="B92" s="87" t="s">
        <v>1</v>
      </c>
      <c r="C92" s="89">
        <v>320</v>
      </c>
      <c r="D92" s="89"/>
      <c r="E92" s="89"/>
      <c r="F92" s="89"/>
      <c r="G92" s="89"/>
      <c r="H92" s="89">
        <v>90</v>
      </c>
      <c r="I92" s="89">
        <v>80</v>
      </c>
      <c r="J92" s="99">
        <v>1.9</v>
      </c>
      <c r="K92" s="99"/>
      <c r="L92" s="99"/>
      <c r="M92" s="99"/>
      <c r="N92" s="99"/>
      <c r="O92" s="99"/>
      <c r="P92" s="99"/>
      <c r="Q92" s="99"/>
      <c r="R92" s="91"/>
      <c r="S92" s="101"/>
      <c r="T92" s="89"/>
      <c r="U92" s="89">
        <v>900</v>
      </c>
      <c r="V92" s="101"/>
      <c r="W92" s="89"/>
      <c r="X92" s="89">
        <v>480</v>
      </c>
      <c r="Y92" s="89">
        <v>520</v>
      </c>
      <c r="Z92" s="100">
        <v>1</v>
      </c>
      <c r="AA92" s="100"/>
      <c r="AB92" s="97"/>
      <c r="AC92" s="97">
        <v>16.399999999999999</v>
      </c>
      <c r="AD92" s="97"/>
      <c r="AE92" s="97"/>
      <c r="AF92" s="97"/>
      <c r="AG92" s="97">
        <f>AVERAGE(28.8,27)</f>
        <v>27.9</v>
      </c>
      <c r="AH92" s="97"/>
      <c r="AI92" s="97"/>
      <c r="AJ92" s="97"/>
      <c r="AK92" s="97"/>
      <c r="AL92" s="97">
        <f>AVERAGE(30.9,33,32.7)</f>
        <v>32.199999999999996</v>
      </c>
      <c r="AM92" s="97"/>
      <c r="AN92" s="97"/>
      <c r="AO92" s="97"/>
      <c r="AP92" s="97"/>
      <c r="AQ92" s="97">
        <v>40.4</v>
      </c>
      <c r="AR92" s="97"/>
      <c r="AS92" s="97"/>
      <c r="AT92" s="97"/>
      <c r="AU92" s="97"/>
      <c r="AV92" s="97"/>
      <c r="AW92" s="97"/>
      <c r="AX92" s="97"/>
    </row>
    <row r="93" spans="1:50" x14ac:dyDescent="0.15">
      <c r="A93" s="90">
        <f t="shared" si="1"/>
        <v>92</v>
      </c>
      <c r="B93" s="87" t="s">
        <v>1</v>
      </c>
      <c r="C93" s="89">
        <v>320</v>
      </c>
      <c r="D93" s="89"/>
      <c r="E93" s="89"/>
      <c r="F93" s="89"/>
      <c r="G93" s="89"/>
      <c r="H93" s="89">
        <v>90</v>
      </c>
      <c r="I93" s="89">
        <v>80</v>
      </c>
      <c r="J93" s="99">
        <v>1.9</v>
      </c>
      <c r="K93" s="99"/>
      <c r="L93" s="99"/>
      <c r="M93" s="99"/>
      <c r="N93" s="99"/>
      <c r="O93" s="99"/>
      <c r="P93" s="99"/>
      <c r="Q93" s="99"/>
      <c r="R93" s="91"/>
      <c r="S93" s="101"/>
      <c r="T93" s="89"/>
      <c r="U93" s="89">
        <v>900</v>
      </c>
      <c r="V93" s="101"/>
      <c r="W93" s="89"/>
      <c r="X93" s="89">
        <v>480</v>
      </c>
      <c r="Y93" s="89">
        <v>520</v>
      </c>
      <c r="Z93" s="100"/>
      <c r="AA93" s="100">
        <v>1</v>
      </c>
      <c r="AB93" s="97"/>
      <c r="AC93" s="97">
        <v>18.5</v>
      </c>
      <c r="AD93" s="97">
        <v>22</v>
      </c>
      <c r="AE93" s="97"/>
      <c r="AF93" s="97"/>
      <c r="AG93" s="97">
        <v>28.8</v>
      </c>
      <c r="AH93" s="97"/>
      <c r="AI93" s="97"/>
      <c r="AJ93" s="97"/>
      <c r="AK93" s="97"/>
      <c r="AL93" s="97">
        <f>AVERAGE(36.5,35.4,36)</f>
        <v>35.966666666666669</v>
      </c>
      <c r="AM93" s="97"/>
      <c r="AN93" s="97"/>
      <c r="AO93" s="97"/>
      <c r="AP93" s="97"/>
      <c r="AQ93" s="97">
        <v>41.1</v>
      </c>
      <c r="AR93" s="97"/>
      <c r="AS93" s="97"/>
      <c r="AT93" s="97"/>
      <c r="AU93" s="97"/>
      <c r="AV93" s="97"/>
      <c r="AW93" s="97"/>
      <c r="AX93" s="97"/>
    </row>
    <row r="94" spans="1:50" x14ac:dyDescent="0.15">
      <c r="A94" s="90">
        <f t="shared" si="1"/>
        <v>93</v>
      </c>
      <c r="B94" s="87" t="s">
        <v>1</v>
      </c>
      <c r="C94" s="89">
        <v>315</v>
      </c>
      <c r="D94" s="89"/>
      <c r="E94" s="89">
        <v>35</v>
      </c>
      <c r="F94" s="89"/>
      <c r="G94" s="89"/>
      <c r="H94" s="89">
        <v>180</v>
      </c>
      <c r="I94" s="89"/>
      <c r="J94" s="99"/>
      <c r="K94" s="99">
        <v>3.68</v>
      </c>
      <c r="L94" s="99"/>
      <c r="M94" s="99"/>
      <c r="N94" s="99"/>
      <c r="O94" s="99"/>
      <c r="P94" s="99"/>
      <c r="Q94" s="99"/>
      <c r="R94" s="101"/>
      <c r="S94" s="101"/>
      <c r="T94" s="89"/>
      <c r="U94" s="89">
        <v>910</v>
      </c>
      <c r="V94" s="101"/>
      <c r="W94" s="89">
        <v>160</v>
      </c>
      <c r="X94" s="89">
        <v>605</v>
      </c>
      <c r="Y94" s="89"/>
      <c r="Z94" s="100"/>
      <c r="AA94" s="100"/>
      <c r="AB94" s="97"/>
      <c r="AC94" s="97">
        <f>AVERAGE(21.9,22)</f>
        <v>21.95</v>
      </c>
      <c r="AD94" s="97"/>
      <c r="AE94" s="97"/>
      <c r="AF94" s="97"/>
      <c r="AG94" s="97">
        <f>AVERAGE(32.9,32.7)</f>
        <v>32.799999999999997</v>
      </c>
      <c r="AH94" s="97"/>
      <c r="AI94" s="97"/>
      <c r="AJ94" s="97"/>
      <c r="AK94" s="97"/>
      <c r="AL94" s="97">
        <f>AVERAGE(40,42.1)</f>
        <v>41.05</v>
      </c>
      <c r="AM94" s="97"/>
      <c r="AN94" s="97"/>
      <c r="AO94" s="97"/>
      <c r="AP94" s="97">
        <f>AVERAGE(45.6,46.7)</f>
        <v>46.150000000000006</v>
      </c>
      <c r="AQ94" s="97">
        <f>AVERAGE(44.7,44,46.4,43.7)</f>
        <v>44.7</v>
      </c>
      <c r="AR94" s="87"/>
      <c r="AS94" s="87"/>
      <c r="AT94" s="87"/>
      <c r="AU94" s="87"/>
      <c r="AV94" s="87"/>
      <c r="AW94" s="87"/>
      <c r="AX94" s="87"/>
    </row>
    <row r="95" spans="1:50" x14ac:dyDescent="0.15">
      <c r="A95" s="90">
        <f t="shared" si="1"/>
        <v>94</v>
      </c>
      <c r="B95" s="87" t="s">
        <v>1</v>
      </c>
      <c r="C95" s="89">
        <v>300</v>
      </c>
      <c r="D95" s="89">
        <v>55</v>
      </c>
      <c r="E95" s="89"/>
      <c r="F95" s="89"/>
      <c r="G95" s="89"/>
      <c r="H95" s="89">
        <v>135</v>
      </c>
      <c r="I95" s="89">
        <v>60</v>
      </c>
      <c r="J95" s="99">
        <v>1.5</v>
      </c>
      <c r="K95" s="99">
        <v>1.7</v>
      </c>
      <c r="L95" s="99"/>
      <c r="M95" s="99"/>
      <c r="N95" s="99"/>
      <c r="O95" s="99"/>
      <c r="P95" s="99"/>
      <c r="Q95" s="99"/>
      <c r="R95" s="101"/>
      <c r="S95" s="101"/>
      <c r="T95" s="89"/>
      <c r="U95" s="89">
        <v>920</v>
      </c>
      <c r="V95" s="101"/>
      <c r="W95" s="89">
        <v>415</v>
      </c>
      <c r="X95" s="89">
        <v>420</v>
      </c>
      <c r="Y95" s="89"/>
      <c r="Z95" s="100"/>
      <c r="AA95" s="100"/>
      <c r="AB95" s="97"/>
      <c r="AC95" s="97">
        <f>AVERAGE(24,23.4)</f>
        <v>23.7</v>
      </c>
      <c r="AD95" s="97"/>
      <c r="AE95" s="97"/>
      <c r="AF95" s="97"/>
      <c r="AG95" s="97">
        <f>AVERAGE(36.7,37.5)</f>
        <v>37.1</v>
      </c>
      <c r="AH95" s="97"/>
      <c r="AI95" s="97"/>
      <c r="AJ95" s="97"/>
      <c r="AK95" s="97"/>
      <c r="AL95" s="97">
        <f>AVERAGE(46.5,46.9)</f>
        <v>46.7</v>
      </c>
      <c r="AM95" s="97"/>
      <c r="AN95" s="97"/>
      <c r="AO95" s="97"/>
      <c r="AP95" s="97"/>
      <c r="AQ95" s="97">
        <f>AVERAGE(59.2,55.9)</f>
        <v>57.55</v>
      </c>
      <c r="AR95" s="87"/>
      <c r="AS95" s="87"/>
      <c r="AT95" s="87"/>
      <c r="AU95" s="87"/>
      <c r="AV95" s="87"/>
      <c r="AW95" s="87"/>
      <c r="AX95" s="87"/>
    </row>
    <row r="96" spans="1:50" x14ac:dyDescent="0.15">
      <c r="A96" s="90">
        <f t="shared" si="1"/>
        <v>95</v>
      </c>
      <c r="B96" s="87" t="s">
        <v>1</v>
      </c>
      <c r="C96" s="89">
        <v>300</v>
      </c>
      <c r="D96" s="89">
        <v>50</v>
      </c>
      <c r="E96" s="89"/>
      <c r="F96" s="89"/>
      <c r="G96" s="89"/>
      <c r="H96" s="89">
        <v>190</v>
      </c>
      <c r="I96" s="89"/>
      <c r="J96" s="99">
        <v>1.8</v>
      </c>
      <c r="K96" s="99">
        <v>1.8</v>
      </c>
      <c r="L96" s="99"/>
      <c r="M96" s="99"/>
      <c r="N96" s="99"/>
      <c r="O96" s="99"/>
      <c r="P96" s="99"/>
      <c r="Q96" s="99"/>
      <c r="R96" s="101"/>
      <c r="S96" s="101"/>
      <c r="T96" s="89"/>
      <c r="U96" s="89">
        <v>930</v>
      </c>
      <c r="V96" s="101"/>
      <c r="W96" s="89"/>
      <c r="X96" s="89">
        <v>400</v>
      </c>
      <c r="Y96" s="89">
        <v>410</v>
      </c>
      <c r="Z96" s="100"/>
      <c r="AA96" s="100"/>
      <c r="AB96" s="97"/>
      <c r="AC96" s="97">
        <f>AVERAGE(16,16.7,16.5)</f>
        <v>16.400000000000002</v>
      </c>
      <c r="AD96" s="97"/>
      <c r="AE96" s="97"/>
      <c r="AF96" s="97"/>
      <c r="AG96" s="97">
        <f>AVERAGE(23.8,25.2,24.1)</f>
        <v>24.366666666666664</v>
      </c>
      <c r="AH96" s="97"/>
      <c r="AI96" s="97"/>
      <c r="AJ96" s="97"/>
      <c r="AK96" s="97"/>
      <c r="AL96" s="97">
        <f>AVERAGE(35.7,34.7,35.5)</f>
        <v>35.300000000000004</v>
      </c>
      <c r="AM96" s="97"/>
      <c r="AN96" s="97"/>
      <c r="AO96" s="97"/>
      <c r="AP96" s="97"/>
      <c r="AQ96" s="97">
        <f>AVERAGE(42.6,43.9,42.6)</f>
        <v>43.033333333333331</v>
      </c>
      <c r="AR96" s="97"/>
      <c r="AS96" s="97"/>
      <c r="AT96" s="97"/>
      <c r="AU96" s="97"/>
      <c r="AV96" s="97"/>
      <c r="AW96" s="97"/>
      <c r="AX96" s="97"/>
    </row>
    <row r="97" spans="1:64" x14ac:dyDescent="0.15">
      <c r="A97" s="90">
        <f t="shared" si="1"/>
        <v>96</v>
      </c>
      <c r="B97" s="87" t="s">
        <v>1</v>
      </c>
      <c r="C97" s="89">
        <v>290</v>
      </c>
      <c r="D97" s="89">
        <v>85</v>
      </c>
      <c r="E97" s="89"/>
      <c r="F97" s="89"/>
      <c r="G97" s="89"/>
      <c r="H97" s="89">
        <v>185</v>
      </c>
      <c r="I97" s="89"/>
      <c r="J97" s="99">
        <v>1.5</v>
      </c>
      <c r="K97" s="99">
        <v>1.75</v>
      </c>
      <c r="L97" s="99"/>
      <c r="M97" s="99">
        <v>0.4</v>
      </c>
      <c r="N97" s="99"/>
      <c r="O97" s="99"/>
      <c r="P97" s="99"/>
      <c r="Q97" s="99"/>
      <c r="R97" s="101"/>
      <c r="S97" s="101"/>
      <c r="T97" s="89"/>
      <c r="U97" s="89">
        <v>950</v>
      </c>
      <c r="V97" s="101"/>
      <c r="W97" s="89"/>
      <c r="X97" s="89">
        <v>420</v>
      </c>
      <c r="Y97" s="89">
        <v>360</v>
      </c>
      <c r="Z97" s="100"/>
      <c r="AA97" s="100"/>
      <c r="AB97" s="97">
        <v>19.100000000000001</v>
      </c>
      <c r="AC97" s="97">
        <f>AVERAGE(26.2,23.2,24.2)</f>
        <v>24.533333333333331</v>
      </c>
      <c r="AD97" s="97"/>
      <c r="AE97" s="97"/>
      <c r="AF97" s="97"/>
      <c r="AG97" s="97">
        <v>29.2</v>
      </c>
      <c r="AH97" s="97"/>
      <c r="AI97" s="97"/>
      <c r="AJ97" s="97"/>
      <c r="AK97" s="97"/>
      <c r="AL97" s="97">
        <v>39.6</v>
      </c>
      <c r="AM97" s="97"/>
      <c r="AN97" s="97"/>
      <c r="AO97" s="97"/>
      <c r="AP97" s="97"/>
      <c r="AQ97" s="97">
        <v>44.9</v>
      </c>
      <c r="AR97" s="87"/>
      <c r="AS97" s="87"/>
      <c r="AT97" s="87"/>
      <c r="AU97" s="87"/>
      <c r="AV97" s="87"/>
      <c r="AW97" s="87"/>
      <c r="AX97" s="87"/>
    </row>
    <row r="98" spans="1:64" x14ac:dyDescent="0.15">
      <c r="A98" s="90">
        <f t="shared" si="1"/>
        <v>97</v>
      </c>
      <c r="B98" s="87" t="s">
        <v>1</v>
      </c>
      <c r="C98" s="89">
        <v>290</v>
      </c>
      <c r="D98" s="89"/>
      <c r="E98" s="89">
        <v>70</v>
      </c>
      <c r="F98" s="89"/>
      <c r="G98" s="89"/>
      <c r="H98" s="89">
        <v>180</v>
      </c>
      <c r="I98" s="89"/>
      <c r="J98" s="99"/>
      <c r="K98" s="99">
        <v>4.9000000000000004</v>
      </c>
      <c r="L98" s="99"/>
      <c r="M98" s="99"/>
      <c r="N98" s="99"/>
      <c r="O98" s="99"/>
      <c r="P98" s="99"/>
      <c r="Q98" s="99"/>
      <c r="R98" s="101"/>
      <c r="S98" s="101"/>
      <c r="T98" s="89"/>
      <c r="U98" s="89">
        <v>910</v>
      </c>
      <c r="V98" s="101"/>
      <c r="W98" s="89">
        <v>160</v>
      </c>
      <c r="X98" s="89">
        <v>605</v>
      </c>
      <c r="Y98" s="89"/>
      <c r="Z98" s="100"/>
      <c r="AA98" s="100"/>
      <c r="AB98" s="97"/>
      <c r="AC98" s="97">
        <f>AVERAGE(20.5,20.1)</f>
        <v>20.3</v>
      </c>
      <c r="AD98" s="97"/>
      <c r="AE98" s="97"/>
      <c r="AF98" s="97"/>
      <c r="AG98" s="97">
        <f>AVERAGE(33.6,32.8)</f>
        <v>33.200000000000003</v>
      </c>
      <c r="AH98" s="97"/>
      <c r="AI98" s="97"/>
      <c r="AJ98" s="97"/>
      <c r="AK98" s="97"/>
      <c r="AL98" s="97">
        <f>AVERAGE(42.4,42.7)</f>
        <v>42.55</v>
      </c>
      <c r="AM98" s="97"/>
      <c r="AN98" s="97"/>
      <c r="AO98" s="97"/>
      <c r="AP98" s="97">
        <f>AVERAGE(46.9,42.3)</f>
        <v>44.599999999999994</v>
      </c>
      <c r="AQ98" s="97">
        <f>AVERAGE(45,46.4,47,46.3)</f>
        <v>46.174999999999997</v>
      </c>
      <c r="AR98" s="87"/>
      <c r="AS98" s="87"/>
      <c r="AT98" s="87"/>
      <c r="AU98" s="87"/>
      <c r="AV98" s="87"/>
      <c r="AW98" s="87"/>
      <c r="AX98" s="87"/>
    </row>
    <row r="99" spans="1:64" x14ac:dyDescent="0.15">
      <c r="A99" s="90">
        <f t="shared" si="1"/>
        <v>98</v>
      </c>
      <c r="B99" s="87" t="s">
        <v>1</v>
      </c>
      <c r="C99" s="89">
        <v>280</v>
      </c>
      <c r="D99" s="89">
        <v>70</v>
      </c>
      <c r="E99" s="89"/>
      <c r="F99" s="89"/>
      <c r="G99" s="89"/>
      <c r="H99" s="89">
        <v>180</v>
      </c>
      <c r="I99" s="89"/>
      <c r="J99" s="99">
        <v>1.8</v>
      </c>
      <c r="K99" s="99"/>
      <c r="L99" s="99"/>
      <c r="M99" s="99"/>
      <c r="N99" s="99"/>
      <c r="O99" s="99"/>
      <c r="P99" s="99"/>
      <c r="Q99" s="99"/>
      <c r="R99" s="101"/>
      <c r="S99" s="101"/>
      <c r="T99" s="89"/>
      <c r="U99" s="89">
        <v>1005</v>
      </c>
      <c r="V99" s="101"/>
      <c r="W99" s="89"/>
      <c r="X99" s="89">
        <v>400</v>
      </c>
      <c r="Y99" s="89">
        <v>410</v>
      </c>
      <c r="Z99" s="100"/>
      <c r="AA99" s="100"/>
      <c r="AB99" s="97"/>
      <c r="AC99" s="97">
        <f>AVERAGE(8.8,9,9)</f>
        <v>8.9333333333333336</v>
      </c>
      <c r="AD99" s="97"/>
      <c r="AE99" s="97"/>
      <c r="AF99" s="97"/>
      <c r="AG99" s="97">
        <f>AVERAGE(13.3,13.5,12.9)</f>
        <v>13.233333333333334</v>
      </c>
      <c r="AH99" s="97"/>
      <c r="AI99" s="97"/>
      <c r="AJ99" s="97"/>
      <c r="AK99" s="97"/>
      <c r="AL99" s="97">
        <f>AVERAGE(21.2,21.2,20.5)</f>
        <v>20.966666666666665</v>
      </c>
      <c r="AM99" s="97"/>
      <c r="AN99" s="97"/>
      <c r="AO99" s="97"/>
      <c r="AP99" s="97"/>
      <c r="AQ99" s="97">
        <f>AVERAGE(27.5,26.1,26.6)</f>
        <v>26.733333333333334</v>
      </c>
      <c r="AR99" s="97"/>
      <c r="AS99" s="97"/>
      <c r="AT99" s="97"/>
      <c r="AU99" s="97"/>
      <c r="AV99" s="97"/>
      <c r="AW99" s="97"/>
      <c r="AX99" s="97"/>
    </row>
    <row r="100" spans="1:64" x14ac:dyDescent="0.15">
      <c r="A100" s="90">
        <f t="shared" si="1"/>
        <v>99</v>
      </c>
      <c r="B100" s="87" t="s">
        <v>1</v>
      </c>
      <c r="C100" s="89">
        <v>240</v>
      </c>
      <c r="D100" s="89">
        <v>60</v>
      </c>
      <c r="E100" s="89"/>
      <c r="F100" s="89"/>
      <c r="G100" s="89"/>
      <c r="H100" s="89">
        <v>175</v>
      </c>
      <c r="I100" s="89"/>
      <c r="J100" s="99">
        <v>2.2000000000000002</v>
      </c>
      <c r="K100" s="99"/>
      <c r="L100" s="99"/>
      <c r="M100" s="99"/>
      <c r="N100" s="99"/>
      <c r="O100" s="99"/>
      <c r="P100" s="99"/>
      <c r="Q100" s="99"/>
      <c r="R100" s="101"/>
      <c r="S100" s="101"/>
      <c r="T100" s="89"/>
      <c r="U100" s="89">
        <v>970</v>
      </c>
      <c r="V100" s="101"/>
      <c r="W100" s="89"/>
      <c r="X100" s="89">
        <v>400</v>
      </c>
      <c r="Y100" s="89">
        <v>410</v>
      </c>
      <c r="Z100" s="100"/>
      <c r="AA100" s="100"/>
      <c r="AB100" s="97"/>
      <c r="AC100" s="97">
        <f>AVERAGE(9.6,9.2,9.4)</f>
        <v>9.3999999999999986</v>
      </c>
      <c r="AD100" s="97"/>
      <c r="AE100" s="97"/>
      <c r="AF100" s="97"/>
      <c r="AG100" s="97">
        <f>AVERAGE(14.9,14.8,14.4)</f>
        <v>14.700000000000001</v>
      </c>
      <c r="AH100" s="97"/>
      <c r="AI100" s="97"/>
      <c r="AJ100" s="97"/>
      <c r="AK100" s="97"/>
      <c r="AL100" s="97">
        <f>AVERAGE(23.7,22.8,23.2)</f>
        <v>23.233333333333334</v>
      </c>
      <c r="AM100" s="97"/>
      <c r="AN100" s="97"/>
      <c r="AO100" s="97"/>
      <c r="AP100" s="97"/>
      <c r="AQ100" s="97">
        <f>AVERAGE(30.4,30.7,31.2)</f>
        <v>30.766666666666666</v>
      </c>
      <c r="AR100" s="97"/>
      <c r="AS100" s="97"/>
      <c r="AT100" s="97"/>
      <c r="AU100" s="97"/>
      <c r="AV100" s="97"/>
      <c r="AW100" s="97"/>
      <c r="AX100" s="97"/>
    </row>
    <row r="101" spans="1:64" x14ac:dyDescent="0.15">
      <c r="A101" s="90">
        <f t="shared" si="1"/>
        <v>100</v>
      </c>
      <c r="B101" s="87" t="s">
        <v>1</v>
      </c>
      <c r="C101" s="89">
        <v>180</v>
      </c>
      <c r="D101" s="89">
        <v>120</v>
      </c>
      <c r="E101" s="89"/>
      <c r="F101" s="89"/>
      <c r="G101" s="89"/>
      <c r="H101" s="89">
        <v>200</v>
      </c>
      <c r="I101" s="89"/>
      <c r="J101" s="99">
        <v>1.7</v>
      </c>
      <c r="K101" s="99"/>
      <c r="L101" s="99"/>
      <c r="M101" s="99"/>
      <c r="N101" s="99"/>
      <c r="O101" s="99"/>
      <c r="P101" s="99"/>
      <c r="Q101" s="99"/>
      <c r="R101" s="101"/>
      <c r="S101" s="101"/>
      <c r="T101" s="89"/>
      <c r="U101" s="89">
        <v>980</v>
      </c>
      <c r="V101" s="101"/>
      <c r="W101" s="89"/>
      <c r="X101" s="89">
        <v>400</v>
      </c>
      <c r="Y101" s="89">
        <v>410</v>
      </c>
      <c r="Z101" s="100"/>
      <c r="AA101" s="100"/>
      <c r="AB101" s="97"/>
      <c r="AC101" s="97">
        <f>AVERAGE(5,4.9,5.1)</f>
        <v>5</v>
      </c>
      <c r="AD101" s="97"/>
      <c r="AE101" s="97"/>
      <c r="AF101" s="97"/>
      <c r="AG101" s="97">
        <f>AVERAGE(9.3,9.4,9.2)</f>
        <v>9.3000000000000007</v>
      </c>
      <c r="AH101" s="97"/>
      <c r="AI101" s="97"/>
      <c r="AJ101" s="97"/>
      <c r="AK101" s="97"/>
      <c r="AL101" s="97">
        <f>AVERAGE(16.4,16.2,16.6)</f>
        <v>16.399999999999999</v>
      </c>
      <c r="AM101" s="97"/>
      <c r="AN101" s="97"/>
      <c r="AO101" s="97"/>
      <c r="AP101" s="97"/>
      <c r="AQ101" s="97">
        <f>AVERAGE(24.8,24,23.6)</f>
        <v>24.133333333333336</v>
      </c>
      <c r="AR101" s="97"/>
      <c r="AS101" s="97"/>
      <c r="AT101" s="97"/>
      <c r="AU101" s="97"/>
      <c r="AV101" s="97"/>
      <c r="AW101" s="97"/>
      <c r="AX101" s="97"/>
    </row>
    <row r="102" spans="1:64" ht="15" customHeight="1" x14ac:dyDescent="0.15">
      <c r="A102" s="90">
        <f t="shared" si="1"/>
        <v>101</v>
      </c>
      <c r="B102" s="91" t="s">
        <v>23</v>
      </c>
      <c r="C102" s="91">
        <v>300</v>
      </c>
      <c r="D102" s="89">
        <v>50</v>
      </c>
      <c r="E102" s="89"/>
      <c r="F102" s="89"/>
      <c r="G102" s="89"/>
      <c r="H102" s="89">
        <v>130</v>
      </c>
      <c r="I102" s="89">
        <v>55</v>
      </c>
      <c r="J102" s="99">
        <v>1.5</v>
      </c>
      <c r="K102" s="99">
        <v>1.5</v>
      </c>
      <c r="L102" s="99"/>
      <c r="M102" s="99"/>
      <c r="N102" s="99"/>
      <c r="O102" s="99"/>
      <c r="P102" s="99"/>
      <c r="Q102" s="99"/>
      <c r="R102" s="101"/>
      <c r="S102" s="101"/>
      <c r="T102" s="89"/>
      <c r="U102" s="89">
        <v>940</v>
      </c>
      <c r="V102" s="101"/>
      <c r="W102" s="89">
        <v>100</v>
      </c>
      <c r="X102" s="89">
        <v>370</v>
      </c>
      <c r="Y102" s="89">
        <v>370</v>
      </c>
      <c r="Z102" s="100"/>
      <c r="AA102" s="100"/>
      <c r="AB102" s="97">
        <v>12.7</v>
      </c>
      <c r="AC102" s="97">
        <v>19.100000000000001</v>
      </c>
      <c r="AD102" s="97"/>
      <c r="AE102" s="97"/>
      <c r="AF102" s="97"/>
      <c r="AG102" s="97"/>
      <c r="AH102" s="97">
        <v>28</v>
      </c>
      <c r="AI102" s="97"/>
      <c r="AJ102" s="97"/>
      <c r="AK102" s="97"/>
      <c r="AL102" s="97"/>
      <c r="AM102" s="97">
        <v>36.6</v>
      </c>
      <c r="AN102" s="97"/>
      <c r="AO102" s="97"/>
      <c r="AP102" s="97"/>
      <c r="AQ102" s="97">
        <v>45.5</v>
      </c>
      <c r="AR102" s="97"/>
      <c r="AS102" s="97"/>
      <c r="AT102" s="97"/>
      <c r="AU102" s="97"/>
      <c r="AV102" s="97"/>
      <c r="AW102" s="97"/>
      <c r="AX102" s="97"/>
    </row>
    <row r="103" spans="1:64" ht="15" customHeight="1" x14ac:dyDescent="0.15">
      <c r="A103" s="90">
        <f t="shared" si="1"/>
        <v>102</v>
      </c>
      <c r="B103" s="91" t="s">
        <v>23</v>
      </c>
      <c r="C103" s="89">
        <v>300</v>
      </c>
      <c r="D103" s="89">
        <v>50</v>
      </c>
      <c r="E103" s="89">
        <v>180</v>
      </c>
      <c r="F103" s="89"/>
      <c r="G103" s="89"/>
      <c r="H103" s="89">
        <v>200</v>
      </c>
      <c r="I103" s="89"/>
      <c r="J103" s="99"/>
      <c r="K103" s="99">
        <v>3.2</v>
      </c>
      <c r="L103" s="99"/>
      <c r="M103" s="99">
        <v>0.5</v>
      </c>
      <c r="N103" s="99"/>
      <c r="O103" s="99"/>
      <c r="P103" s="99">
        <v>0.3</v>
      </c>
      <c r="Q103" s="99"/>
      <c r="R103" s="101"/>
      <c r="S103" s="101"/>
      <c r="T103" s="89"/>
      <c r="U103" s="89">
        <v>885</v>
      </c>
      <c r="V103" s="101"/>
      <c r="W103" s="89">
        <v>300</v>
      </c>
      <c r="X103" s="89">
        <v>528</v>
      </c>
      <c r="Y103" s="89"/>
      <c r="Z103" s="100"/>
      <c r="AA103" s="100"/>
      <c r="AB103" s="97"/>
      <c r="AC103" s="97">
        <f>AVERAGE(15.1,14.9)</f>
        <v>15</v>
      </c>
      <c r="AD103" s="97"/>
      <c r="AE103" s="97"/>
      <c r="AF103" s="97"/>
      <c r="AG103" s="97">
        <f>AVERAGE(25.7,25.2)</f>
        <v>25.45</v>
      </c>
      <c r="AH103" s="97"/>
      <c r="AI103" s="97"/>
      <c r="AJ103" s="97"/>
      <c r="AK103" s="97"/>
      <c r="AL103" s="97">
        <f>AVERAGE(31.5,31.9)</f>
        <v>31.7</v>
      </c>
      <c r="AM103" s="97"/>
      <c r="AN103" s="97"/>
      <c r="AO103" s="97"/>
      <c r="AP103" s="97"/>
      <c r="AQ103" s="97">
        <f>AVERAGE(40.7,40.1)</f>
        <v>40.400000000000006</v>
      </c>
      <c r="AR103" s="97"/>
      <c r="AS103" s="97"/>
      <c r="AT103" s="97"/>
      <c r="AU103" s="97"/>
      <c r="AV103" s="97"/>
      <c r="AW103" s="97"/>
      <c r="AX103" s="98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</row>
    <row r="104" spans="1:64" ht="15" customHeight="1" x14ac:dyDescent="0.15">
      <c r="A104" s="90">
        <f t="shared" si="1"/>
        <v>103</v>
      </c>
      <c r="B104" s="91" t="s">
        <v>23</v>
      </c>
      <c r="C104" s="89">
        <v>300</v>
      </c>
      <c r="D104" s="89">
        <v>50</v>
      </c>
      <c r="E104" s="89">
        <v>180</v>
      </c>
      <c r="F104" s="89"/>
      <c r="G104" s="89"/>
      <c r="H104" s="89">
        <v>200</v>
      </c>
      <c r="I104" s="89"/>
      <c r="J104" s="99"/>
      <c r="K104" s="99">
        <v>3</v>
      </c>
      <c r="L104" s="99"/>
      <c r="M104" s="99"/>
      <c r="N104" s="99"/>
      <c r="O104" s="99"/>
      <c r="P104" s="99"/>
      <c r="Q104" s="99"/>
      <c r="R104" s="101"/>
      <c r="S104" s="101"/>
      <c r="T104" s="89"/>
      <c r="U104" s="89">
        <v>885</v>
      </c>
      <c r="V104" s="101"/>
      <c r="W104" s="89">
        <v>300</v>
      </c>
      <c r="X104" s="89">
        <v>528</v>
      </c>
      <c r="Y104" s="89"/>
      <c r="Z104" s="100"/>
      <c r="AA104" s="100"/>
      <c r="AB104" s="97"/>
      <c r="AC104" s="97">
        <f>AVERAGE(15,15)</f>
        <v>15</v>
      </c>
      <c r="AD104" s="97"/>
      <c r="AE104" s="97"/>
      <c r="AF104" s="97"/>
      <c r="AG104" s="97">
        <f>AVERAGE(25.1,25.6)</f>
        <v>25.35</v>
      </c>
      <c r="AH104" s="97"/>
      <c r="AI104" s="97"/>
      <c r="AJ104" s="97"/>
      <c r="AK104" s="97"/>
      <c r="AL104" s="97">
        <f>AVERAGE(31.6,33.2)</f>
        <v>32.400000000000006</v>
      </c>
      <c r="AM104" s="97"/>
      <c r="AN104" s="97"/>
      <c r="AO104" s="97"/>
      <c r="AP104" s="97"/>
      <c r="AQ104" s="97">
        <f>AVERAGE(41.4,39.7)</f>
        <v>40.549999999999997</v>
      </c>
      <c r="AR104" s="97"/>
      <c r="AS104" s="97"/>
      <c r="AT104" s="97"/>
      <c r="AU104" s="97"/>
      <c r="AV104" s="97"/>
      <c r="AW104" s="97"/>
      <c r="AX104" s="98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</row>
    <row r="105" spans="1:64" ht="15" customHeight="1" x14ac:dyDescent="0.15">
      <c r="A105" s="90">
        <f t="shared" si="1"/>
        <v>104</v>
      </c>
      <c r="B105" s="91" t="s">
        <v>23</v>
      </c>
      <c r="C105" s="89">
        <v>270</v>
      </c>
      <c r="D105" s="89">
        <v>75</v>
      </c>
      <c r="E105" s="89">
        <v>40</v>
      </c>
      <c r="F105" s="89"/>
      <c r="G105" s="89"/>
      <c r="H105" s="89">
        <v>165</v>
      </c>
      <c r="I105" s="89"/>
      <c r="J105" s="99">
        <v>2</v>
      </c>
      <c r="K105" s="99">
        <v>1.8</v>
      </c>
      <c r="L105" s="99"/>
      <c r="M105" s="99"/>
      <c r="N105" s="99"/>
      <c r="O105" s="99"/>
      <c r="P105" s="99"/>
      <c r="Q105" s="99"/>
      <c r="R105" s="101"/>
      <c r="S105" s="101"/>
      <c r="T105" s="89"/>
      <c r="U105" s="89">
        <v>900</v>
      </c>
      <c r="V105" s="101"/>
      <c r="W105" s="89">
        <v>150</v>
      </c>
      <c r="X105" s="89">
        <v>760</v>
      </c>
      <c r="Y105" s="89"/>
      <c r="Z105" s="100"/>
      <c r="AA105" s="100"/>
      <c r="AB105" s="97"/>
      <c r="AC105" s="97">
        <v>19.8</v>
      </c>
      <c r="AD105" s="97"/>
      <c r="AE105" s="97"/>
      <c r="AF105" s="97"/>
      <c r="AG105" s="97">
        <v>34.200000000000003</v>
      </c>
      <c r="AH105" s="97"/>
      <c r="AI105" s="97"/>
      <c r="AJ105" s="97">
        <v>40</v>
      </c>
      <c r="AK105" s="97"/>
      <c r="AL105" s="97"/>
      <c r="AM105" s="97"/>
      <c r="AN105" s="97">
        <v>46.6</v>
      </c>
      <c r="AO105" s="97"/>
      <c r="AP105" s="97">
        <v>52</v>
      </c>
      <c r="AQ105" s="97">
        <v>57.4</v>
      </c>
      <c r="AR105" s="97"/>
      <c r="AS105" s="97"/>
      <c r="AT105" s="97">
        <v>59.2</v>
      </c>
      <c r="AU105" s="97"/>
      <c r="AV105" s="97"/>
      <c r="AW105" s="97"/>
      <c r="AX105" s="98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</row>
    <row r="106" spans="1:64" ht="14" x14ac:dyDescent="0.15">
      <c r="A106" s="90">
        <f t="shared" si="1"/>
        <v>105</v>
      </c>
      <c r="B106" s="91" t="s">
        <v>22</v>
      </c>
      <c r="C106" s="89">
        <v>430</v>
      </c>
      <c r="D106" s="89">
        <v>50</v>
      </c>
      <c r="E106" s="91"/>
      <c r="F106" s="91"/>
      <c r="G106" s="91"/>
      <c r="H106" s="89">
        <v>195</v>
      </c>
      <c r="I106" s="89"/>
      <c r="J106" s="99"/>
      <c r="K106" s="99">
        <v>3.3</v>
      </c>
      <c r="L106" s="91"/>
      <c r="M106" s="99"/>
      <c r="N106" s="101"/>
      <c r="O106" s="101"/>
      <c r="P106" s="101"/>
      <c r="Q106" s="99"/>
      <c r="R106" s="101"/>
      <c r="S106" s="101"/>
      <c r="T106" s="89"/>
      <c r="U106" s="89">
        <v>900</v>
      </c>
      <c r="V106" s="101"/>
      <c r="W106" s="89">
        <v>690</v>
      </c>
      <c r="X106" s="89"/>
      <c r="Y106" s="89"/>
      <c r="Z106" s="101"/>
      <c r="AA106" s="91"/>
      <c r="AB106" s="97"/>
      <c r="AC106" s="97">
        <v>12.5</v>
      </c>
      <c r="AD106" s="97"/>
      <c r="AE106" s="97"/>
      <c r="AF106" s="97"/>
      <c r="AG106" s="97">
        <v>24.6</v>
      </c>
      <c r="AH106" s="97"/>
      <c r="AI106" s="97"/>
      <c r="AJ106" s="97"/>
      <c r="AK106" s="97"/>
      <c r="AL106" s="97">
        <f>AVERAGE(41.8,41.3)</f>
        <v>41.55</v>
      </c>
      <c r="AM106" s="97"/>
      <c r="AN106" s="97"/>
      <c r="AO106" s="97"/>
      <c r="AP106" s="97"/>
      <c r="AQ106" s="97">
        <v>50.7</v>
      </c>
      <c r="AR106" s="87"/>
      <c r="AS106" s="87"/>
      <c r="AT106" s="87"/>
      <c r="AU106" s="87"/>
      <c r="AV106" s="87"/>
      <c r="AW106" s="87"/>
      <c r="AX106" s="87"/>
      <c r="AY106" s="91"/>
      <c r="AZ106" s="91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2"/>
    </row>
    <row r="107" spans="1:64" ht="14" x14ac:dyDescent="0.15">
      <c r="A107" s="90">
        <f t="shared" si="1"/>
        <v>106</v>
      </c>
      <c r="B107" s="91" t="s">
        <v>22</v>
      </c>
      <c r="C107" s="89">
        <v>400</v>
      </c>
      <c r="D107" s="89">
        <v>40</v>
      </c>
      <c r="E107" s="91"/>
      <c r="F107" s="91"/>
      <c r="G107" s="91"/>
      <c r="H107" s="89">
        <v>205</v>
      </c>
      <c r="I107" s="89"/>
      <c r="J107" s="99">
        <v>2.5</v>
      </c>
      <c r="K107" s="99"/>
      <c r="L107" s="91"/>
      <c r="M107" s="99"/>
      <c r="N107" s="101"/>
      <c r="O107" s="101"/>
      <c r="P107" s="101"/>
      <c r="Q107" s="99"/>
      <c r="R107" s="101"/>
      <c r="S107" s="101"/>
      <c r="T107" s="89"/>
      <c r="U107" s="89">
        <v>830</v>
      </c>
      <c r="V107" s="101"/>
      <c r="W107" s="89">
        <v>120</v>
      </c>
      <c r="X107" s="89">
        <v>440</v>
      </c>
      <c r="Y107" s="89">
        <v>380</v>
      </c>
      <c r="Z107" s="101"/>
      <c r="AA107" s="91"/>
      <c r="AB107" s="97"/>
      <c r="AC107" s="97">
        <v>15.4</v>
      </c>
      <c r="AD107" s="97"/>
      <c r="AE107" s="97"/>
      <c r="AF107" s="97"/>
      <c r="AG107" s="97">
        <f>AVERAGE(26.1,26.2,25.4)</f>
        <v>25.899999999999995</v>
      </c>
      <c r="AH107" s="97"/>
      <c r="AI107" s="97"/>
      <c r="AJ107" s="97"/>
      <c r="AK107" s="97"/>
      <c r="AL107" s="97">
        <f>AVERAGE(36.4,37.7,36.6)</f>
        <v>36.9</v>
      </c>
      <c r="AM107" s="97"/>
      <c r="AN107" s="97"/>
      <c r="AO107" s="97"/>
      <c r="AP107" s="97"/>
      <c r="AQ107" s="97">
        <f>AVERAGE(43.2,46.7)</f>
        <v>44.95</v>
      </c>
      <c r="AR107" s="87"/>
      <c r="AS107" s="87"/>
      <c r="AT107" s="87"/>
      <c r="AU107" s="87"/>
      <c r="AV107" s="87"/>
      <c r="AW107" s="87"/>
      <c r="AX107" s="87"/>
      <c r="AY107" s="96"/>
      <c r="AZ107" s="96"/>
      <c r="BA107" s="96"/>
      <c r="BB107" s="96"/>
      <c r="BC107" s="96"/>
      <c r="BD107" s="96"/>
      <c r="BE107" s="96"/>
      <c r="BF107" s="96"/>
      <c r="BG107" s="95"/>
      <c r="BH107" s="95"/>
      <c r="BI107" s="95"/>
      <c r="BJ107" s="95"/>
      <c r="BK107" s="95"/>
      <c r="BL107" s="92"/>
    </row>
    <row r="108" spans="1:64" ht="14" x14ac:dyDescent="0.15">
      <c r="A108" s="90">
        <f t="shared" si="1"/>
        <v>107</v>
      </c>
      <c r="B108" s="91" t="s">
        <v>22</v>
      </c>
      <c r="C108" s="89">
        <v>390</v>
      </c>
      <c r="D108" s="89">
        <v>40</v>
      </c>
      <c r="E108" s="91"/>
      <c r="F108" s="91"/>
      <c r="G108" s="91"/>
      <c r="H108" s="89">
        <v>100</v>
      </c>
      <c r="I108" s="89">
        <v>90</v>
      </c>
      <c r="J108" s="99">
        <v>2.7</v>
      </c>
      <c r="K108" s="99"/>
      <c r="L108" s="91"/>
      <c r="M108" s="99"/>
      <c r="N108" s="101"/>
      <c r="O108" s="101"/>
      <c r="P108" s="101"/>
      <c r="Q108" s="99">
        <v>2</v>
      </c>
      <c r="R108" s="101"/>
      <c r="S108" s="101"/>
      <c r="T108" s="89"/>
      <c r="U108" s="89">
        <v>850</v>
      </c>
      <c r="V108" s="101"/>
      <c r="W108" s="89">
        <v>150</v>
      </c>
      <c r="X108" s="89">
        <v>390</v>
      </c>
      <c r="Y108" s="89">
        <v>330</v>
      </c>
      <c r="Z108" s="101"/>
      <c r="AA108" s="91"/>
      <c r="AB108" s="97"/>
      <c r="AC108" s="97">
        <v>16.600000000000001</v>
      </c>
      <c r="AD108" s="97"/>
      <c r="AE108" s="97"/>
      <c r="AF108" s="97"/>
      <c r="AG108" s="97">
        <v>31.1</v>
      </c>
      <c r="AH108" s="97"/>
      <c r="AI108" s="97"/>
      <c r="AJ108" s="97"/>
      <c r="AK108" s="97"/>
      <c r="AL108" s="97">
        <v>44.8</v>
      </c>
      <c r="AM108" s="97"/>
      <c r="AN108" s="97"/>
      <c r="AO108" s="97"/>
      <c r="AP108" s="97"/>
      <c r="AQ108" s="97">
        <v>52.4</v>
      </c>
      <c r="AR108" s="97"/>
      <c r="AS108" s="97"/>
      <c r="AT108" s="97"/>
      <c r="AU108" s="97"/>
      <c r="AV108" s="97">
        <v>56.1</v>
      </c>
      <c r="AW108" s="97"/>
      <c r="AX108" s="97"/>
      <c r="AY108" s="96"/>
      <c r="AZ108" s="96"/>
      <c r="BA108" s="96"/>
      <c r="BB108" s="96"/>
      <c r="BC108" s="96"/>
      <c r="BD108" s="96"/>
      <c r="BE108" s="96"/>
      <c r="BF108" s="96"/>
      <c r="BG108" s="95"/>
      <c r="BH108" s="95"/>
      <c r="BI108" s="95"/>
      <c r="BJ108" s="95"/>
      <c r="BK108" s="95"/>
      <c r="BL108" s="92"/>
    </row>
    <row r="109" spans="1:64" ht="14" x14ac:dyDescent="0.15">
      <c r="A109" s="90">
        <f t="shared" si="1"/>
        <v>108</v>
      </c>
      <c r="B109" s="91" t="s">
        <v>22</v>
      </c>
      <c r="C109" s="89">
        <v>390</v>
      </c>
      <c r="D109" s="89">
        <v>40</v>
      </c>
      <c r="E109" s="91"/>
      <c r="F109" s="91"/>
      <c r="G109" s="91"/>
      <c r="H109" s="89">
        <v>100</v>
      </c>
      <c r="I109" s="89">
        <v>90</v>
      </c>
      <c r="J109" s="99">
        <v>2.7</v>
      </c>
      <c r="K109" s="99"/>
      <c r="L109" s="91"/>
      <c r="M109" s="99"/>
      <c r="N109" s="101"/>
      <c r="O109" s="101"/>
      <c r="P109" s="101"/>
      <c r="Q109" s="99"/>
      <c r="R109" s="101"/>
      <c r="S109" s="101"/>
      <c r="T109" s="89"/>
      <c r="U109" s="89">
        <v>850</v>
      </c>
      <c r="V109" s="101"/>
      <c r="W109" s="89">
        <v>150</v>
      </c>
      <c r="X109" s="89">
        <v>390</v>
      </c>
      <c r="Y109" s="89">
        <v>330</v>
      </c>
      <c r="Z109" s="101"/>
      <c r="AA109" s="91"/>
      <c r="AB109" s="97"/>
      <c r="AC109" s="97">
        <v>15.5</v>
      </c>
      <c r="AD109" s="97"/>
      <c r="AE109" s="97"/>
      <c r="AF109" s="97"/>
      <c r="AG109" s="97">
        <v>28.8</v>
      </c>
      <c r="AH109" s="97"/>
      <c r="AI109" s="97"/>
      <c r="AJ109" s="97"/>
      <c r="AK109" s="97"/>
      <c r="AL109" s="97">
        <v>39.9</v>
      </c>
      <c r="AM109" s="97"/>
      <c r="AN109" s="97"/>
      <c r="AO109" s="97"/>
      <c r="AP109" s="97"/>
      <c r="AQ109" s="97">
        <v>50.1</v>
      </c>
      <c r="AR109" s="97"/>
      <c r="AS109" s="97"/>
      <c r="AT109" s="97"/>
      <c r="AU109" s="97"/>
      <c r="AV109" s="97">
        <v>52.8</v>
      </c>
      <c r="AW109" s="97"/>
      <c r="AX109" s="97"/>
      <c r="AY109" s="91"/>
      <c r="AZ109" s="91"/>
      <c r="BA109" s="91"/>
      <c r="BB109" s="91"/>
      <c r="BC109" s="101"/>
      <c r="BD109" s="101"/>
      <c r="BE109" s="101"/>
      <c r="BF109" s="101"/>
      <c r="BG109" s="91"/>
      <c r="BH109" s="91"/>
      <c r="BI109" s="91"/>
      <c r="BJ109" s="91"/>
      <c r="BK109" s="91"/>
      <c r="BL109" s="92"/>
    </row>
    <row r="110" spans="1:64" ht="14" x14ac:dyDescent="0.15">
      <c r="A110" s="90">
        <f t="shared" si="1"/>
        <v>109</v>
      </c>
      <c r="B110" s="91" t="s">
        <v>22</v>
      </c>
      <c r="C110" s="89">
        <v>370</v>
      </c>
      <c r="D110" s="89">
        <v>70</v>
      </c>
      <c r="E110" s="91"/>
      <c r="F110" s="91"/>
      <c r="G110" s="91"/>
      <c r="H110" s="89">
        <v>175</v>
      </c>
      <c r="I110" s="89"/>
      <c r="J110" s="99">
        <v>1.7</v>
      </c>
      <c r="K110" s="99">
        <v>2.2000000000000002</v>
      </c>
      <c r="L110" s="91"/>
      <c r="M110" s="99"/>
      <c r="N110" s="101"/>
      <c r="O110" s="101"/>
      <c r="P110" s="101"/>
      <c r="Q110" s="99"/>
      <c r="R110" s="101"/>
      <c r="S110" s="101"/>
      <c r="T110" s="89"/>
      <c r="U110" s="89">
        <v>800</v>
      </c>
      <c r="V110" s="101"/>
      <c r="W110" s="89">
        <v>370</v>
      </c>
      <c r="X110" s="89">
        <v>450</v>
      </c>
      <c r="Y110" s="89"/>
      <c r="Z110" s="101"/>
      <c r="AA110" s="91"/>
      <c r="AB110" s="97"/>
      <c r="AC110" s="97"/>
      <c r="AD110" s="97">
        <v>21.8</v>
      </c>
      <c r="AE110" s="97"/>
      <c r="AF110" s="97"/>
      <c r="AG110" s="97">
        <v>28.9</v>
      </c>
      <c r="AH110" s="97"/>
      <c r="AI110" s="97"/>
      <c r="AJ110" s="97"/>
      <c r="AK110" s="97"/>
      <c r="AL110" s="97">
        <f>AVERAGE(43,44.1)</f>
        <v>43.55</v>
      </c>
      <c r="AM110" s="97"/>
      <c r="AN110" s="97"/>
      <c r="AO110" s="97"/>
      <c r="AP110" s="97"/>
      <c r="AQ110" s="97">
        <v>58.9</v>
      </c>
      <c r="AR110" s="97"/>
      <c r="AS110" s="97"/>
      <c r="AT110" s="97"/>
      <c r="AU110" s="97"/>
      <c r="AV110" s="97"/>
      <c r="AW110" s="97"/>
      <c r="AX110" s="97"/>
      <c r="AY110" s="91"/>
      <c r="AZ110" s="91"/>
      <c r="BA110" s="91"/>
      <c r="BB110" s="91"/>
      <c r="BC110" s="101"/>
      <c r="BD110" s="101"/>
      <c r="BE110" s="101"/>
      <c r="BF110" s="101"/>
      <c r="BG110" s="91"/>
      <c r="BH110" s="91"/>
      <c r="BI110" s="91"/>
      <c r="BJ110" s="91"/>
      <c r="BK110" s="91"/>
      <c r="BL110" s="92"/>
    </row>
    <row r="111" spans="1:64" ht="14" x14ac:dyDescent="0.15">
      <c r="A111" s="90">
        <f t="shared" si="1"/>
        <v>110</v>
      </c>
      <c r="B111" s="91" t="s">
        <v>22</v>
      </c>
      <c r="C111" s="89">
        <v>370</v>
      </c>
      <c r="D111" s="89">
        <v>45</v>
      </c>
      <c r="E111" s="91"/>
      <c r="F111" s="91"/>
      <c r="G111" s="91"/>
      <c r="H111" s="89">
        <v>100</v>
      </c>
      <c r="I111" s="89">
        <v>90</v>
      </c>
      <c r="J111" s="99">
        <v>2.6</v>
      </c>
      <c r="K111" s="99">
        <v>1</v>
      </c>
      <c r="L111" s="91"/>
      <c r="M111" s="99"/>
      <c r="N111" s="101"/>
      <c r="O111" s="101"/>
      <c r="P111" s="101"/>
      <c r="Q111" s="99"/>
      <c r="R111" s="101"/>
      <c r="S111" s="101"/>
      <c r="T111" s="89"/>
      <c r="U111" s="89">
        <v>870</v>
      </c>
      <c r="V111" s="101"/>
      <c r="W111" s="89">
        <v>300</v>
      </c>
      <c r="X111" s="89">
        <v>560</v>
      </c>
      <c r="Y111" s="89"/>
      <c r="Z111" s="101"/>
      <c r="AA111" s="91"/>
      <c r="AB111" s="97">
        <v>7.2</v>
      </c>
      <c r="AC111" s="97">
        <v>16.2</v>
      </c>
      <c r="AD111" s="97"/>
      <c r="AE111" s="97"/>
      <c r="AF111" s="97"/>
      <c r="AG111" s="97">
        <v>29.6</v>
      </c>
      <c r="AH111" s="97"/>
      <c r="AI111" s="97"/>
      <c r="AJ111" s="97"/>
      <c r="AK111" s="97"/>
      <c r="AL111" s="97">
        <f>AVERAGE(44.2,43.2)</f>
        <v>43.7</v>
      </c>
      <c r="AM111" s="97"/>
      <c r="AN111" s="97"/>
      <c r="AO111" s="97"/>
      <c r="AP111" s="97"/>
      <c r="AQ111" s="97">
        <v>54</v>
      </c>
      <c r="AR111" s="97"/>
      <c r="AS111" s="97"/>
      <c r="AT111" s="97"/>
      <c r="AU111" s="97"/>
      <c r="AV111" s="97"/>
      <c r="AW111" s="97"/>
      <c r="AX111" s="97"/>
      <c r="AY111" s="91"/>
      <c r="AZ111" s="91"/>
      <c r="BA111" s="91"/>
      <c r="BB111" s="91"/>
      <c r="BC111" s="101"/>
      <c r="BD111" s="101"/>
      <c r="BE111" s="101"/>
      <c r="BF111" s="101"/>
      <c r="BG111" s="91"/>
      <c r="BH111" s="91"/>
      <c r="BI111" s="91"/>
      <c r="BJ111" s="91"/>
      <c r="BK111" s="91"/>
      <c r="BL111" s="92"/>
    </row>
    <row r="112" spans="1:64" ht="14" x14ac:dyDescent="0.15">
      <c r="A112" s="90">
        <f t="shared" si="1"/>
        <v>111</v>
      </c>
      <c r="B112" s="91" t="s">
        <v>22</v>
      </c>
      <c r="C112" s="89">
        <v>370</v>
      </c>
      <c r="D112" s="89">
        <v>45</v>
      </c>
      <c r="E112" s="91"/>
      <c r="F112" s="91"/>
      <c r="G112" s="91"/>
      <c r="H112" s="89">
        <v>100</v>
      </c>
      <c r="I112" s="89">
        <v>90</v>
      </c>
      <c r="J112" s="99">
        <v>2.6</v>
      </c>
      <c r="K112" s="99">
        <v>1</v>
      </c>
      <c r="L112" s="91"/>
      <c r="M112" s="99"/>
      <c r="N112" s="101"/>
      <c r="O112" s="101"/>
      <c r="P112" s="101"/>
      <c r="Q112" s="99"/>
      <c r="R112" s="101"/>
      <c r="S112" s="101"/>
      <c r="T112" s="89"/>
      <c r="U112" s="89">
        <v>870</v>
      </c>
      <c r="V112" s="101"/>
      <c r="W112" s="89">
        <v>300</v>
      </c>
      <c r="X112" s="89">
        <v>560</v>
      </c>
      <c r="Y112" s="89"/>
      <c r="Z112" s="101"/>
      <c r="AA112" s="91"/>
      <c r="AB112" s="97">
        <v>6.3</v>
      </c>
      <c r="AC112" s="97">
        <v>14.8</v>
      </c>
      <c r="AD112" s="97"/>
      <c r="AE112" s="97"/>
      <c r="AF112" s="97"/>
      <c r="AG112" s="97">
        <v>26.4</v>
      </c>
      <c r="AH112" s="97"/>
      <c r="AI112" s="97"/>
      <c r="AJ112" s="97"/>
      <c r="AK112" s="97"/>
      <c r="AL112" s="97">
        <f>AVERAGE(41.1,40.2)</f>
        <v>40.650000000000006</v>
      </c>
      <c r="AM112" s="97"/>
      <c r="AN112" s="97"/>
      <c r="AO112" s="97"/>
      <c r="AP112" s="97"/>
      <c r="AQ112" s="97">
        <v>54.6</v>
      </c>
      <c r="AR112" s="97"/>
      <c r="AS112" s="97"/>
      <c r="AT112" s="97"/>
      <c r="AU112" s="97"/>
      <c r="AV112" s="97"/>
      <c r="AW112" s="97"/>
      <c r="AX112" s="97"/>
      <c r="AY112" s="91"/>
      <c r="AZ112" s="91"/>
      <c r="BA112" s="91"/>
      <c r="BB112" s="91"/>
      <c r="BC112" s="101"/>
      <c r="BD112" s="101"/>
      <c r="BE112" s="101"/>
      <c r="BF112" s="101"/>
      <c r="BG112" s="91"/>
      <c r="BH112" s="91"/>
      <c r="BI112" s="91"/>
      <c r="BJ112" s="91"/>
      <c r="BK112" s="91"/>
      <c r="BL112" s="92"/>
    </row>
    <row r="113" spans="1:64" ht="14" x14ac:dyDescent="0.15">
      <c r="A113" s="90">
        <f t="shared" si="1"/>
        <v>112</v>
      </c>
      <c r="B113" s="91" t="s">
        <v>22</v>
      </c>
      <c r="C113" s="89">
        <v>365</v>
      </c>
      <c r="D113" s="89">
        <v>30</v>
      </c>
      <c r="E113" s="91"/>
      <c r="F113" s="91"/>
      <c r="G113" s="91"/>
      <c r="H113" s="89"/>
      <c r="I113" s="89">
        <v>185</v>
      </c>
      <c r="J113" s="99"/>
      <c r="K113" s="99">
        <v>1.5</v>
      </c>
      <c r="L113" s="91"/>
      <c r="M113" s="99"/>
      <c r="N113" s="101"/>
      <c r="O113" s="101"/>
      <c r="P113" s="101"/>
      <c r="Q113" s="99"/>
      <c r="R113" s="101"/>
      <c r="S113" s="101"/>
      <c r="T113" s="89"/>
      <c r="U113" s="89">
        <v>860</v>
      </c>
      <c r="V113" s="101"/>
      <c r="W113" s="89">
        <v>200</v>
      </c>
      <c r="X113" s="89">
        <v>415</v>
      </c>
      <c r="Y113" s="89">
        <v>340</v>
      </c>
      <c r="Z113" s="101"/>
      <c r="AA113" s="91"/>
      <c r="AB113" s="97"/>
      <c r="AC113" s="97">
        <f>AVERAGE(16.4,16.2)</f>
        <v>16.299999999999997</v>
      </c>
      <c r="AD113" s="97"/>
      <c r="AE113" s="97"/>
      <c r="AF113" s="97"/>
      <c r="AG113" s="97">
        <f>AVERAGE(29.1,27.6)</f>
        <v>28.35</v>
      </c>
      <c r="AH113" s="97"/>
      <c r="AI113" s="97"/>
      <c r="AJ113" s="97"/>
      <c r="AK113" s="97"/>
      <c r="AL113" s="97">
        <f>AVERAGE(45.6,47.2)</f>
        <v>46.400000000000006</v>
      </c>
      <c r="AM113" s="97"/>
      <c r="AN113" s="97"/>
      <c r="AO113" s="97"/>
      <c r="AP113" s="97"/>
      <c r="AQ113" s="97">
        <f>AVERAGE(59.5,54)</f>
        <v>56.75</v>
      </c>
      <c r="AR113" s="87"/>
      <c r="AS113" s="87"/>
      <c r="AT113" s="87"/>
      <c r="AU113" s="87"/>
      <c r="AV113" s="87"/>
      <c r="AW113" s="87"/>
      <c r="AX113" s="87"/>
      <c r="AY113" s="91"/>
      <c r="AZ113" s="91"/>
      <c r="BA113" s="91"/>
      <c r="BB113" s="91"/>
      <c r="BC113" s="101"/>
      <c r="BD113" s="101"/>
      <c r="BE113" s="101"/>
      <c r="BF113" s="101"/>
      <c r="BG113" s="91"/>
      <c r="BH113" s="91"/>
      <c r="BI113" s="91"/>
      <c r="BJ113" s="91"/>
      <c r="BK113" s="91"/>
      <c r="BL113" s="92"/>
    </row>
    <row r="114" spans="1:64" ht="14" x14ac:dyDescent="0.15">
      <c r="A114" s="90">
        <f t="shared" si="1"/>
        <v>113</v>
      </c>
      <c r="B114" s="91" t="s">
        <v>22</v>
      </c>
      <c r="C114" s="89">
        <v>365</v>
      </c>
      <c r="D114" s="89">
        <v>50</v>
      </c>
      <c r="E114" s="94"/>
      <c r="F114" s="94"/>
      <c r="G114" s="94"/>
      <c r="H114" s="89">
        <v>190</v>
      </c>
      <c r="I114" s="89"/>
      <c r="J114" s="99">
        <v>1.8</v>
      </c>
      <c r="K114" s="99">
        <v>2.2000000000000002</v>
      </c>
      <c r="L114" s="94"/>
      <c r="M114" s="99"/>
      <c r="N114" s="94"/>
      <c r="O114" s="94"/>
      <c r="P114" s="94"/>
      <c r="Q114" s="99">
        <v>2</v>
      </c>
      <c r="R114" s="94"/>
      <c r="S114" s="94"/>
      <c r="T114" s="89"/>
      <c r="U114" s="89">
        <v>880</v>
      </c>
      <c r="V114" s="94"/>
      <c r="W114" s="89">
        <v>185</v>
      </c>
      <c r="X114" s="89">
        <v>660</v>
      </c>
      <c r="Y114" s="89"/>
      <c r="Z114" s="94"/>
      <c r="AA114" s="94"/>
      <c r="AB114" s="97">
        <v>1.1000000000000001</v>
      </c>
      <c r="AC114" s="97">
        <v>18.399999999999999</v>
      </c>
      <c r="AD114" s="97">
        <v>24.1</v>
      </c>
      <c r="AE114" s="97"/>
      <c r="AF114" s="97"/>
      <c r="AG114" s="97">
        <v>33.5</v>
      </c>
      <c r="AH114" s="97"/>
      <c r="AI114" s="97"/>
      <c r="AJ114" s="97">
        <v>40.4</v>
      </c>
      <c r="AK114" s="97"/>
      <c r="AL114" s="97">
        <v>49.3</v>
      </c>
      <c r="AM114" s="97"/>
      <c r="AN114" s="97"/>
      <c r="AO114" s="97"/>
      <c r="AP114" s="97"/>
      <c r="AQ114" s="97">
        <v>62.6</v>
      </c>
      <c r="AR114" s="97"/>
      <c r="AS114" s="97"/>
      <c r="AT114" s="97"/>
      <c r="AU114" s="97"/>
      <c r="AV114" s="97"/>
      <c r="AW114" s="97"/>
      <c r="AX114" s="97"/>
      <c r="AY114" s="91"/>
      <c r="AZ114" s="91"/>
      <c r="BA114" s="91"/>
      <c r="BB114" s="91"/>
      <c r="BC114" s="101"/>
      <c r="BD114" s="101"/>
      <c r="BE114" s="101"/>
      <c r="BF114" s="101"/>
      <c r="BG114" s="91"/>
      <c r="BH114" s="91"/>
      <c r="BI114" s="91"/>
      <c r="BJ114" s="91"/>
      <c r="BK114" s="91"/>
      <c r="BL114" s="92"/>
    </row>
    <row r="115" spans="1:64" ht="14" x14ac:dyDescent="0.15">
      <c r="A115" s="90">
        <f t="shared" si="1"/>
        <v>114</v>
      </c>
      <c r="B115" s="91" t="s">
        <v>22</v>
      </c>
      <c r="C115" s="89">
        <v>365</v>
      </c>
      <c r="D115" s="89">
        <v>50</v>
      </c>
      <c r="E115" s="87"/>
      <c r="F115" s="87"/>
      <c r="G115" s="87"/>
      <c r="H115" s="89">
        <v>190</v>
      </c>
      <c r="I115" s="89"/>
      <c r="J115" s="99">
        <v>1.8</v>
      </c>
      <c r="K115" s="99">
        <v>2.2000000000000002</v>
      </c>
      <c r="L115" s="87"/>
      <c r="M115" s="99"/>
      <c r="N115" s="87"/>
      <c r="O115" s="87"/>
      <c r="P115" s="87"/>
      <c r="Q115" s="99"/>
      <c r="R115" s="87"/>
      <c r="S115" s="87"/>
      <c r="T115" s="89"/>
      <c r="U115" s="89">
        <v>880</v>
      </c>
      <c r="V115" s="87"/>
      <c r="W115" s="89">
        <v>185</v>
      </c>
      <c r="X115" s="89">
        <v>660</v>
      </c>
      <c r="Y115" s="89"/>
      <c r="Z115" s="87"/>
      <c r="AA115" s="87"/>
      <c r="AB115" s="97">
        <v>2.7</v>
      </c>
      <c r="AC115" s="97">
        <v>17.100000000000001</v>
      </c>
      <c r="AD115" s="97">
        <v>22</v>
      </c>
      <c r="AE115" s="97"/>
      <c r="AF115" s="97"/>
      <c r="AG115" s="97">
        <v>30.7</v>
      </c>
      <c r="AH115" s="97"/>
      <c r="AI115" s="97"/>
      <c r="AJ115" s="97">
        <v>38.9</v>
      </c>
      <c r="AK115" s="97"/>
      <c r="AL115" s="97">
        <v>47.9</v>
      </c>
      <c r="AM115" s="97"/>
      <c r="AN115" s="97"/>
      <c r="AO115" s="97"/>
      <c r="AP115" s="97"/>
      <c r="AQ115" s="97">
        <v>62.6</v>
      </c>
      <c r="AR115" s="97"/>
      <c r="AS115" s="97"/>
      <c r="AT115" s="97"/>
      <c r="AU115" s="97"/>
      <c r="AV115" s="97"/>
      <c r="AW115" s="97"/>
      <c r="AX115" s="97"/>
      <c r="AY115" s="91"/>
      <c r="AZ115" s="91"/>
      <c r="BA115" s="91"/>
      <c r="BB115" s="91"/>
      <c r="BC115" s="101"/>
      <c r="BD115" s="101"/>
      <c r="BE115" s="101"/>
      <c r="BF115" s="101"/>
      <c r="BG115" s="91"/>
      <c r="BH115" s="91"/>
      <c r="BI115" s="91"/>
      <c r="BJ115" s="91"/>
      <c r="BK115" s="91"/>
      <c r="BL115" s="92"/>
    </row>
    <row r="116" spans="1:64" ht="14" x14ac:dyDescent="0.15">
      <c r="A116" s="90">
        <f t="shared" si="1"/>
        <v>115</v>
      </c>
      <c r="B116" s="91" t="s">
        <v>22</v>
      </c>
      <c r="C116" s="89">
        <v>360</v>
      </c>
      <c r="D116" s="89">
        <v>50</v>
      </c>
      <c r="E116" s="87"/>
      <c r="F116" s="87"/>
      <c r="G116" s="87"/>
      <c r="H116" s="89">
        <v>130</v>
      </c>
      <c r="I116" s="89">
        <v>50</v>
      </c>
      <c r="J116" s="99">
        <v>1.2</v>
      </c>
      <c r="K116" s="99">
        <v>1.7</v>
      </c>
      <c r="L116" s="87"/>
      <c r="M116" s="99"/>
      <c r="N116" s="87"/>
      <c r="O116" s="87"/>
      <c r="P116" s="87"/>
      <c r="Q116" s="99"/>
      <c r="R116" s="87"/>
      <c r="S116" s="87"/>
      <c r="T116" s="89"/>
      <c r="U116" s="89">
        <v>940</v>
      </c>
      <c r="V116" s="87"/>
      <c r="W116" s="89"/>
      <c r="X116" s="89">
        <v>525</v>
      </c>
      <c r="Y116" s="89">
        <v>300</v>
      </c>
      <c r="Z116" s="87"/>
      <c r="AA116" s="87"/>
      <c r="AB116" s="97"/>
      <c r="AC116" s="97">
        <f>AVERAGE(11.4,11.8)</f>
        <v>11.600000000000001</v>
      </c>
      <c r="AD116" s="97"/>
      <c r="AE116" s="97"/>
      <c r="AF116" s="97"/>
      <c r="AG116" s="97"/>
      <c r="AH116" s="97">
        <f>AVERAGE(28.7,29.6)</f>
        <v>29.15</v>
      </c>
      <c r="AI116" s="97"/>
      <c r="AJ116" s="97"/>
      <c r="AK116" s="97"/>
      <c r="AL116" s="97">
        <f>AVERAGE(44.9,46)</f>
        <v>45.45</v>
      </c>
      <c r="AM116" s="97"/>
      <c r="AN116" s="97"/>
      <c r="AO116" s="97"/>
      <c r="AP116" s="97"/>
      <c r="AQ116" s="97">
        <f>AVERAGE(55.3,56.6)</f>
        <v>55.95</v>
      </c>
      <c r="AR116" s="87"/>
      <c r="AS116" s="87"/>
      <c r="AT116" s="87"/>
      <c r="AU116" s="87"/>
      <c r="AV116" s="87"/>
      <c r="AW116" s="87"/>
      <c r="AX116" s="87"/>
      <c r="AY116" s="91"/>
      <c r="AZ116" s="91"/>
      <c r="BA116" s="91"/>
      <c r="BB116" s="91"/>
      <c r="BC116" s="101"/>
      <c r="BD116" s="101"/>
      <c r="BE116" s="101"/>
      <c r="BF116" s="101"/>
      <c r="BG116" s="91"/>
      <c r="BH116" s="91"/>
      <c r="BI116" s="91"/>
      <c r="BJ116" s="91"/>
      <c r="BK116" s="91"/>
      <c r="BL116" s="92"/>
    </row>
    <row r="117" spans="1:64" ht="14" x14ac:dyDescent="0.15">
      <c r="A117" s="90">
        <f t="shared" si="1"/>
        <v>116</v>
      </c>
      <c r="B117" s="91" t="s">
        <v>22</v>
      </c>
      <c r="C117" s="89">
        <v>360</v>
      </c>
      <c r="D117" s="89">
        <v>50</v>
      </c>
      <c r="E117" s="87"/>
      <c r="F117" s="87"/>
      <c r="G117" s="87"/>
      <c r="H117" s="89">
        <v>125</v>
      </c>
      <c r="I117" s="89">
        <v>65</v>
      </c>
      <c r="J117" s="99"/>
      <c r="K117" s="99">
        <v>2.25</v>
      </c>
      <c r="L117" s="87"/>
      <c r="M117" s="99"/>
      <c r="N117" s="87"/>
      <c r="O117" s="87"/>
      <c r="P117" s="87"/>
      <c r="Q117" s="99"/>
      <c r="R117" s="87"/>
      <c r="S117" s="87"/>
      <c r="T117" s="89"/>
      <c r="U117" s="89">
        <v>885</v>
      </c>
      <c r="V117" s="87"/>
      <c r="W117" s="89"/>
      <c r="X117" s="89">
        <v>480</v>
      </c>
      <c r="Y117" s="89">
        <v>360</v>
      </c>
      <c r="Z117" s="87"/>
      <c r="AA117" s="87"/>
      <c r="AB117" s="97"/>
      <c r="AC117" s="97">
        <f>AVERAGE(17.3,17.6)</f>
        <v>17.450000000000003</v>
      </c>
      <c r="AD117" s="97"/>
      <c r="AE117" s="97"/>
      <c r="AF117" s="97"/>
      <c r="AG117" s="97">
        <f>AVERAGE(31.9,31.1)</f>
        <v>31.5</v>
      </c>
      <c r="AH117" s="97"/>
      <c r="AI117" s="97"/>
      <c r="AJ117" s="97"/>
      <c r="AK117" s="97"/>
      <c r="AL117" s="97">
        <f>AVERAGE(48.8,48.2)</f>
        <v>48.5</v>
      </c>
      <c r="AM117" s="97"/>
      <c r="AN117" s="97"/>
      <c r="AO117" s="97"/>
      <c r="AP117" s="97"/>
      <c r="AQ117" s="97">
        <f>AVERAGE(63,61.9)</f>
        <v>62.45</v>
      </c>
      <c r="AR117" s="87"/>
      <c r="AS117" s="87"/>
      <c r="AT117" s="87"/>
      <c r="AU117" s="87"/>
      <c r="AV117" s="87"/>
      <c r="AW117" s="87"/>
      <c r="AX117" s="87"/>
      <c r="AY117" s="91"/>
      <c r="AZ117" s="91"/>
      <c r="BA117" s="91"/>
      <c r="BB117" s="91"/>
      <c r="BC117" s="101"/>
      <c r="BD117" s="101"/>
      <c r="BE117" s="101"/>
      <c r="BF117" s="101"/>
      <c r="BG117" s="91"/>
      <c r="BH117" s="91"/>
      <c r="BI117" s="91"/>
      <c r="BJ117" s="91"/>
      <c r="BK117" s="91"/>
      <c r="BL117" s="92"/>
    </row>
    <row r="118" spans="1:64" ht="14" x14ac:dyDescent="0.15">
      <c r="A118" s="90">
        <f t="shared" si="1"/>
        <v>117</v>
      </c>
      <c r="B118" s="91" t="s">
        <v>22</v>
      </c>
      <c r="C118" s="89">
        <v>360</v>
      </c>
      <c r="D118" s="89">
        <v>50</v>
      </c>
      <c r="E118" s="87"/>
      <c r="F118" s="87"/>
      <c r="G118" s="87"/>
      <c r="H118" s="89">
        <v>130</v>
      </c>
      <c r="I118" s="89">
        <v>50</v>
      </c>
      <c r="J118" s="99">
        <v>1.2</v>
      </c>
      <c r="K118" s="99">
        <v>1.7</v>
      </c>
      <c r="L118" s="87"/>
      <c r="M118" s="99"/>
      <c r="N118" s="87"/>
      <c r="O118" s="87"/>
      <c r="P118" s="87"/>
      <c r="Q118" s="99"/>
      <c r="R118" s="87"/>
      <c r="S118" s="87"/>
      <c r="T118" s="89"/>
      <c r="U118" s="89">
        <v>940</v>
      </c>
      <c r="V118" s="87"/>
      <c r="W118" s="89"/>
      <c r="X118" s="89">
        <v>525</v>
      </c>
      <c r="Y118" s="89">
        <v>300</v>
      </c>
      <c r="Z118" s="87"/>
      <c r="AA118" s="87"/>
      <c r="AB118" s="97"/>
      <c r="AC118" s="97">
        <f>AVERAGE(17.7,17.2)</f>
        <v>17.45</v>
      </c>
      <c r="AD118" s="97"/>
      <c r="AE118" s="97"/>
      <c r="AF118" s="97"/>
      <c r="AG118" s="97"/>
      <c r="AH118" s="97">
        <f>AVERAGE(37.6,37.8)</f>
        <v>37.700000000000003</v>
      </c>
      <c r="AI118" s="97"/>
      <c r="AJ118" s="97"/>
      <c r="AK118" s="97"/>
      <c r="AL118" s="97">
        <f>AVERAGE(48.2,48.3)</f>
        <v>48.25</v>
      </c>
      <c r="AM118" s="97"/>
      <c r="AN118" s="97"/>
      <c r="AO118" s="97"/>
      <c r="AP118" s="97"/>
      <c r="AQ118" s="97">
        <f>AVERAGE(59.4,60.2)</f>
        <v>59.8</v>
      </c>
      <c r="AR118" s="87"/>
      <c r="AS118" s="87"/>
      <c r="AT118" s="87"/>
      <c r="AU118" s="87"/>
      <c r="AV118" s="87"/>
      <c r="AW118" s="87"/>
      <c r="AX118" s="87"/>
      <c r="AY118" s="91"/>
      <c r="AZ118" s="91"/>
      <c r="BA118" s="91"/>
      <c r="BB118" s="91"/>
      <c r="BC118" s="101"/>
      <c r="BD118" s="101"/>
      <c r="BE118" s="101"/>
      <c r="BF118" s="101"/>
      <c r="BG118" s="91"/>
      <c r="BH118" s="91"/>
      <c r="BI118" s="91"/>
      <c r="BJ118" s="91"/>
      <c r="BK118" s="91"/>
      <c r="BL118" s="92"/>
    </row>
    <row r="119" spans="1:64" ht="14" x14ac:dyDescent="0.15">
      <c r="A119" s="90">
        <f t="shared" si="1"/>
        <v>118</v>
      </c>
      <c r="B119" s="91" t="s">
        <v>22</v>
      </c>
      <c r="C119" s="89">
        <v>355</v>
      </c>
      <c r="D119" s="89">
        <v>55</v>
      </c>
      <c r="E119" s="87"/>
      <c r="F119" s="87"/>
      <c r="G119" s="87"/>
      <c r="H119" s="89">
        <v>100</v>
      </c>
      <c r="I119" s="89">
        <v>100</v>
      </c>
      <c r="J119" s="99">
        <v>2.2999999999999998</v>
      </c>
      <c r="K119" s="99"/>
      <c r="L119" s="87"/>
      <c r="M119" s="99"/>
      <c r="N119" s="87"/>
      <c r="O119" s="87"/>
      <c r="P119" s="87"/>
      <c r="Q119" s="99"/>
      <c r="R119" s="87"/>
      <c r="S119" s="87"/>
      <c r="T119" s="89"/>
      <c r="U119" s="89">
        <v>840</v>
      </c>
      <c r="V119" s="87"/>
      <c r="W119" s="89">
        <v>160</v>
      </c>
      <c r="X119" s="89">
        <v>420</v>
      </c>
      <c r="Y119" s="89">
        <v>340</v>
      </c>
      <c r="Z119" s="87"/>
      <c r="AA119" s="87"/>
      <c r="AB119" s="97"/>
      <c r="AC119" s="97">
        <f>AVERAGE(15.2,15.6)</f>
        <v>15.399999999999999</v>
      </c>
      <c r="AD119" s="97"/>
      <c r="AE119" s="97"/>
      <c r="AF119" s="97"/>
      <c r="AG119" s="97">
        <f>AVERAGE(25.6,24.7)</f>
        <v>25.15</v>
      </c>
      <c r="AH119" s="97"/>
      <c r="AI119" s="97"/>
      <c r="AJ119" s="97"/>
      <c r="AK119" s="97"/>
      <c r="AL119" s="97">
        <f>AVERAGE(36.4,38.1)</f>
        <v>37.25</v>
      </c>
      <c r="AM119" s="97"/>
      <c r="AN119" s="97"/>
      <c r="AO119" s="97"/>
      <c r="AP119" s="97"/>
      <c r="AQ119" s="97">
        <f>AVERAGE(49,47.3)</f>
        <v>48.15</v>
      </c>
      <c r="AR119" s="97"/>
      <c r="AS119" s="97"/>
      <c r="AT119" s="97"/>
      <c r="AU119" s="97"/>
      <c r="AV119" s="97"/>
      <c r="AW119" s="97"/>
      <c r="AX119" s="97"/>
      <c r="AY119" s="91"/>
      <c r="AZ119" s="91"/>
      <c r="BA119" s="91"/>
      <c r="BB119" s="91"/>
      <c r="BC119" s="101"/>
      <c r="BD119" s="101"/>
      <c r="BE119" s="101"/>
      <c r="BF119" s="101"/>
      <c r="BG119" s="91"/>
      <c r="BH119" s="91"/>
      <c r="BI119" s="91"/>
      <c r="BJ119" s="91"/>
      <c r="BK119" s="91"/>
      <c r="BL119" s="92"/>
    </row>
    <row r="120" spans="1:64" ht="14" x14ac:dyDescent="0.15">
      <c r="A120" s="90">
        <f t="shared" si="1"/>
        <v>119</v>
      </c>
      <c r="B120" s="91" t="s">
        <v>22</v>
      </c>
      <c r="C120" s="89">
        <v>355</v>
      </c>
      <c r="D120" s="89">
        <v>55</v>
      </c>
      <c r="E120" s="87"/>
      <c r="F120" s="87"/>
      <c r="G120" s="87"/>
      <c r="H120" s="89">
        <v>100</v>
      </c>
      <c r="I120" s="89">
        <v>100</v>
      </c>
      <c r="J120" s="99">
        <v>2.2999999999999998</v>
      </c>
      <c r="K120" s="99"/>
      <c r="L120" s="87"/>
      <c r="M120" s="99"/>
      <c r="N120" s="87"/>
      <c r="O120" s="87"/>
      <c r="P120" s="87"/>
      <c r="Q120" s="99"/>
      <c r="R120" s="87"/>
      <c r="S120" s="87"/>
      <c r="T120" s="89"/>
      <c r="U120" s="89">
        <v>840</v>
      </c>
      <c r="V120" s="87"/>
      <c r="W120" s="89">
        <v>300</v>
      </c>
      <c r="X120" s="89">
        <v>620</v>
      </c>
      <c r="Y120" s="89"/>
      <c r="Z120" s="87"/>
      <c r="AA120" s="87"/>
      <c r="AB120" s="97"/>
      <c r="AC120" s="97">
        <v>14.1</v>
      </c>
      <c r="AD120" s="97"/>
      <c r="AE120" s="97"/>
      <c r="AF120" s="97"/>
      <c r="AG120" s="97">
        <v>23.8</v>
      </c>
      <c r="AH120" s="97"/>
      <c r="AI120" s="97"/>
      <c r="AJ120" s="97"/>
      <c r="AK120" s="97"/>
      <c r="AL120" s="97">
        <f>AVERAGE(36.9,29.9)</f>
        <v>33.4</v>
      </c>
      <c r="AM120" s="97"/>
      <c r="AN120" s="97"/>
      <c r="AO120" s="97"/>
      <c r="AP120" s="97"/>
      <c r="AQ120" s="97">
        <f>AVERAGE(49.4,46.1)</f>
        <v>47.75</v>
      </c>
      <c r="AR120" s="97"/>
      <c r="AS120" s="97"/>
      <c r="AT120" s="97"/>
      <c r="AU120" s="97"/>
      <c r="AV120" s="97"/>
      <c r="AW120" s="97"/>
      <c r="AX120" s="97"/>
      <c r="AY120" s="91"/>
      <c r="AZ120" s="91"/>
      <c r="BA120" s="91"/>
      <c r="BB120" s="91"/>
      <c r="BC120" s="101"/>
      <c r="BD120" s="101"/>
      <c r="BE120" s="101"/>
      <c r="BF120" s="101"/>
      <c r="BG120" s="91"/>
      <c r="BH120" s="91"/>
      <c r="BI120" s="91"/>
      <c r="BJ120" s="91"/>
      <c r="BK120" s="91"/>
      <c r="BL120" s="92"/>
    </row>
    <row r="121" spans="1:64" ht="14" x14ac:dyDescent="0.15">
      <c r="A121" s="90">
        <f t="shared" si="1"/>
        <v>120</v>
      </c>
      <c r="B121" s="91" t="s">
        <v>22</v>
      </c>
      <c r="C121" s="89">
        <v>350</v>
      </c>
      <c r="D121" s="89">
        <v>42</v>
      </c>
      <c r="E121" s="87"/>
      <c r="F121" s="87"/>
      <c r="G121" s="87"/>
      <c r="H121" s="89">
        <v>195</v>
      </c>
      <c r="I121" s="89"/>
      <c r="J121" s="99">
        <v>1.9</v>
      </c>
      <c r="K121" s="99"/>
      <c r="L121" s="87"/>
      <c r="M121" s="99"/>
      <c r="N121" s="87"/>
      <c r="O121" s="87"/>
      <c r="P121" s="87"/>
      <c r="Q121" s="99"/>
      <c r="R121" s="87"/>
      <c r="S121" s="87"/>
      <c r="T121" s="89"/>
      <c r="U121" s="89">
        <v>820</v>
      </c>
      <c r="V121" s="87"/>
      <c r="W121" s="89">
        <v>130</v>
      </c>
      <c r="X121" s="89">
        <v>810</v>
      </c>
      <c r="Y121" s="89"/>
      <c r="Z121" s="87"/>
      <c r="AA121" s="87"/>
      <c r="AB121" s="87"/>
      <c r="AC121" s="97">
        <v>11.7</v>
      </c>
      <c r="AD121" s="97"/>
      <c r="AE121" s="97"/>
      <c r="AF121" s="97"/>
      <c r="AG121" s="97">
        <v>21</v>
      </c>
      <c r="AH121" s="97"/>
      <c r="AI121" s="97"/>
      <c r="AJ121" s="97"/>
      <c r="AK121" s="97"/>
      <c r="AL121" s="97">
        <f>AVERAGE(37.2,37.7,37.3)</f>
        <v>37.4</v>
      </c>
      <c r="AM121" s="97"/>
      <c r="AN121" s="97"/>
      <c r="AO121" s="97"/>
      <c r="AP121" s="97"/>
      <c r="AQ121" s="97">
        <v>62.4</v>
      </c>
      <c r="AR121" s="87"/>
      <c r="AS121" s="87"/>
      <c r="AT121" s="87"/>
      <c r="AU121" s="87"/>
      <c r="AV121" s="87"/>
      <c r="AW121" s="87"/>
      <c r="AX121" s="87"/>
      <c r="AY121" s="91"/>
      <c r="AZ121" s="91"/>
      <c r="BA121" s="91"/>
      <c r="BB121" s="91"/>
      <c r="BC121" s="101"/>
      <c r="BD121" s="101"/>
      <c r="BE121" s="101"/>
      <c r="BF121" s="101"/>
      <c r="BG121" s="91"/>
      <c r="BH121" s="91"/>
      <c r="BI121" s="91"/>
      <c r="BJ121" s="91"/>
      <c r="BK121" s="91"/>
      <c r="BL121" s="92"/>
    </row>
    <row r="122" spans="1:64" ht="14" x14ac:dyDescent="0.15">
      <c r="A122" s="90">
        <f t="shared" si="1"/>
        <v>121</v>
      </c>
      <c r="B122" s="91" t="s">
        <v>22</v>
      </c>
      <c r="C122" s="89">
        <v>350</v>
      </c>
      <c r="D122" s="89">
        <v>70</v>
      </c>
      <c r="E122" s="87"/>
      <c r="F122" s="87"/>
      <c r="G122" s="87"/>
      <c r="H122" s="89">
        <v>180</v>
      </c>
      <c r="I122" s="89"/>
      <c r="J122" s="99"/>
      <c r="K122" s="99"/>
      <c r="L122" s="87"/>
      <c r="M122" s="99"/>
      <c r="N122" s="87"/>
      <c r="O122" s="87"/>
      <c r="P122" s="87"/>
      <c r="Q122" s="99"/>
      <c r="R122" s="87"/>
      <c r="S122" s="87"/>
      <c r="T122" s="89"/>
      <c r="U122" s="89">
        <v>810</v>
      </c>
      <c r="V122" s="87"/>
      <c r="W122" s="89"/>
      <c r="X122" s="89">
        <v>540</v>
      </c>
      <c r="Y122" s="89">
        <v>370</v>
      </c>
      <c r="Z122" s="87"/>
      <c r="AA122" s="87"/>
      <c r="AB122" s="97">
        <v>6.4</v>
      </c>
      <c r="AC122" s="97">
        <f>AVERAGE(12.1,15.8)</f>
        <v>13.95</v>
      </c>
      <c r="AD122" s="97"/>
      <c r="AE122" s="97"/>
      <c r="AF122" s="97"/>
      <c r="AG122" s="97">
        <f>AVERAGE(28.2,28.3,28.4)</f>
        <v>28.3</v>
      </c>
      <c r="AH122" s="97"/>
      <c r="AI122" s="97"/>
      <c r="AJ122" s="97"/>
      <c r="AK122" s="97"/>
      <c r="AL122" s="97">
        <f>AVERAGE(41.6,41.8,40.8)</f>
        <v>41.4</v>
      </c>
      <c r="AM122" s="97"/>
      <c r="AN122" s="97"/>
      <c r="AO122" s="97"/>
      <c r="AP122" s="97"/>
      <c r="AQ122" s="97">
        <v>56.8</v>
      </c>
      <c r="AR122" s="87"/>
      <c r="AS122" s="87"/>
      <c r="AT122" s="87"/>
      <c r="AU122" s="87"/>
      <c r="AV122" s="87"/>
      <c r="AW122" s="87"/>
      <c r="AX122" s="87"/>
      <c r="AY122" s="91"/>
      <c r="AZ122" s="91"/>
      <c r="BA122" s="91"/>
      <c r="BB122" s="91"/>
      <c r="BC122" s="101"/>
      <c r="BD122" s="101"/>
      <c r="BE122" s="101"/>
      <c r="BF122" s="101"/>
      <c r="BG122" s="91"/>
      <c r="BH122" s="91"/>
      <c r="BI122" s="91"/>
      <c r="BJ122" s="91"/>
      <c r="BK122" s="91"/>
      <c r="BL122" s="92"/>
    </row>
    <row r="123" spans="1:64" ht="14" x14ac:dyDescent="0.15">
      <c r="A123" s="90">
        <f t="shared" si="1"/>
        <v>122</v>
      </c>
      <c r="B123" s="91" t="s">
        <v>22</v>
      </c>
      <c r="C123" s="89">
        <v>350</v>
      </c>
      <c r="D123" s="89">
        <v>60</v>
      </c>
      <c r="E123" s="87"/>
      <c r="F123" s="87"/>
      <c r="G123" s="87"/>
      <c r="H123" s="89">
        <v>145</v>
      </c>
      <c r="I123" s="89">
        <v>45</v>
      </c>
      <c r="J123" s="99">
        <v>1.5</v>
      </c>
      <c r="K123" s="99">
        <v>2.1</v>
      </c>
      <c r="L123" s="87"/>
      <c r="M123" s="99"/>
      <c r="N123" s="87"/>
      <c r="O123" s="87"/>
      <c r="P123" s="87"/>
      <c r="Q123" s="99"/>
      <c r="R123" s="87"/>
      <c r="S123" s="87"/>
      <c r="T123" s="89"/>
      <c r="U123" s="89">
        <v>900</v>
      </c>
      <c r="V123" s="87"/>
      <c r="W123" s="89"/>
      <c r="X123" s="89">
        <v>500</v>
      </c>
      <c r="Y123" s="89">
        <v>350</v>
      </c>
      <c r="Z123" s="87"/>
      <c r="AA123" s="87"/>
      <c r="AB123" s="97">
        <v>4.9000000000000004</v>
      </c>
      <c r="AC123" s="97">
        <v>11.1</v>
      </c>
      <c r="AD123" s="97">
        <v>14.1</v>
      </c>
      <c r="AE123" s="97">
        <v>16.899999999999999</v>
      </c>
      <c r="AF123" s="97"/>
      <c r="AG123" s="97">
        <v>20.399999999999999</v>
      </c>
      <c r="AH123" s="97"/>
      <c r="AI123" s="97"/>
      <c r="AJ123" s="97"/>
      <c r="AK123" s="97"/>
      <c r="AL123" s="97">
        <f>AVERAGE(35.7,37.3)</f>
        <v>36.5</v>
      </c>
      <c r="AM123" s="97"/>
      <c r="AN123" s="97"/>
      <c r="AO123" s="97"/>
      <c r="AP123" s="97"/>
      <c r="AQ123" s="97">
        <v>53.3</v>
      </c>
      <c r="AR123" s="87"/>
      <c r="AS123" s="87"/>
      <c r="AT123" s="87"/>
      <c r="AU123" s="87"/>
      <c r="AV123" s="87"/>
      <c r="AW123" s="87"/>
      <c r="AX123" s="87"/>
      <c r="AY123" s="91"/>
      <c r="AZ123" s="91"/>
      <c r="BA123" s="91"/>
      <c r="BB123" s="91"/>
      <c r="BC123" s="101"/>
      <c r="BD123" s="101"/>
      <c r="BE123" s="101"/>
      <c r="BF123" s="101"/>
      <c r="BG123" s="91"/>
      <c r="BH123" s="91"/>
      <c r="BI123" s="91"/>
      <c r="BJ123" s="91"/>
      <c r="BK123" s="91"/>
      <c r="BL123" s="92"/>
    </row>
    <row r="124" spans="1:64" ht="14" x14ac:dyDescent="0.15">
      <c r="A124" s="90">
        <f t="shared" si="1"/>
        <v>123</v>
      </c>
      <c r="B124" s="91" t="s">
        <v>22</v>
      </c>
      <c r="C124" s="89">
        <v>350</v>
      </c>
      <c r="D124" s="89"/>
      <c r="E124" s="87"/>
      <c r="F124" s="87"/>
      <c r="G124" s="87"/>
      <c r="H124" s="89">
        <v>170</v>
      </c>
      <c r="I124" s="89"/>
      <c r="J124" s="99"/>
      <c r="K124" s="99">
        <v>1.55</v>
      </c>
      <c r="L124" s="87"/>
      <c r="M124" s="99"/>
      <c r="N124" s="87"/>
      <c r="O124" s="87"/>
      <c r="P124" s="87"/>
      <c r="Q124" s="99"/>
      <c r="R124" s="87"/>
      <c r="S124" s="87"/>
      <c r="T124" s="89"/>
      <c r="U124" s="89">
        <v>890</v>
      </c>
      <c r="V124" s="87"/>
      <c r="W124" s="89">
        <v>300</v>
      </c>
      <c r="X124" s="89">
        <v>660</v>
      </c>
      <c r="Y124" s="89"/>
      <c r="Z124" s="87"/>
      <c r="AA124" s="87"/>
      <c r="AB124" s="97"/>
      <c r="AC124" s="97">
        <f>AVERAGE(13.1,13.6)</f>
        <v>13.35</v>
      </c>
      <c r="AD124" s="97"/>
      <c r="AE124" s="97"/>
      <c r="AF124" s="97"/>
      <c r="AG124" s="97">
        <f>AVERAGE(23.6,22.8)</f>
        <v>23.200000000000003</v>
      </c>
      <c r="AH124" s="97"/>
      <c r="AI124" s="97"/>
      <c r="AJ124" s="97"/>
      <c r="AK124" s="97"/>
      <c r="AL124" s="97">
        <f>AVERAGE(35.8,32.9)</f>
        <v>34.349999999999994</v>
      </c>
      <c r="AM124" s="97"/>
      <c r="AN124" s="97"/>
      <c r="AO124" s="97"/>
      <c r="AP124" s="97"/>
      <c r="AQ124" s="97">
        <v>45.6</v>
      </c>
      <c r="AR124" s="97"/>
      <c r="AS124" s="97"/>
      <c r="AT124" s="97"/>
      <c r="AU124" s="97"/>
      <c r="AV124" s="97"/>
      <c r="AW124" s="97"/>
      <c r="AX124" s="97"/>
      <c r="AY124" s="91"/>
      <c r="AZ124" s="91"/>
      <c r="BA124" s="91"/>
      <c r="BB124" s="91"/>
      <c r="BC124" s="101"/>
      <c r="BD124" s="101"/>
      <c r="BE124" s="101"/>
      <c r="BF124" s="101"/>
      <c r="BG124" s="91"/>
      <c r="BH124" s="91"/>
      <c r="BI124" s="91"/>
      <c r="BJ124" s="91"/>
      <c r="BK124" s="91"/>
      <c r="BL124" s="92"/>
    </row>
    <row r="125" spans="1:64" ht="14" x14ac:dyDescent="0.15">
      <c r="A125" s="90">
        <f t="shared" si="1"/>
        <v>124</v>
      </c>
      <c r="B125" s="91" t="s">
        <v>22</v>
      </c>
      <c r="C125" s="89">
        <v>350</v>
      </c>
      <c r="D125" s="89"/>
      <c r="E125" s="87"/>
      <c r="F125" s="87"/>
      <c r="G125" s="87"/>
      <c r="H125" s="89">
        <v>170</v>
      </c>
      <c r="I125" s="89"/>
      <c r="J125" s="99"/>
      <c r="K125" s="99">
        <v>1.55</v>
      </c>
      <c r="L125" s="87"/>
      <c r="M125" s="99"/>
      <c r="N125" s="87"/>
      <c r="O125" s="87"/>
      <c r="P125" s="87"/>
      <c r="Q125" s="99"/>
      <c r="R125" s="87"/>
      <c r="S125" s="87"/>
      <c r="T125" s="89"/>
      <c r="U125" s="89">
        <v>890</v>
      </c>
      <c r="V125" s="87"/>
      <c r="W125" s="89">
        <v>300</v>
      </c>
      <c r="X125" s="89">
        <v>660</v>
      </c>
      <c r="Y125" s="89"/>
      <c r="Z125" s="87"/>
      <c r="AA125" s="87"/>
      <c r="AB125" s="97"/>
      <c r="AC125" s="97">
        <f>AVERAGE(16.5,16.1)</f>
        <v>16.3</v>
      </c>
      <c r="AD125" s="97"/>
      <c r="AE125" s="97"/>
      <c r="AF125" s="97"/>
      <c r="AG125" s="97">
        <f>AVERAGE(26.4,26.2)</f>
        <v>26.299999999999997</v>
      </c>
      <c r="AH125" s="97"/>
      <c r="AI125" s="97"/>
      <c r="AJ125" s="97"/>
      <c r="AK125" s="97"/>
      <c r="AL125" s="97">
        <f>AVERAGE(39.3,39.5)</f>
        <v>39.4</v>
      </c>
      <c r="AM125" s="97"/>
      <c r="AN125" s="97"/>
      <c r="AO125" s="97"/>
      <c r="AP125" s="97"/>
      <c r="AQ125" s="97">
        <v>47.7</v>
      </c>
      <c r="AR125" s="97"/>
      <c r="AS125" s="97"/>
      <c r="AT125" s="97"/>
      <c r="AU125" s="97"/>
      <c r="AV125" s="97"/>
      <c r="AW125" s="97"/>
      <c r="AX125" s="97"/>
      <c r="AY125" s="91"/>
      <c r="AZ125" s="91"/>
      <c r="BA125" s="91"/>
      <c r="BB125" s="91"/>
      <c r="BC125" s="101"/>
      <c r="BD125" s="101"/>
      <c r="BE125" s="101"/>
      <c r="BF125" s="101"/>
      <c r="BG125" s="91"/>
      <c r="BH125" s="91"/>
      <c r="BI125" s="91"/>
      <c r="BJ125" s="91"/>
      <c r="BK125" s="91"/>
      <c r="BL125" s="92"/>
    </row>
    <row r="126" spans="1:64" ht="14" x14ac:dyDescent="0.15">
      <c r="A126" s="90">
        <f t="shared" si="1"/>
        <v>125</v>
      </c>
      <c r="B126" s="91" t="s">
        <v>22</v>
      </c>
      <c r="C126" s="89">
        <v>350</v>
      </c>
      <c r="D126" s="89"/>
      <c r="E126" s="87"/>
      <c r="F126" s="87"/>
      <c r="G126" s="87"/>
      <c r="H126" s="89">
        <v>170</v>
      </c>
      <c r="I126" s="89"/>
      <c r="J126" s="99"/>
      <c r="K126" s="99">
        <v>1.55</v>
      </c>
      <c r="L126" s="87"/>
      <c r="M126" s="99"/>
      <c r="N126" s="87"/>
      <c r="O126" s="87"/>
      <c r="P126" s="87"/>
      <c r="Q126" s="99"/>
      <c r="R126" s="87"/>
      <c r="S126" s="87"/>
      <c r="T126" s="89"/>
      <c r="U126" s="89">
        <v>890</v>
      </c>
      <c r="V126" s="87"/>
      <c r="W126" s="89">
        <v>300</v>
      </c>
      <c r="X126" s="89">
        <v>660</v>
      </c>
      <c r="Y126" s="89"/>
      <c r="Z126" s="87"/>
      <c r="AA126" s="87"/>
      <c r="AB126" s="97"/>
      <c r="AC126" s="97">
        <f>AVERAGE(15.1,14.5)</f>
        <v>14.8</v>
      </c>
      <c r="AD126" s="97"/>
      <c r="AE126" s="97"/>
      <c r="AF126" s="97"/>
      <c r="AG126" s="97">
        <f>AVERAGE(24.6,23.6)</f>
        <v>24.1</v>
      </c>
      <c r="AH126" s="97"/>
      <c r="AI126" s="97"/>
      <c r="AJ126" s="97"/>
      <c r="AK126" s="97"/>
      <c r="AL126" s="97">
        <f>AVERAGE(36,35.8)</f>
        <v>35.9</v>
      </c>
      <c r="AM126" s="97"/>
      <c r="AN126" s="97"/>
      <c r="AO126" s="97"/>
      <c r="AP126" s="97"/>
      <c r="AQ126" s="97">
        <v>43.8</v>
      </c>
      <c r="AR126" s="97"/>
      <c r="AS126" s="97"/>
      <c r="AT126" s="97"/>
      <c r="AU126" s="97"/>
      <c r="AV126" s="97"/>
      <c r="AW126" s="97"/>
      <c r="AX126" s="97"/>
      <c r="AY126" s="91"/>
      <c r="AZ126" s="91"/>
      <c r="BA126" s="91"/>
      <c r="BB126" s="91"/>
      <c r="BC126" s="101"/>
      <c r="BD126" s="101"/>
      <c r="BE126" s="101"/>
      <c r="BF126" s="101"/>
      <c r="BG126" s="91"/>
      <c r="BH126" s="91"/>
      <c r="BI126" s="91"/>
      <c r="BJ126" s="91"/>
      <c r="BK126" s="91"/>
      <c r="BL126" s="92"/>
    </row>
    <row r="127" spans="1:64" ht="14" x14ac:dyDescent="0.15">
      <c r="A127" s="90">
        <f t="shared" si="1"/>
        <v>126</v>
      </c>
      <c r="B127" s="91" t="s">
        <v>22</v>
      </c>
      <c r="C127" s="89">
        <v>350</v>
      </c>
      <c r="D127" s="89"/>
      <c r="E127" s="87"/>
      <c r="F127" s="87"/>
      <c r="G127" s="87"/>
      <c r="H127" s="89">
        <v>170</v>
      </c>
      <c r="I127" s="89"/>
      <c r="J127" s="99"/>
      <c r="K127" s="99">
        <v>1.55</v>
      </c>
      <c r="L127" s="87"/>
      <c r="M127" s="99"/>
      <c r="N127" s="87"/>
      <c r="O127" s="87"/>
      <c r="P127" s="87"/>
      <c r="Q127" s="99"/>
      <c r="R127" s="87"/>
      <c r="S127" s="87"/>
      <c r="T127" s="89"/>
      <c r="U127" s="89">
        <v>890</v>
      </c>
      <c r="V127" s="87"/>
      <c r="W127" s="89">
        <v>300</v>
      </c>
      <c r="X127" s="89">
        <v>660</v>
      </c>
      <c r="Y127" s="89"/>
      <c r="Z127" s="87"/>
      <c r="AA127" s="87"/>
      <c r="AB127" s="97"/>
      <c r="AC127" s="97">
        <f>AVERAGE(16,16.1)</f>
        <v>16.05</v>
      </c>
      <c r="AD127" s="97"/>
      <c r="AE127" s="97"/>
      <c r="AF127" s="97"/>
      <c r="AG127" s="97">
        <f>AVERAGE(26.4,26.6)</f>
        <v>26.5</v>
      </c>
      <c r="AH127" s="97"/>
      <c r="AI127" s="97"/>
      <c r="AJ127" s="97"/>
      <c r="AK127" s="97"/>
      <c r="AL127" s="97">
        <f>AVERAGE(40.4,40.2)</f>
        <v>40.299999999999997</v>
      </c>
      <c r="AM127" s="97"/>
      <c r="AN127" s="97"/>
      <c r="AO127" s="97"/>
      <c r="AP127" s="97"/>
      <c r="AQ127" s="97">
        <v>48.7</v>
      </c>
      <c r="AR127" s="97"/>
      <c r="AS127" s="97"/>
      <c r="AT127" s="97"/>
      <c r="AU127" s="97"/>
      <c r="AV127" s="97"/>
      <c r="AW127" s="97"/>
      <c r="AX127" s="97"/>
      <c r="AY127" s="91"/>
      <c r="AZ127" s="91"/>
      <c r="BA127" s="91"/>
      <c r="BB127" s="91"/>
      <c r="BC127" s="101"/>
      <c r="BD127" s="101"/>
      <c r="BE127" s="101"/>
      <c r="BF127" s="101"/>
      <c r="BG127" s="91"/>
      <c r="BH127" s="91"/>
      <c r="BI127" s="91"/>
      <c r="BJ127" s="91"/>
      <c r="BK127" s="91"/>
      <c r="BL127" s="92"/>
    </row>
    <row r="128" spans="1:64" ht="14" x14ac:dyDescent="0.15">
      <c r="A128" s="90">
        <f t="shared" si="1"/>
        <v>127</v>
      </c>
      <c r="B128" s="91" t="s">
        <v>22</v>
      </c>
      <c r="C128" s="89">
        <v>350</v>
      </c>
      <c r="D128" s="89">
        <v>70</v>
      </c>
      <c r="E128" s="87"/>
      <c r="F128" s="87"/>
      <c r="G128" s="87"/>
      <c r="H128" s="89">
        <v>100</v>
      </c>
      <c r="I128" s="89">
        <v>100</v>
      </c>
      <c r="J128" s="99">
        <v>3</v>
      </c>
      <c r="K128" s="99"/>
      <c r="L128" s="87"/>
      <c r="M128" s="99"/>
      <c r="N128" s="87"/>
      <c r="O128" s="87"/>
      <c r="P128" s="87"/>
      <c r="Q128" s="99"/>
      <c r="R128" s="87"/>
      <c r="S128" s="87"/>
      <c r="T128" s="89"/>
      <c r="U128" s="89">
        <v>850</v>
      </c>
      <c r="V128" s="87"/>
      <c r="W128" s="89">
        <v>300</v>
      </c>
      <c r="X128" s="89">
        <v>560</v>
      </c>
      <c r="Y128" s="89"/>
      <c r="Z128" s="87"/>
      <c r="AA128" s="87"/>
      <c r="AB128" s="97">
        <v>3.4</v>
      </c>
      <c r="AC128" s="97">
        <v>9.5</v>
      </c>
      <c r="AD128" s="97">
        <v>13.5</v>
      </c>
      <c r="AE128" s="97"/>
      <c r="AF128" s="97"/>
      <c r="AG128" s="97">
        <v>18.600000000000001</v>
      </c>
      <c r="AH128" s="97"/>
      <c r="AI128" s="97"/>
      <c r="AJ128" s="97">
        <v>25.3</v>
      </c>
      <c r="AK128" s="97"/>
      <c r="AL128" s="97">
        <v>33.299999999999997</v>
      </c>
      <c r="AM128" s="97"/>
      <c r="AN128" s="97"/>
      <c r="AO128" s="97">
        <v>39.1</v>
      </c>
      <c r="AP128" s="97"/>
      <c r="AQ128" s="97">
        <v>44.8</v>
      </c>
      <c r="AR128" s="97"/>
      <c r="AS128" s="97"/>
      <c r="AT128" s="97"/>
      <c r="AU128" s="97"/>
      <c r="AV128" s="97"/>
      <c r="AW128" s="97"/>
      <c r="AX128" s="97"/>
      <c r="AY128" s="91"/>
      <c r="AZ128" s="91"/>
      <c r="BA128" s="91"/>
      <c r="BB128" s="91"/>
      <c r="BC128" s="101"/>
      <c r="BD128" s="101"/>
      <c r="BE128" s="101"/>
      <c r="BF128" s="101"/>
      <c r="BG128" s="91"/>
      <c r="BH128" s="91"/>
      <c r="BI128" s="91"/>
      <c r="BJ128" s="91"/>
      <c r="BK128" s="91"/>
      <c r="BL128" s="92"/>
    </row>
    <row r="129" spans="1:64" ht="14" x14ac:dyDescent="0.15">
      <c r="A129" s="90">
        <f t="shared" si="1"/>
        <v>128</v>
      </c>
      <c r="B129" s="91" t="s">
        <v>22</v>
      </c>
      <c r="C129" s="89">
        <v>350</v>
      </c>
      <c r="D129" s="89">
        <v>70</v>
      </c>
      <c r="E129" s="87"/>
      <c r="F129" s="87"/>
      <c r="G129" s="87"/>
      <c r="H129" s="89">
        <v>100</v>
      </c>
      <c r="I129" s="89">
        <v>100</v>
      </c>
      <c r="J129" s="99">
        <v>3</v>
      </c>
      <c r="K129" s="99"/>
      <c r="L129" s="87"/>
      <c r="M129" s="99"/>
      <c r="N129" s="87"/>
      <c r="O129" s="87"/>
      <c r="P129" s="87"/>
      <c r="Q129" s="99"/>
      <c r="R129" s="87"/>
      <c r="S129" s="87"/>
      <c r="T129" s="89"/>
      <c r="U129" s="89">
        <v>850</v>
      </c>
      <c r="V129" s="87"/>
      <c r="W129" s="89">
        <v>300</v>
      </c>
      <c r="X129" s="89">
        <v>560</v>
      </c>
      <c r="Y129" s="89"/>
      <c r="Z129" s="87"/>
      <c r="AA129" s="87"/>
      <c r="AB129" s="97">
        <v>4.4000000000000004</v>
      </c>
      <c r="AC129" s="97">
        <v>10.8</v>
      </c>
      <c r="AD129" s="97">
        <v>14.6</v>
      </c>
      <c r="AE129" s="97"/>
      <c r="AF129" s="97"/>
      <c r="AG129" s="97">
        <v>22.3</v>
      </c>
      <c r="AH129" s="97"/>
      <c r="AI129" s="97"/>
      <c r="AJ129" s="97">
        <v>26.5</v>
      </c>
      <c r="AK129" s="97"/>
      <c r="AL129" s="97">
        <v>34.1</v>
      </c>
      <c r="AM129" s="97"/>
      <c r="AN129" s="97"/>
      <c r="AO129" s="97">
        <v>40</v>
      </c>
      <c r="AP129" s="97"/>
      <c r="AQ129" s="97">
        <v>42.9</v>
      </c>
      <c r="AR129" s="97"/>
      <c r="AS129" s="97"/>
      <c r="AT129" s="97"/>
      <c r="AU129" s="97"/>
      <c r="AV129" s="97"/>
      <c r="AW129" s="97"/>
      <c r="AX129" s="97"/>
      <c r="AY129" s="91"/>
      <c r="AZ129" s="91"/>
      <c r="BA129" s="91"/>
      <c r="BB129" s="91"/>
      <c r="BC129" s="101"/>
      <c r="BD129" s="101"/>
      <c r="BE129" s="101"/>
      <c r="BF129" s="101"/>
      <c r="BG129" s="91"/>
      <c r="BH129" s="91"/>
      <c r="BI129" s="91"/>
      <c r="BJ129" s="91"/>
      <c r="BK129" s="91"/>
      <c r="BL129" s="92"/>
    </row>
    <row r="130" spans="1:64" ht="14" x14ac:dyDescent="0.15">
      <c r="A130" s="90">
        <f t="shared" si="1"/>
        <v>129</v>
      </c>
      <c r="B130" s="91" t="s">
        <v>22</v>
      </c>
      <c r="C130" s="89">
        <v>345</v>
      </c>
      <c r="D130" s="89">
        <v>40</v>
      </c>
      <c r="E130" s="87"/>
      <c r="F130" s="87"/>
      <c r="G130" s="87"/>
      <c r="H130" s="89"/>
      <c r="I130" s="89">
        <v>185</v>
      </c>
      <c r="J130" s="99"/>
      <c r="K130" s="99">
        <v>1.4</v>
      </c>
      <c r="L130" s="87"/>
      <c r="M130" s="99"/>
      <c r="N130" s="87"/>
      <c r="O130" s="87"/>
      <c r="P130" s="87"/>
      <c r="Q130" s="99"/>
      <c r="R130" s="87"/>
      <c r="S130" s="87"/>
      <c r="T130" s="89"/>
      <c r="U130" s="89">
        <v>865</v>
      </c>
      <c r="V130" s="87"/>
      <c r="W130" s="89">
        <v>200</v>
      </c>
      <c r="X130" s="89">
        <v>420</v>
      </c>
      <c r="Y130" s="89">
        <v>340</v>
      </c>
      <c r="Z130" s="87"/>
      <c r="AA130" s="87"/>
      <c r="AB130" s="97"/>
      <c r="AC130" s="97">
        <f>AVERAGE(15.1,15.7)</f>
        <v>15.399999999999999</v>
      </c>
      <c r="AD130" s="97"/>
      <c r="AE130" s="97"/>
      <c r="AF130" s="97"/>
      <c r="AG130" s="97">
        <f>AVERAGE(26.7,27.1)</f>
        <v>26.9</v>
      </c>
      <c r="AH130" s="97"/>
      <c r="AI130" s="97"/>
      <c r="AJ130" s="97"/>
      <c r="AK130" s="97"/>
      <c r="AL130" s="97">
        <f>AVERAGE(45.5,43.6)</f>
        <v>44.55</v>
      </c>
      <c r="AM130" s="97"/>
      <c r="AN130" s="97"/>
      <c r="AO130" s="97"/>
      <c r="AP130" s="97"/>
      <c r="AQ130" s="97">
        <f>AVERAGE(60.5,52.9)</f>
        <v>56.7</v>
      </c>
      <c r="AR130" s="87"/>
      <c r="AS130" s="87"/>
      <c r="AT130" s="87"/>
      <c r="AU130" s="87"/>
      <c r="AV130" s="87"/>
      <c r="AW130" s="87"/>
      <c r="AX130" s="87"/>
      <c r="AY130" s="91"/>
      <c r="AZ130" s="91"/>
      <c r="BA130" s="91"/>
      <c r="BB130" s="91"/>
      <c r="BC130" s="101"/>
      <c r="BD130" s="101"/>
      <c r="BE130" s="101"/>
      <c r="BF130" s="101"/>
      <c r="BG130" s="91"/>
      <c r="BH130" s="91"/>
      <c r="BI130" s="91"/>
      <c r="BJ130" s="91"/>
      <c r="BK130" s="91"/>
      <c r="BL130" s="92"/>
    </row>
    <row r="131" spans="1:64" ht="14" x14ac:dyDescent="0.15">
      <c r="A131" s="90">
        <f t="shared" si="1"/>
        <v>130</v>
      </c>
      <c r="B131" s="91" t="s">
        <v>22</v>
      </c>
      <c r="C131" s="89">
        <v>340</v>
      </c>
      <c r="D131" s="89">
        <v>45</v>
      </c>
      <c r="E131" s="87"/>
      <c r="F131" s="87"/>
      <c r="G131" s="87"/>
      <c r="H131" s="89">
        <v>175</v>
      </c>
      <c r="I131" s="89"/>
      <c r="J131" s="99"/>
      <c r="K131" s="99">
        <v>1.55</v>
      </c>
      <c r="L131" s="87"/>
      <c r="M131" s="99"/>
      <c r="N131" s="87"/>
      <c r="O131" s="87"/>
      <c r="P131" s="87"/>
      <c r="Q131" s="99"/>
      <c r="R131" s="87"/>
      <c r="S131" s="87"/>
      <c r="T131" s="89"/>
      <c r="U131" s="89">
        <v>870</v>
      </c>
      <c r="V131" s="87"/>
      <c r="W131" s="89">
        <v>290</v>
      </c>
      <c r="X131" s="89">
        <v>650</v>
      </c>
      <c r="Y131" s="89"/>
      <c r="Z131" s="87"/>
      <c r="AA131" s="87"/>
      <c r="AB131" s="97"/>
      <c r="AC131" s="97">
        <f>AVERAGE(15.5,16)</f>
        <v>15.75</v>
      </c>
      <c r="AD131" s="97"/>
      <c r="AE131" s="97"/>
      <c r="AF131" s="97"/>
      <c r="AG131" s="97">
        <f>AVERAGE(26.5,26.2)</f>
        <v>26.35</v>
      </c>
      <c r="AH131" s="97"/>
      <c r="AI131" s="97"/>
      <c r="AJ131" s="97"/>
      <c r="AK131" s="97"/>
      <c r="AL131" s="97">
        <f>AVERAGE(40.4,40.4)</f>
        <v>40.4</v>
      </c>
      <c r="AM131" s="97"/>
      <c r="AN131" s="97"/>
      <c r="AO131" s="97"/>
      <c r="AP131" s="97"/>
      <c r="AQ131" s="97">
        <v>49.1</v>
      </c>
      <c r="AR131" s="97"/>
      <c r="AS131" s="97"/>
      <c r="AT131" s="97"/>
      <c r="AU131" s="97"/>
      <c r="AV131" s="97"/>
      <c r="AW131" s="97"/>
      <c r="AX131" s="97"/>
      <c r="AY131" s="91"/>
      <c r="AZ131" s="91"/>
      <c r="BA131" s="91"/>
      <c r="BB131" s="91"/>
      <c r="BC131" s="101"/>
      <c r="BD131" s="101"/>
      <c r="BE131" s="101"/>
      <c r="BF131" s="101"/>
      <c r="BG131" s="91"/>
      <c r="BH131" s="91"/>
      <c r="BI131" s="91"/>
      <c r="BJ131" s="91"/>
      <c r="BK131" s="91"/>
      <c r="BL131" s="92"/>
    </row>
    <row r="132" spans="1:64" ht="14" x14ac:dyDescent="0.15">
      <c r="A132" s="90">
        <f t="shared" ref="A132:A158" si="2">A131+1</f>
        <v>131</v>
      </c>
      <c r="B132" s="91" t="s">
        <v>22</v>
      </c>
      <c r="C132" s="89">
        <v>340</v>
      </c>
      <c r="D132" s="89">
        <v>45</v>
      </c>
      <c r="E132" s="87"/>
      <c r="F132" s="87"/>
      <c r="G132" s="87"/>
      <c r="H132" s="89">
        <v>175</v>
      </c>
      <c r="I132" s="89"/>
      <c r="J132" s="99"/>
      <c r="K132" s="99">
        <v>1.55</v>
      </c>
      <c r="L132" s="87"/>
      <c r="M132" s="99"/>
      <c r="N132" s="87"/>
      <c r="O132" s="87"/>
      <c r="P132" s="87"/>
      <c r="Q132" s="99"/>
      <c r="R132" s="87"/>
      <c r="S132" s="87"/>
      <c r="T132" s="89"/>
      <c r="U132" s="89">
        <v>870</v>
      </c>
      <c r="V132" s="87"/>
      <c r="W132" s="89">
        <v>290</v>
      </c>
      <c r="X132" s="89">
        <v>650</v>
      </c>
      <c r="Y132" s="89"/>
      <c r="Z132" s="87"/>
      <c r="AA132" s="87"/>
      <c r="AB132" s="97"/>
      <c r="AC132" s="97">
        <f>AVERAGE(14.3,14.9)</f>
        <v>14.600000000000001</v>
      </c>
      <c r="AD132" s="97"/>
      <c r="AE132" s="97"/>
      <c r="AF132" s="97"/>
      <c r="AG132" s="97">
        <f>AVERAGE(25.4,26)</f>
        <v>25.7</v>
      </c>
      <c r="AH132" s="97"/>
      <c r="AI132" s="97"/>
      <c r="AJ132" s="97"/>
      <c r="AK132" s="97"/>
      <c r="AL132" s="97">
        <f>AVERAGE(38,40)</f>
        <v>39</v>
      </c>
      <c r="AM132" s="97"/>
      <c r="AN132" s="97"/>
      <c r="AO132" s="97"/>
      <c r="AP132" s="97"/>
      <c r="AQ132" s="97">
        <v>46.4</v>
      </c>
      <c r="AR132" s="97"/>
      <c r="AS132" s="97"/>
      <c r="AT132" s="97"/>
      <c r="AU132" s="97"/>
      <c r="AV132" s="97"/>
      <c r="AW132" s="97"/>
      <c r="AX132" s="97"/>
      <c r="AY132" s="91"/>
      <c r="AZ132" s="91"/>
      <c r="BA132" s="91"/>
      <c r="BB132" s="91"/>
      <c r="BC132" s="101"/>
      <c r="BD132" s="101"/>
      <c r="BE132" s="101"/>
      <c r="BF132" s="101"/>
      <c r="BG132" s="91"/>
      <c r="BH132" s="91"/>
      <c r="BI132" s="91"/>
      <c r="BJ132" s="91"/>
      <c r="BK132" s="91"/>
      <c r="BL132" s="92"/>
    </row>
    <row r="133" spans="1:64" ht="14" x14ac:dyDescent="0.15">
      <c r="A133" s="90">
        <f t="shared" si="2"/>
        <v>132</v>
      </c>
      <c r="B133" s="91" t="s">
        <v>22</v>
      </c>
      <c r="C133" s="89">
        <v>340</v>
      </c>
      <c r="D133" s="89">
        <v>45</v>
      </c>
      <c r="E133" s="87"/>
      <c r="F133" s="87"/>
      <c r="G133" s="87"/>
      <c r="H133" s="89">
        <v>175</v>
      </c>
      <c r="I133" s="89"/>
      <c r="J133" s="99"/>
      <c r="K133" s="99">
        <v>1.55</v>
      </c>
      <c r="L133" s="87"/>
      <c r="M133" s="99"/>
      <c r="N133" s="87"/>
      <c r="O133" s="87"/>
      <c r="P133" s="87"/>
      <c r="Q133" s="99"/>
      <c r="R133" s="87"/>
      <c r="S133" s="87"/>
      <c r="T133" s="89"/>
      <c r="U133" s="89">
        <v>870</v>
      </c>
      <c r="V133" s="87"/>
      <c r="W133" s="89">
        <v>290</v>
      </c>
      <c r="X133" s="89">
        <v>650</v>
      </c>
      <c r="Y133" s="89"/>
      <c r="Z133" s="87"/>
      <c r="AA133" s="87"/>
      <c r="AB133" s="97"/>
      <c r="AC133" s="97">
        <f>AVERAGE(16.3,16.1)</f>
        <v>16.200000000000003</v>
      </c>
      <c r="AD133" s="97"/>
      <c r="AE133" s="97"/>
      <c r="AF133" s="97"/>
      <c r="AG133" s="97">
        <f>AVERAGE(25.8,25.2)</f>
        <v>25.5</v>
      </c>
      <c r="AH133" s="97"/>
      <c r="AI133" s="97"/>
      <c r="AJ133" s="97"/>
      <c r="AK133" s="97"/>
      <c r="AL133" s="97">
        <f>AVERAGE(38.9,39.1)</f>
        <v>39</v>
      </c>
      <c r="AM133" s="97"/>
      <c r="AN133" s="97"/>
      <c r="AO133" s="97"/>
      <c r="AP133" s="97"/>
      <c r="AQ133" s="97">
        <v>43.6</v>
      </c>
      <c r="AR133" s="97"/>
      <c r="AS133" s="97"/>
      <c r="AT133" s="97"/>
      <c r="AU133" s="97"/>
      <c r="AV133" s="97"/>
      <c r="AW133" s="97"/>
      <c r="AX133" s="97"/>
      <c r="AY133" s="91"/>
      <c r="AZ133" s="91"/>
      <c r="BA133" s="91"/>
      <c r="BB133" s="91"/>
      <c r="BC133" s="101"/>
      <c r="BD133" s="101"/>
      <c r="BE133" s="101"/>
      <c r="BF133" s="101"/>
      <c r="BG133" s="91"/>
      <c r="BH133" s="91"/>
      <c r="BI133" s="91"/>
      <c r="BJ133" s="91"/>
      <c r="BK133" s="91"/>
      <c r="BL133" s="92"/>
    </row>
    <row r="134" spans="1:64" ht="14" x14ac:dyDescent="0.15">
      <c r="A134" s="90">
        <f t="shared" si="2"/>
        <v>133</v>
      </c>
      <c r="B134" s="91" t="s">
        <v>22</v>
      </c>
      <c r="C134" s="89">
        <v>340</v>
      </c>
      <c r="D134" s="89">
        <v>45</v>
      </c>
      <c r="E134" s="87"/>
      <c r="F134" s="87"/>
      <c r="G134" s="87"/>
      <c r="H134" s="89">
        <v>175</v>
      </c>
      <c r="I134" s="89"/>
      <c r="J134" s="99"/>
      <c r="K134" s="99">
        <v>1.55</v>
      </c>
      <c r="L134" s="87"/>
      <c r="M134" s="99"/>
      <c r="N134" s="87"/>
      <c r="O134" s="87"/>
      <c r="P134" s="87"/>
      <c r="Q134" s="99"/>
      <c r="R134" s="87"/>
      <c r="S134" s="87"/>
      <c r="T134" s="89"/>
      <c r="U134" s="89">
        <v>870</v>
      </c>
      <c r="V134" s="87"/>
      <c r="W134" s="89">
        <v>290</v>
      </c>
      <c r="X134" s="89">
        <v>650</v>
      </c>
      <c r="Y134" s="89"/>
      <c r="Z134" s="87"/>
      <c r="AA134" s="87"/>
      <c r="AB134" s="97"/>
      <c r="AC134" s="97">
        <f>AVERAGE(14.9,14.4)</f>
        <v>14.65</v>
      </c>
      <c r="AD134" s="97"/>
      <c r="AE134" s="97"/>
      <c r="AF134" s="97"/>
      <c r="AG134" s="97">
        <f>AVERAGE(26.6,26.9)</f>
        <v>26.75</v>
      </c>
      <c r="AH134" s="97"/>
      <c r="AI134" s="97"/>
      <c r="AJ134" s="97"/>
      <c r="AK134" s="97"/>
      <c r="AL134" s="97">
        <f>AVERAGE(42.4,41.1)</f>
        <v>41.75</v>
      </c>
      <c r="AM134" s="97"/>
      <c r="AN134" s="97"/>
      <c r="AO134" s="97"/>
      <c r="AP134" s="97"/>
      <c r="AQ134" s="97">
        <v>44.5</v>
      </c>
      <c r="AR134" s="97"/>
      <c r="AS134" s="97"/>
      <c r="AT134" s="97"/>
      <c r="AU134" s="97"/>
      <c r="AV134" s="97"/>
      <c r="AW134" s="97"/>
      <c r="AX134" s="97"/>
      <c r="AY134" s="91"/>
      <c r="AZ134" s="91"/>
      <c r="BA134" s="91"/>
      <c r="BB134" s="91"/>
      <c r="BC134" s="101"/>
      <c r="BD134" s="101"/>
      <c r="BE134" s="101"/>
      <c r="BF134" s="101"/>
      <c r="BG134" s="91"/>
      <c r="BH134" s="91"/>
      <c r="BI134" s="91"/>
      <c r="BJ134" s="91"/>
      <c r="BK134" s="91"/>
      <c r="BL134" s="92"/>
    </row>
    <row r="135" spans="1:64" ht="14" x14ac:dyDescent="0.15">
      <c r="A135" s="90">
        <f t="shared" si="2"/>
        <v>134</v>
      </c>
      <c r="B135" s="91" t="s">
        <v>22</v>
      </c>
      <c r="C135" s="89">
        <v>340</v>
      </c>
      <c r="D135" s="89">
        <v>45</v>
      </c>
      <c r="E135" s="87"/>
      <c r="F135" s="87"/>
      <c r="G135" s="87"/>
      <c r="H135" s="89">
        <v>175</v>
      </c>
      <c r="I135" s="89"/>
      <c r="J135" s="99"/>
      <c r="K135" s="99">
        <v>1.55</v>
      </c>
      <c r="L135" s="87"/>
      <c r="M135" s="99"/>
      <c r="N135" s="87"/>
      <c r="O135" s="87"/>
      <c r="P135" s="87"/>
      <c r="Q135" s="99"/>
      <c r="R135" s="87"/>
      <c r="S135" s="87"/>
      <c r="T135" s="89"/>
      <c r="U135" s="89">
        <v>870</v>
      </c>
      <c r="V135" s="87"/>
      <c r="W135" s="89">
        <v>290</v>
      </c>
      <c r="X135" s="89">
        <v>650</v>
      </c>
      <c r="Y135" s="89"/>
      <c r="Z135" s="87"/>
      <c r="AA135" s="87"/>
      <c r="AB135" s="97"/>
      <c r="AC135" s="97">
        <f>AVERAGE(16.9,16.1)</f>
        <v>16.5</v>
      </c>
      <c r="AD135" s="97"/>
      <c r="AE135" s="97"/>
      <c r="AF135" s="97"/>
      <c r="AG135" s="97">
        <f>AVERAGE(27.2,24.4)</f>
        <v>25.799999999999997</v>
      </c>
      <c r="AH135" s="97"/>
      <c r="AI135" s="97"/>
      <c r="AJ135" s="97"/>
      <c r="AK135" s="97"/>
      <c r="AL135" s="97">
        <f>AVERAGE(39.8,41.2)</f>
        <v>40.5</v>
      </c>
      <c r="AM135" s="97"/>
      <c r="AN135" s="97"/>
      <c r="AO135" s="97"/>
      <c r="AP135" s="97"/>
      <c r="AQ135" s="97">
        <v>49</v>
      </c>
      <c r="AR135" s="97"/>
      <c r="AS135" s="97"/>
      <c r="AT135" s="97"/>
      <c r="AU135" s="97"/>
      <c r="AV135" s="97"/>
      <c r="AW135" s="97"/>
      <c r="AX135" s="97"/>
      <c r="AY135" s="91"/>
      <c r="AZ135" s="91"/>
      <c r="BA135" s="91"/>
      <c r="BB135" s="91"/>
      <c r="BC135" s="101"/>
      <c r="BD135" s="101"/>
      <c r="BE135" s="101"/>
      <c r="BF135" s="101"/>
      <c r="BG135" s="91"/>
      <c r="BH135" s="91"/>
      <c r="BI135" s="91"/>
      <c r="BJ135" s="91"/>
      <c r="BK135" s="91"/>
      <c r="BL135" s="92"/>
    </row>
    <row r="136" spans="1:64" ht="14" x14ac:dyDescent="0.15">
      <c r="A136" s="90">
        <f t="shared" si="2"/>
        <v>135</v>
      </c>
      <c r="B136" s="91" t="s">
        <v>22</v>
      </c>
      <c r="C136" s="89">
        <v>325</v>
      </c>
      <c r="D136" s="89">
        <v>40</v>
      </c>
      <c r="E136" s="87"/>
      <c r="F136" s="87"/>
      <c r="G136" s="87"/>
      <c r="H136" s="89">
        <v>200</v>
      </c>
      <c r="I136" s="89"/>
      <c r="J136" s="99">
        <v>2.1</v>
      </c>
      <c r="K136" s="99"/>
      <c r="L136" s="87"/>
      <c r="M136" s="99"/>
      <c r="N136" s="87"/>
      <c r="O136" s="87"/>
      <c r="P136" s="87"/>
      <c r="Q136" s="99"/>
      <c r="R136" s="87"/>
      <c r="S136" s="87"/>
      <c r="T136" s="89"/>
      <c r="U136" s="89">
        <v>860</v>
      </c>
      <c r="V136" s="87"/>
      <c r="W136" s="89">
        <v>120</v>
      </c>
      <c r="X136" s="89">
        <v>370</v>
      </c>
      <c r="Y136" s="89">
        <v>400</v>
      </c>
      <c r="Z136" s="87"/>
      <c r="AA136" s="87"/>
      <c r="AB136" s="97">
        <v>3</v>
      </c>
      <c r="AC136" s="97">
        <v>11.8</v>
      </c>
      <c r="AD136" s="97">
        <v>15.6</v>
      </c>
      <c r="AE136" s="97"/>
      <c r="AF136" s="97"/>
      <c r="AG136" s="97">
        <v>21.7</v>
      </c>
      <c r="AH136" s="97"/>
      <c r="AI136" s="97"/>
      <c r="AJ136" s="97"/>
      <c r="AK136" s="97"/>
      <c r="AL136" s="97">
        <v>33.5</v>
      </c>
      <c r="AM136" s="97"/>
      <c r="AN136" s="97"/>
      <c r="AO136" s="97"/>
      <c r="AP136" s="97"/>
      <c r="AQ136" s="97">
        <v>43.2</v>
      </c>
      <c r="AR136" s="97"/>
      <c r="AS136" s="97">
        <v>47</v>
      </c>
      <c r="AT136" s="97"/>
      <c r="AU136" s="97"/>
      <c r="AV136" s="97"/>
      <c r="AW136" s="97"/>
      <c r="AX136" s="97">
        <v>55.4</v>
      </c>
      <c r="AY136" s="91"/>
      <c r="AZ136" s="91"/>
      <c r="BA136" s="91"/>
      <c r="BB136" s="91"/>
      <c r="BC136" s="101"/>
      <c r="BD136" s="101"/>
      <c r="BE136" s="101"/>
      <c r="BF136" s="101"/>
      <c r="BG136" s="91"/>
      <c r="BH136" s="91"/>
      <c r="BI136" s="91"/>
      <c r="BJ136" s="91"/>
      <c r="BK136" s="91"/>
      <c r="BL136" s="92"/>
    </row>
    <row r="137" spans="1:64" ht="14" x14ac:dyDescent="0.15">
      <c r="A137" s="90">
        <f t="shared" si="2"/>
        <v>136</v>
      </c>
      <c r="B137" s="91" t="s">
        <v>22</v>
      </c>
      <c r="C137" s="89">
        <v>320</v>
      </c>
      <c r="D137" s="89">
        <v>100</v>
      </c>
      <c r="E137" s="87"/>
      <c r="F137" s="87"/>
      <c r="G137" s="87"/>
      <c r="H137" s="89">
        <v>100</v>
      </c>
      <c r="I137" s="89">
        <v>100</v>
      </c>
      <c r="J137" s="99">
        <v>3</v>
      </c>
      <c r="K137" s="99"/>
      <c r="L137" s="87"/>
      <c r="M137" s="99"/>
      <c r="N137" s="87"/>
      <c r="O137" s="87"/>
      <c r="P137" s="87"/>
      <c r="Q137" s="99"/>
      <c r="R137" s="87"/>
      <c r="S137" s="87"/>
      <c r="T137" s="89"/>
      <c r="U137" s="89">
        <v>850</v>
      </c>
      <c r="V137" s="87"/>
      <c r="W137" s="89">
        <v>300</v>
      </c>
      <c r="X137" s="89">
        <v>560</v>
      </c>
      <c r="Y137" s="89"/>
      <c r="Z137" s="87"/>
      <c r="AA137" s="87"/>
      <c r="AB137" s="97">
        <v>3.7</v>
      </c>
      <c r="AC137" s="97">
        <v>7.2</v>
      </c>
      <c r="AD137" s="97">
        <v>10.8</v>
      </c>
      <c r="AE137" s="97"/>
      <c r="AF137" s="97"/>
      <c r="AG137" s="97">
        <v>15.3</v>
      </c>
      <c r="AH137" s="97"/>
      <c r="AI137" s="97"/>
      <c r="AJ137" s="97">
        <v>20.8</v>
      </c>
      <c r="AK137" s="97"/>
      <c r="AL137" s="97">
        <v>30.4</v>
      </c>
      <c r="AM137" s="97"/>
      <c r="AN137" s="97"/>
      <c r="AO137" s="97">
        <v>33.799999999999997</v>
      </c>
      <c r="AP137" s="97"/>
      <c r="AQ137" s="97">
        <v>39.299999999999997</v>
      </c>
      <c r="AR137" s="97"/>
      <c r="AS137" s="97"/>
      <c r="AT137" s="97"/>
      <c r="AU137" s="97"/>
      <c r="AV137" s="97"/>
      <c r="AW137" s="97"/>
      <c r="AX137" s="97"/>
      <c r="AY137" s="91"/>
      <c r="AZ137" s="91"/>
      <c r="BA137" s="91"/>
      <c r="BB137" s="91"/>
      <c r="BC137" s="101"/>
      <c r="BD137" s="101"/>
      <c r="BE137" s="101"/>
      <c r="BF137" s="101"/>
      <c r="BG137" s="91"/>
      <c r="BH137" s="91"/>
      <c r="BI137" s="91"/>
      <c r="BJ137" s="91"/>
      <c r="BK137" s="91"/>
      <c r="BL137" s="92"/>
    </row>
    <row r="138" spans="1:64" ht="14" x14ac:dyDescent="0.15">
      <c r="A138" s="90">
        <f t="shared" si="2"/>
        <v>137</v>
      </c>
      <c r="B138" s="91" t="s">
        <v>22</v>
      </c>
      <c r="C138" s="89">
        <v>320</v>
      </c>
      <c r="D138" s="89">
        <v>100</v>
      </c>
      <c r="E138" s="87"/>
      <c r="F138" s="87"/>
      <c r="G138" s="87"/>
      <c r="H138" s="89">
        <v>100</v>
      </c>
      <c r="I138" s="89">
        <v>100</v>
      </c>
      <c r="J138" s="99">
        <v>3</v>
      </c>
      <c r="K138" s="99"/>
      <c r="L138" s="87"/>
      <c r="M138" s="99"/>
      <c r="N138" s="87"/>
      <c r="O138" s="87"/>
      <c r="P138" s="87"/>
      <c r="Q138" s="99"/>
      <c r="R138" s="87"/>
      <c r="S138" s="87"/>
      <c r="T138" s="89"/>
      <c r="U138" s="89">
        <v>850</v>
      </c>
      <c r="V138" s="87"/>
      <c r="W138" s="89">
        <v>300</v>
      </c>
      <c r="X138" s="89">
        <v>560</v>
      </c>
      <c r="Y138" s="89"/>
      <c r="Z138" s="87"/>
      <c r="AA138" s="87"/>
      <c r="AB138" s="97">
        <v>2.8</v>
      </c>
      <c r="AC138" s="97">
        <v>8.3000000000000007</v>
      </c>
      <c r="AD138" s="97">
        <v>11.6</v>
      </c>
      <c r="AE138" s="97"/>
      <c r="AF138" s="97"/>
      <c r="AG138" s="97">
        <v>18.100000000000001</v>
      </c>
      <c r="AH138" s="97"/>
      <c r="AI138" s="97"/>
      <c r="AJ138" s="97">
        <v>23.4</v>
      </c>
      <c r="AK138" s="97"/>
      <c r="AL138" s="97">
        <v>30.3</v>
      </c>
      <c r="AM138" s="97"/>
      <c r="AN138" s="97"/>
      <c r="AO138" s="97">
        <v>36.299999999999997</v>
      </c>
      <c r="AP138" s="97"/>
      <c r="AQ138" s="97">
        <v>41.4</v>
      </c>
      <c r="AR138" s="97"/>
      <c r="AS138" s="97"/>
      <c r="AT138" s="97"/>
      <c r="AU138" s="97"/>
      <c r="AV138" s="97"/>
      <c r="AW138" s="97"/>
      <c r="AX138" s="97"/>
      <c r="AY138" s="91"/>
      <c r="AZ138" s="91"/>
      <c r="BA138" s="91"/>
      <c r="BB138" s="91"/>
      <c r="BC138" s="101"/>
      <c r="BD138" s="101"/>
      <c r="BE138" s="101"/>
      <c r="BF138" s="101"/>
      <c r="BG138" s="91"/>
      <c r="BH138" s="91"/>
      <c r="BI138" s="91"/>
      <c r="BJ138" s="91"/>
      <c r="BK138" s="91"/>
      <c r="BL138" s="92"/>
    </row>
    <row r="139" spans="1:64" ht="14" x14ac:dyDescent="0.15">
      <c r="A139" s="90">
        <f t="shared" si="2"/>
        <v>138</v>
      </c>
      <c r="B139" s="91" t="s">
        <v>22</v>
      </c>
      <c r="C139" s="89">
        <v>320</v>
      </c>
      <c r="D139" s="89">
        <v>70</v>
      </c>
      <c r="E139" s="87"/>
      <c r="F139" s="87"/>
      <c r="G139" s="87"/>
      <c r="H139" s="89">
        <v>200</v>
      </c>
      <c r="I139" s="89"/>
      <c r="J139" s="99">
        <v>2.9</v>
      </c>
      <c r="K139" s="99"/>
      <c r="L139" s="87"/>
      <c r="M139" s="99"/>
      <c r="N139" s="87"/>
      <c r="O139" s="87"/>
      <c r="P139" s="87"/>
      <c r="Q139" s="99"/>
      <c r="R139" s="87"/>
      <c r="S139" s="87"/>
      <c r="T139" s="89"/>
      <c r="U139" s="89">
        <v>860</v>
      </c>
      <c r="V139" s="87"/>
      <c r="W139" s="89">
        <v>120</v>
      </c>
      <c r="X139" s="89">
        <v>370</v>
      </c>
      <c r="Y139" s="89">
        <v>400</v>
      </c>
      <c r="Z139" s="87"/>
      <c r="AA139" s="87"/>
      <c r="AB139" s="97">
        <v>1</v>
      </c>
      <c r="AC139" s="97">
        <v>10.7</v>
      </c>
      <c r="AD139" s="97">
        <v>13.8</v>
      </c>
      <c r="AE139" s="97"/>
      <c r="AF139" s="97"/>
      <c r="AG139" s="97">
        <v>21.1</v>
      </c>
      <c r="AH139" s="97"/>
      <c r="AI139" s="97"/>
      <c r="AJ139" s="97"/>
      <c r="AK139" s="97"/>
      <c r="AL139" s="97">
        <v>35.1</v>
      </c>
      <c r="AM139" s="97"/>
      <c r="AN139" s="97"/>
      <c r="AO139" s="97"/>
      <c r="AP139" s="97"/>
      <c r="AQ139" s="97">
        <v>44</v>
      </c>
      <c r="AR139" s="97"/>
      <c r="AS139" s="97">
        <v>48.9</v>
      </c>
      <c r="AT139" s="97"/>
      <c r="AU139" s="97"/>
      <c r="AV139" s="97"/>
      <c r="AW139" s="97"/>
      <c r="AX139" s="97">
        <v>55.1</v>
      </c>
      <c r="AY139" s="91"/>
      <c r="AZ139" s="91"/>
      <c r="BA139" s="91"/>
      <c r="BB139" s="91"/>
      <c r="BC139" s="101"/>
      <c r="BD139" s="101"/>
      <c r="BE139" s="101"/>
      <c r="BF139" s="101"/>
      <c r="BG139" s="91"/>
      <c r="BH139" s="91"/>
      <c r="BI139" s="91"/>
      <c r="BJ139" s="91"/>
      <c r="BK139" s="91"/>
      <c r="BL139" s="92"/>
    </row>
    <row r="140" spans="1:64" ht="14" x14ac:dyDescent="0.15">
      <c r="A140" s="90">
        <f t="shared" si="2"/>
        <v>139</v>
      </c>
      <c r="B140" s="91" t="s">
        <v>22</v>
      </c>
      <c r="C140" s="89">
        <v>320</v>
      </c>
      <c r="D140" s="89">
        <v>120</v>
      </c>
      <c r="E140" s="87"/>
      <c r="F140" s="87"/>
      <c r="G140" s="87"/>
      <c r="H140" s="89">
        <v>180</v>
      </c>
      <c r="I140" s="89"/>
      <c r="J140" s="99">
        <v>1.8</v>
      </c>
      <c r="K140" s="99">
        <v>3</v>
      </c>
      <c r="L140" s="87"/>
      <c r="M140" s="99"/>
      <c r="N140" s="87"/>
      <c r="O140" s="87"/>
      <c r="P140" s="87"/>
      <c r="Q140" s="99"/>
      <c r="R140" s="87"/>
      <c r="S140" s="87"/>
      <c r="T140" s="89"/>
      <c r="U140" s="89">
        <v>950</v>
      </c>
      <c r="V140" s="87"/>
      <c r="W140" s="89">
        <v>200</v>
      </c>
      <c r="X140" s="89">
        <v>600</v>
      </c>
      <c r="Y140" s="89"/>
      <c r="Z140" s="87"/>
      <c r="AA140" s="87"/>
      <c r="AB140" s="97"/>
      <c r="AC140" s="97">
        <v>9.6</v>
      </c>
      <c r="AD140" s="97"/>
      <c r="AE140" s="97"/>
      <c r="AF140" s="97"/>
      <c r="AG140" s="97">
        <v>17.399999999999999</v>
      </c>
      <c r="AH140" s="97"/>
      <c r="AI140" s="97"/>
      <c r="AJ140" s="97"/>
      <c r="AK140" s="97"/>
      <c r="AL140" s="97">
        <v>33.700000000000003</v>
      </c>
      <c r="AM140" s="97"/>
      <c r="AN140" s="97"/>
      <c r="AO140" s="97"/>
      <c r="AP140" s="97"/>
      <c r="AQ140" s="97">
        <v>48.6</v>
      </c>
      <c r="AR140" s="97"/>
      <c r="AS140" s="97"/>
      <c r="AT140" s="97"/>
      <c r="AU140" s="97"/>
      <c r="AV140" s="97"/>
      <c r="AW140" s="97"/>
      <c r="AX140" s="97"/>
      <c r="AY140" s="91"/>
      <c r="AZ140" s="91"/>
      <c r="BA140" s="91"/>
      <c r="BB140" s="91"/>
      <c r="BC140" s="101"/>
      <c r="BD140" s="101"/>
      <c r="BE140" s="101"/>
      <c r="BF140" s="101"/>
      <c r="BG140" s="91"/>
      <c r="BH140" s="91"/>
      <c r="BI140" s="91"/>
      <c r="BJ140" s="91"/>
      <c r="BK140" s="91"/>
      <c r="BL140" s="92"/>
    </row>
    <row r="141" spans="1:64" ht="14" x14ac:dyDescent="0.15">
      <c r="A141" s="90">
        <f t="shared" si="2"/>
        <v>140</v>
      </c>
      <c r="B141" s="91" t="s">
        <v>22</v>
      </c>
      <c r="C141" s="89">
        <v>300</v>
      </c>
      <c r="D141" s="89">
        <v>100</v>
      </c>
      <c r="E141" s="87"/>
      <c r="F141" s="87"/>
      <c r="G141" s="87"/>
      <c r="H141" s="89">
        <v>160</v>
      </c>
      <c r="I141" s="89"/>
      <c r="J141" s="99">
        <v>2.2000000000000002</v>
      </c>
      <c r="K141" s="99">
        <v>1.5</v>
      </c>
      <c r="L141" s="87"/>
      <c r="M141" s="99">
        <v>2</v>
      </c>
      <c r="N141" s="87"/>
      <c r="O141" s="87"/>
      <c r="P141" s="87"/>
      <c r="Q141" s="99"/>
      <c r="R141" s="87"/>
      <c r="S141" s="87"/>
      <c r="T141" s="89">
        <v>300</v>
      </c>
      <c r="U141" s="89">
        <v>700</v>
      </c>
      <c r="V141" s="87"/>
      <c r="W141" s="89">
        <v>840</v>
      </c>
      <c r="X141" s="89"/>
      <c r="Y141" s="89"/>
      <c r="Z141" s="87"/>
      <c r="AA141" s="87"/>
      <c r="AB141" s="97"/>
      <c r="AC141" s="97"/>
      <c r="AD141" s="97">
        <f>AVERAGE(13.5,13.5)</f>
        <v>13.5</v>
      </c>
      <c r="AE141" s="97"/>
      <c r="AF141" s="97"/>
      <c r="AG141" s="97">
        <f>AVERAGE(26.4,25.5)</f>
        <v>25.95</v>
      </c>
      <c r="AH141" s="97"/>
      <c r="AI141" s="97"/>
      <c r="AJ141" s="97"/>
      <c r="AK141" s="97"/>
      <c r="AL141" s="97">
        <f>AVERAGE(43.7,44.6)</f>
        <v>44.150000000000006</v>
      </c>
      <c r="AM141" s="97"/>
      <c r="AN141" s="97"/>
      <c r="AO141" s="97"/>
      <c r="AP141" s="97"/>
      <c r="AQ141" s="97">
        <v>62.4</v>
      </c>
      <c r="AR141" s="97"/>
      <c r="AS141" s="97"/>
      <c r="AT141" s="97"/>
      <c r="AU141" s="97"/>
      <c r="AV141" s="97"/>
      <c r="AW141" s="97"/>
      <c r="AX141" s="97"/>
      <c r="AY141" s="91"/>
      <c r="AZ141" s="91"/>
      <c r="BA141" s="91"/>
      <c r="BB141" s="91"/>
      <c r="BC141" s="101"/>
      <c r="BD141" s="101"/>
      <c r="BE141" s="101"/>
      <c r="BF141" s="101"/>
      <c r="BG141" s="91"/>
      <c r="BH141" s="91"/>
      <c r="BI141" s="91"/>
      <c r="BJ141" s="91"/>
      <c r="BK141" s="91"/>
      <c r="BL141" s="92"/>
    </row>
    <row r="142" spans="1:64" ht="14" x14ac:dyDescent="0.15">
      <c r="A142" s="90">
        <f t="shared" si="2"/>
        <v>141</v>
      </c>
      <c r="B142" s="91" t="s">
        <v>22</v>
      </c>
      <c r="C142" s="89">
        <v>290</v>
      </c>
      <c r="D142" s="89">
        <v>140</v>
      </c>
      <c r="E142" s="87"/>
      <c r="F142" s="87"/>
      <c r="G142" s="87"/>
      <c r="H142" s="89">
        <v>100</v>
      </c>
      <c r="I142" s="89">
        <v>100</v>
      </c>
      <c r="J142" s="99">
        <v>2.6</v>
      </c>
      <c r="K142" s="99">
        <v>1.4</v>
      </c>
      <c r="L142" s="87"/>
      <c r="M142" s="99">
        <v>0.2</v>
      </c>
      <c r="N142" s="87"/>
      <c r="O142" s="87"/>
      <c r="P142" s="87"/>
      <c r="Q142" s="99"/>
      <c r="R142" s="87"/>
      <c r="S142" s="87"/>
      <c r="T142" s="89">
        <v>200</v>
      </c>
      <c r="U142" s="89">
        <v>650</v>
      </c>
      <c r="V142" s="87"/>
      <c r="W142" s="89">
        <v>370</v>
      </c>
      <c r="X142" s="89">
        <v>550</v>
      </c>
      <c r="Y142" s="89"/>
      <c r="Z142" s="87"/>
      <c r="AA142" s="87"/>
      <c r="AB142" s="97">
        <v>2.5</v>
      </c>
      <c r="AC142" s="97">
        <v>6.6</v>
      </c>
      <c r="AD142" s="97">
        <v>10.5</v>
      </c>
      <c r="AE142" s="97"/>
      <c r="AF142" s="97"/>
      <c r="AG142" s="97">
        <v>15.6</v>
      </c>
      <c r="AH142" s="97"/>
      <c r="AI142" s="97"/>
      <c r="AJ142" s="97">
        <v>22.5</v>
      </c>
      <c r="AK142" s="97"/>
      <c r="AL142" s="97">
        <v>32.5</v>
      </c>
      <c r="AM142" s="97"/>
      <c r="AN142" s="97"/>
      <c r="AO142" s="97">
        <v>36.799999999999997</v>
      </c>
      <c r="AP142" s="97"/>
      <c r="AQ142" s="97">
        <v>40.700000000000003</v>
      </c>
      <c r="AR142" s="97"/>
      <c r="AS142" s="97"/>
      <c r="AT142" s="97"/>
      <c r="AU142" s="97"/>
      <c r="AV142" s="97"/>
      <c r="AW142" s="97"/>
      <c r="AX142" s="97"/>
      <c r="AY142" s="91"/>
      <c r="AZ142" s="91"/>
      <c r="BA142" s="91"/>
      <c r="BB142" s="91"/>
      <c r="BC142" s="101"/>
      <c r="BD142" s="101"/>
      <c r="BE142" s="101"/>
      <c r="BF142" s="101"/>
      <c r="BG142" s="91"/>
      <c r="BH142" s="91"/>
      <c r="BI142" s="91"/>
      <c r="BJ142" s="91"/>
      <c r="BK142" s="91"/>
      <c r="BL142" s="92"/>
    </row>
    <row r="143" spans="1:64" ht="14" x14ac:dyDescent="0.15">
      <c r="A143" s="90">
        <f t="shared" si="2"/>
        <v>142</v>
      </c>
      <c r="B143" s="91" t="s">
        <v>22</v>
      </c>
      <c r="C143" s="89">
        <v>235</v>
      </c>
      <c r="D143" s="89">
        <v>75</v>
      </c>
      <c r="E143" s="87"/>
      <c r="F143" s="87"/>
      <c r="G143" s="87"/>
      <c r="H143" s="89"/>
      <c r="I143" s="89">
        <v>170</v>
      </c>
      <c r="J143" s="99">
        <v>1.2</v>
      </c>
      <c r="K143" s="99"/>
      <c r="L143" s="87"/>
      <c r="M143" s="99">
        <v>0.25</v>
      </c>
      <c r="N143" s="87"/>
      <c r="O143" s="87"/>
      <c r="P143" s="87"/>
      <c r="Q143" s="99">
        <v>3</v>
      </c>
      <c r="R143" s="87"/>
      <c r="S143" s="87"/>
      <c r="T143" s="89"/>
      <c r="U143" s="89">
        <v>915</v>
      </c>
      <c r="V143" s="87"/>
      <c r="W143" s="89">
        <v>245</v>
      </c>
      <c r="X143" s="89">
        <v>400</v>
      </c>
      <c r="Y143" s="89">
        <v>200</v>
      </c>
      <c r="Z143" s="87"/>
      <c r="AA143" s="87"/>
      <c r="AB143" s="97"/>
      <c r="AC143" s="97">
        <v>11.6</v>
      </c>
      <c r="AD143" s="97"/>
      <c r="AE143" s="97"/>
      <c r="AF143" s="97"/>
      <c r="AG143" s="97">
        <v>20.399999999999999</v>
      </c>
      <c r="AH143" s="97"/>
      <c r="AI143" s="97"/>
      <c r="AJ143" s="97"/>
      <c r="AK143" s="97"/>
      <c r="AL143" s="97">
        <v>31</v>
      </c>
      <c r="AM143" s="97"/>
      <c r="AN143" s="97"/>
      <c r="AO143" s="97"/>
      <c r="AP143" s="97"/>
      <c r="AQ143" s="97">
        <v>42.6</v>
      </c>
      <c r="AR143" s="97"/>
      <c r="AS143" s="97"/>
      <c r="AT143" s="97"/>
      <c r="AU143" s="97"/>
      <c r="AV143" s="97"/>
      <c r="AW143" s="97"/>
      <c r="AX143" s="97"/>
      <c r="AY143" s="91"/>
      <c r="AZ143" s="91"/>
      <c r="BA143" s="91"/>
      <c r="BB143" s="91"/>
      <c r="BC143" s="101"/>
      <c r="BD143" s="101"/>
      <c r="BE143" s="101"/>
      <c r="BF143" s="101"/>
      <c r="BG143" s="91"/>
      <c r="BH143" s="91"/>
      <c r="BI143" s="91"/>
      <c r="BJ143" s="91"/>
      <c r="BK143" s="91"/>
      <c r="BL143" s="92"/>
    </row>
    <row r="144" spans="1:64" s="86" customFormat="1" ht="15" customHeight="1" x14ac:dyDescent="0.15">
      <c r="A144" s="90">
        <f t="shared" si="2"/>
        <v>143</v>
      </c>
      <c r="B144" s="91" t="s">
        <v>21</v>
      </c>
      <c r="C144" s="89">
        <v>440</v>
      </c>
      <c r="D144" s="89">
        <v>40</v>
      </c>
      <c r="H144" s="89">
        <v>110</v>
      </c>
      <c r="I144" s="89">
        <v>100</v>
      </c>
      <c r="J144" s="99">
        <v>2.85</v>
      </c>
      <c r="K144" s="99"/>
      <c r="L144" s="99"/>
      <c r="S144" s="89"/>
      <c r="U144" s="89">
        <v>850</v>
      </c>
      <c r="W144" s="89"/>
      <c r="X144" s="89">
        <v>465</v>
      </c>
      <c r="Y144" s="89">
        <v>380</v>
      </c>
      <c r="Z144" s="89"/>
      <c r="AB144" s="97">
        <v>4.5</v>
      </c>
      <c r="AC144" s="97">
        <v>10.8</v>
      </c>
      <c r="AD144" s="97"/>
      <c r="AE144" s="97"/>
      <c r="AF144" s="97"/>
      <c r="AG144" s="97">
        <v>29.9</v>
      </c>
      <c r="AH144" s="97"/>
      <c r="AI144" s="97"/>
      <c r="AJ144" s="97"/>
      <c r="AK144" s="97"/>
      <c r="AL144" s="97">
        <v>46.4</v>
      </c>
      <c r="AM144" s="97"/>
      <c r="AN144" s="97"/>
      <c r="AO144" s="97"/>
      <c r="AP144" s="97"/>
      <c r="AQ144" s="97">
        <v>53.4</v>
      </c>
      <c r="AR144" s="97"/>
      <c r="AS144" s="97"/>
      <c r="AT144" s="97"/>
      <c r="AU144" s="97"/>
      <c r="AV144" s="97"/>
      <c r="AW144" s="97"/>
      <c r="AX144" s="97"/>
      <c r="AY144" s="91"/>
      <c r="AZ144" s="91"/>
      <c r="BA144" s="91"/>
      <c r="BB144" s="91"/>
      <c r="BC144" s="101"/>
      <c r="BD144" s="101"/>
      <c r="BE144" s="101"/>
      <c r="BF144" s="101"/>
      <c r="BG144" s="91"/>
      <c r="BH144" s="91"/>
      <c r="BI144" s="91"/>
      <c r="BJ144" s="91"/>
      <c r="BK144" s="91"/>
      <c r="BL144" s="93"/>
    </row>
    <row r="145" spans="1:64" s="86" customFormat="1" ht="15" customHeight="1" x14ac:dyDescent="0.15">
      <c r="A145" s="90">
        <f t="shared" si="2"/>
        <v>144</v>
      </c>
      <c r="B145" s="91" t="s">
        <v>21</v>
      </c>
      <c r="C145" s="89">
        <v>410</v>
      </c>
      <c r="D145" s="89">
        <v>40</v>
      </c>
      <c r="H145" s="89">
        <v>140</v>
      </c>
      <c r="I145" s="89">
        <v>50</v>
      </c>
      <c r="J145" s="99">
        <v>2.8</v>
      </c>
      <c r="K145" s="99"/>
      <c r="L145" s="99"/>
      <c r="S145" s="89"/>
      <c r="U145" s="89">
        <v>850</v>
      </c>
      <c r="W145" s="89"/>
      <c r="X145" s="89">
        <v>480</v>
      </c>
      <c r="Y145" s="89">
        <v>370</v>
      </c>
      <c r="Z145" s="89">
        <v>0.6</v>
      </c>
      <c r="AB145" s="97">
        <f>AVERAGE(4.4,4.5)</f>
        <v>4.45</v>
      </c>
      <c r="AC145" s="97">
        <f>AVERAGE(8.4,8.2)</f>
        <v>8.3000000000000007</v>
      </c>
      <c r="AD145" s="97">
        <f>AVERAGE(10.3,10.6)</f>
        <v>10.45</v>
      </c>
      <c r="AE145" s="97"/>
      <c r="AF145" s="97"/>
      <c r="AG145" s="97">
        <f>AVERAGE(20.4,20.6)</f>
        <v>20.5</v>
      </c>
      <c r="AH145" s="97"/>
      <c r="AI145" s="97"/>
      <c r="AJ145" s="97"/>
      <c r="AK145" s="97"/>
      <c r="AL145" s="97">
        <f>AVERAGE(38.1,37.1)</f>
        <v>37.6</v>
      </c>
      <c r="AM145" s="97"/>
      <c r="AN145" s="97"/>
      <c r="AO145" s="97"/>
      <c r="AP145" s="97"/>
      <c r="AQ145" s="97">
        <f>AVERAGE(49,46)</f>
        <v>47.5</v>
      </c>
      <c r="AR145" s="87"/>
      <c r="AS145" s="87"/>
      <c r="AT145" s="87"/>
      <c r="AU145" s="87"/>
      <c r="AV145" s="87"/>
      <c r="AW145" s="87"/>
      <c r="AX145" s="87"/>
      <c r="AY145" s="91"/>
      <c r="AZ145" s="91"/>
      <c r="BA145" s="91"/>
      <c r="BB145" s="91"/>
      <c r="BC145" s="101"/>
      <c r="BD145" s="101"/>
      <c r="BE145" s="101"/>
      <c r="BF145" s="101"/>
      <c r="BG145" s="91"/>
      <c r="BH145" s="91"/>
      <c r="BI145" s="91"/>
      <c r="BJ145" s="91"/>
      <c r="BK145" s="91"/>
      <c r="BL145" s="93"/>
    </row>
    <row r="146" spans="1:64" s="86" customFormat="1" ht="15" customHeight="1" x14ac:dyDescent="0.15">
      <c r="A146" s="90">
        <f t="shared" si="2"/>
        <v>145</v>
      </c>
      <c r="B146" s="91" t="s">
        <v>21</v>
      </c>
      <c r="C146" s="89">
        <v>410</v>
      </c>
      <c r="D146" s="89">
        <v>40</v>
      </c>
      <c r="H146" s="89">
        <v>140</v>
      </c>
      <c r="I146" s="89">
        <v>50</v>
      </c>
      <c r="J146" s="99">
        <v>2.8</v>
      </c>
      <c r="K146" s="99"/>
      <c r="L146" s="99"/>
      <c r="S146" s="89"/>
      <c r="U146" s="89">
        <v>850</v>
      </c>
      <c r="W146" s="89"/>
      <c r="X146" s="89">
        <v>480</v>
      </c>
      <c r="Y146" s="89">
        <v>370</v>
      </c>
      <c r="Z146" s="89">
        <v>0.6</v>
      </c>
      <c r="AB146" s="97">
        <f>AVERAGE(4.6,4.4)</f>
        <v>4.5</v>
      </c>
      <c r="AC146" s="97">
        <f>AVERAGE(8.5,9.2)</f>
        <v>8.85</v>
      </c>
      <c r="AD146" s="97">
        <f>AVERAGE(11.9,11.3)</f>
        <v>11.600000000000001</v>
      </c>
      <c r="AE146" s="97"/>
      <c r="AF146" s="97"/>
      <c r="AG146" s="97">
        <f>AVERAGE(20.1,21.5)</f>
        <v>20.8</v>
      </c>
      <c r="AH146" s="97"/>
      <c r="AI146" s="97"/>
      <c r="AJ146" s="97"/>
      <c r="AK146" s="97"/>
      <c r="AL146" s="97">
        <f>AVERAGE(40.4,40.4)</f>
        <v>40.4</v>
      </c>
      <c r="AM146" s="97"/>
      <c r="AN146" s="97"/>
      <c r="AO146" s="97"/>
      <c r="AP146" s="97"/>
      <c r="AQ146" s="97">
        <f>AVERAGE(52.3,49.8)</f>
        <v>51.05</v>
      </c>
      <c r="AR146" s="87"/>
      <c r="AS146" s="87"/>
      <c r="AT146" s="87"/>
      <c r="AU146" s="87"/>
      <c r="AV146" s="87"/>
      <c r="AW146" s="87"/>
      <c r="AX146" s="87"/>
      <c r="AY146" s="91"/>
      <c r="AZ146" s="91"/>
      <c r="BA146" s="91"/>
      <c r="BB146" s="91"/>
      <c r="BC146" s="101"/>
      <c r="BD146" s="101"/>
      <c r="BE146" s="101"/>
      <c r="BF146" s="101"/>
      <c r="BG146" s="91"/>
      <c r="BH146" s="91"/>
      <c r="BI146" s="91"/>
      <c r="BJ146" s="91"/>
      <c r="BK146" s="91"/>
      <c r="BL146" s="93"/>
    </row>
    <row r="147" spans="1:64" s="86" customFormat="1" ht="15" customHeight="1" x14ac:dyDescent="0.15">
      <c r="A147" s="90">
        <f t="shared" si="2"/>
        <v>146</v>
      </c>
      <c r="B147" s="91" t="s">
        <v>21</v>
      </c>
      <c r="C147" s="89">
        <v>395</v>
      </c>
      <c r="D147" s="89">
        <v>21</v>
      </c>
      <c r="H147" s="89"/>
      <c r="I147" s="89">
        <v>210</v>
      </c>
      <c r="J147" s="99">
        <v>2.9</v>
      </c>
      <c r="K147" s="99"/>
      <c r="L147" s="99"/>
      <c r="S147" s="89"/>
      <c r="U147" s="89">
        <v>880</v>
      </c>
      <c r="W147" s="89">
        <v>100</v>
      </c>
      <c r="X147" s="89">
        <v>350</v>
      </c>
      <c r="Y147" s="89">
        <v>350</v>
      </c>
      <c r="Z147" s="89"/>
      <c r="AB147" s="97"/>
      <c r="AC147" s="97"/>
      <c r="AD147" s="97">
        <v>4.8</v>
      </c>
      <c r="AE147" s="97">
        <v>7</v>
      </c>
      <c r="AF147" s="97"/>
      <c r="AG147" s="97">
        <v>11.4</v>
      </c>
      <c r="AH147" s="97"/>
      <c r="AI147" s="97"/>
      <c r="AJ147" s="97"/>
      <c r="AK147" s="97"/>
      <c r="AL147" s="97">
        <v>31.3</v>
      </c>
      <c r="AM147" s="97"/>
      <c r="AN147" s="97"/>
      <c r="AO147" s="97"/>
      <c r="AP147" s="97"/>
      <c r="AQ147" s="97">
        <v>39.799999999999997</v>
      </c>
      <c r="AR147" s="97"/>
      <c r="AS147" s="97"/>
      <c r="AT147" s="97"/>
      <c r="AU147" s="97"/>
      <c r="AV147" s="97"/>
      <c r="AW147" s="97"/>
      <c r="AX147" s="97"/>
    </row>
    <row r="148" spans="1:64" s="86" customFormat="1" ht="15" customHeight="1" x14ac:dyDescent="0.15">
      <c r="A148" s="90">
        <f t="shared" si="2"/>
        <v>147</v>
      </c>
      <c r="B148" s="91" t="s">
        <v>21</v>
      </c>
      <c r="C148" s="89">
        <v>395</v>
      </c>
      <c r="D148" s="89">
        <v>21</v>
      </c>
      <c r="H148" s="89"/>
      <c r="I148" s="89">
        <v>210</v>
      </c>
      <c r="J148" s="99">
        <v>2.9</v>
      </c>
      <c r="K148" s="99"/>
      <c r="L148" s="99"/>
      <c r="S148" s="89"/>
      <c r="U148" s="89">
        <v>880</v>
      </c>
      <c r="W148" s="89">
        <v>100</v>
      </c>
      <c r="X148" s="89">
        <v>350</v>
      </c>
      <c r="Y148" s="89">
        <v>350</v>
      </c>
      <c r="Z148" s="89"/>
      <c r="AB148" s="97"/>
      <c r="AC148" s="97"/>
      <c r="AD148" s="97">
        <v>4.8</v>
      </c>
      <c r="AE148" s="97"/>
      <c r="AF148" s="97"/>
      <c r="AG148" s="97">
        <v>13.2</v>
      </c>
      <c r="AH148" s="97"/>
      <c r="AI148" s="97"/>
      <c r="AJ148" s="97"/>
      <c r="AK148" s="97"/>
      <c r="AL148" s="97">
        <v>32</v>
      </c>
      <c r="AM148" s="97"/>
      <c r="AN148" s="97"/>
      <c r="AO148" s="97"/>
      <c r="AP148" s="97"/>
      <c r="AQ148" s="97">
        <v>45.2</v>
      </c>
      <c r="AR148" s="97"/>
      <c r="AS148" s="97"/>
      <c r="AT148" s="97"/>
      <c r="AU148" s="97"/>
      <c r="AV148" s="97"/>
      <c r="AW148" s="97"/>
      <c r="AX148" s="97"/>
    </row>
    <row r="149" spans="1:64" s="86" customFormat="1" ht="15" customHeight="1" x14ac:dyDescent="0.15">
      <c r="A149" s="90">
        <f t="shared" si="2"/>
        <v>148</v>
      </c>
      <c r="B149" s="91" t="s">
        <v>21</v>
      </c>
      <c r="C149" s="89">
        <v>380</v>
      </c>
      <c r="D149" s="89"/>
      <c r="H149" s="89">
        <v>174</v>
      </c>
      <c r="I149" s="89"/>
      <c r="J149" s="99"/>
      <c r="K149" s="99">
        <v>3.2</v>
      </c>
      <c r="L149" s="99">
        <v>0.6</v>
      </c>
      <c r="S149" s="89"/>
      <c r="U149" s="89">
        <v>880</v>
      </c>
      <c r="W149" s="89"/>
      <c r="X149" s="89">
        <v>590</v>
      </c>
      <c r="Y149" s="89">
        <v>355</v>
      </c>
      <c r="Z149" s="89"/>
      <c r="AA149" s="93"/>
      <c r="AB149" s="97"/>
      <c r="AC149" s="97">
        <f>AVERAGE(14.7,14.8)</f>
        <v>14.75</v>
      </c>
      <c r="AD149" s="97"/>
      <c r="AE149" s="97"/>
      <c r="AF149" s="97"/>
      <c r="AG149" s="97">
        <f>AVERAGE(21.9,22.2)</f>
        <v>22.049999999999997</v>
      </c>
      <c r="AH149" s="97"/>
      <c r="AI149" s="97"/>
      <c r="AJ149" s="97"/>
      <c r="AK149" s="97"/>
      <c r="AL149" s="97">
        <f>AVERAGE(47.6,48.7,46.8)</f>
        <v>47.70000000000001</v>
      </c>
      <c r="AM149" s="97"/>
      <c r="AN149" s="97"/>
      <c r="AO149" s="97"/>
      <c r="AP149" s="97"/>
      <c r="AQ149" s="97">
        <f>AVERAGE(58.7,59.8,61.3)</f>
        <v>59.933333333333337</v>
      </c>
      <c r="AR149" s="87"/>
      <c r="AS149" s="87"/>
      <c r="AT149" s="87"/>
      <c r="AU149" s="87"/>
      <c r="AV149" s="87"/>
      <c r="AW149" s="87"/>
      <c r="AX149" s="87"/>
    </row>
    <row r="150" spans="1:64" s="86" customFormat="1" ht="15" customHeight="1" x14ac:dyDescent="0.15">
      <c r="A150" s="90">
        <f t="shared" si="2"/>
        <v>149</v>
      </c>
      <c r="B150" s="91" t="s">
        <v>21</v>
      </c>
      <c r="C150" s="89">
        <v>380</v>
      </c>
      <c r="D150" s="89"/>
      <c r="H150" s="89">
        <v>174</v>
      </c>
      <c r="I150" s="89"/>
      <c r="J150" s="99"/>
      <c r="K150" s="99">
        <v>3.2</v>
      </c>
      <c r="L150" s="99">
        <v>0.6</v>
      </c>
      <c r="S150" s="89"/>
      <c r="U150" s="89">
        <v>880</v>
      </c>
      <c r="W150" s="89"/>
      <c r="X150" s="89">
        <v>590</v>
      </c>
      <c r="Y150" s="89">
        <v>355</v>
      </c>
      <c r="Z150" s="89"/>
      <c r="AA150" s="93"/>
      <c r="AB150" s="97"/>
      <c r="AC150" s="97">
        <f>AVERAGE(12.3,12.7)</f>
        <v>12.5</v>
      </c>
      <c r="AD150" s="97"/>
      <c r="AE150" s="97"/>
      <c r="AF150" s="97"/>
      <c r="AG150" s="97">
        <f>AVERAGE(22.1,22.2)</f>
        <v>22.15</v>
      </c>
      <c r="AH150" s="97"/>
      <c r="AI150" s="97"/>
      <c r="AJ150" s="97"/>
      <c r="AK150" s="97"/>
      <c r="AL150" s="97">
        <f>AVERAGE(46.4,49.9,45.9)</f>
        <v>47.4</v>
      </c>
      <c r="AM150" s="97"/>
      <c r="AN150" s="97"/>
      <c r="AO150" s="97"/>
      <c r="AP150" s="97"/>
      <c r="AQ150" s="97">
        <f>AVERAGE(57.3,59.9,55.7)</f>
        <v>57.633333333333326</v>
      </c>
      <c r="AR150" s="87"/>
      <c r="AS150" s="87"/>
      <c r="AT150" s="87"/>
      <c r="AU150" s="87"/>
      <c r="AV150" s="87"/>
      <c r="AW150" s="87"/>
      <c r="AX150" s="87"/>
    </row>
    <row r="151" spans="1:64" s="86" customFormat="1" ht="15" customHeight="1" x14ac:dyDescent="0.15">
      <c r="A151" s="90">
        <f t="shared" si="2"/>
        <v>150</v>
      </c>
      <c r="B151" s="91" t="s">
        <v>21</v>
      </c>
      <c r="C151" s="89">
        <v>360</v>
      </c>
      <c r="D151" s="89">
        <v>60</v>
      </c>
      <c r="H151" s="89">
        <v>140</v>
      </c>
      <c r="I151" s="89">
        <v>50</v>
      </c>
      <c r="J151" s="99"/>
      <c r="K151" s="99">
        <v>1.9</v>
      </c>
      <c r="L151" s="99"/>
      <c r="S151" s="89"/>
      <c r="U151" s="89">
        <v>830</v>
      </c>
      <c r="W151" s="89"/>
      <c r="X151" s="89">
        <v>470</v>
      </c>
      <c r="Y151" s="89">
        <v>330</v>
      </c>
      <c r="Z151" s="89"/>
      <c r="AA151" s="93"/>
      <c r="AB151" s="97">
        <v>2.6</v>
      </c>
      <c r="AC151" s="97">
        <v>4.4000000000000004</v>
      </c>
      <c r="AD151" s="97">
        <v>7.4</v>
      </c>
      <c r="AE151" s="97">
        <v>9.6999999999999993</v>
      </c>
      <c r="AF151" s="97"/>
      <c r="AG151" s="97">
        <f>AVERAGE(18.4,18.5)</f>
        <v>18.45</v>
      </c>
      <c r="AH151" s="97"/>
      <c r="AI151" s="97"/>
      <c r="AJ151" s="97"/>
      <c r="AK151" s="97"/>
      <c r="AL151" s="97">
        <f>AVERAGE(37.2,37.5)</f>
        <v>37.35</v>
      </c>
      <c r="AM151" s="97"/>
      <c r="AN151" s="97"/>
      <c r="AO151" s="97"/>
      <c r="AP151" s="97"/>
      <c r="AQ151" s="97">
        <v>50.5</v>
      </c>
      <c r="AR151" s="87"/>
      <c r="AS151" s="87"/>
      <c r="AT151" s="87"/>
      <c r="AU151" s="87"/>
      <c r="AV151" s="87"/>
      <c r="AW151" s="87"/>
      <c r="AX151" s="87"/>
    </row>
    <row r="152" spans="1:64" s="86" customFormat="1" ht="15" customHeight="1" x14ac:dyDescent="0.15">
      <c r="A152" s="90">
        <f t="shared" si="2"/>
        <v>151</v>
      </c>
      <c r="B152" s="91" t="s">
        <v>21</v>
      </c>
      <c r="C152" s="89">
        <v>350</v>
      </c>
      <c r="D152" s="89">
        <v>60</v>
      </c>
      <c r="H152" s="89">
        <v>170</v>
      </c>
      <c r="I152" s="89"/>
      <c r="J152" s="99">
        <v>1.1000000000000001</v>
      </c>
      <c r="K152" s="99">
        <v>1.8</v>
      </c>
      <c r="L152" s="99"/>
      <c r="S152" s="89">
        <v>250</v>
      </c>
      <c r="U152" s="89">
        <v>600</v>
      </c>
      <c r="W152" s="89">
        <v>260</v>
      </c>
      <c r="X152" s="89">
        <v>650</v>
      </c>
      <c r="Y152" s="89"/>
      <c r="Z152" s="89"/>
      <c r="AA152" s="93"/>
      <c r="AB152" s="97">
        <v>1.3</v>
      </c>
      <c r="AC152" s="97">
        <v>4.4000000000000004</v>
      </c>
      <c r="AD152" s="97">
        <v>8.4</v>
      </c>
      <c r="AE152" s="97"/>
      <c r="AF152" s="97"/>
      <c r="AG152" s="97">
        <v>17.3</v>
      </c>
      <c r="AH152" s="97"/>
      <c r="AI152" s="97"/>
      <c r="AJ152" s="97">
        <v>29.1</v>
      </c>
      <c r="AK152" s="97"/>
      <c r="AL152" s="97">
        <v>42.6</v>
      </c>
      <c r="AM152" s="97"/>
      <c r="AN152" s="97"/>
      <c r="AO152" s="97"/>
      <c r="AP152" s="97"/>
      <c r="AQ152" s="97">
        <v>52.8</v>
      </c>
      <c r="AR152" s="87"/>
      <c r="AS152" s="87"/>
      <c r="AT152" s="87"/>
      <c r="AU152" s="87"/>
      <c r="AV152" s="87"/>
      <c r="AW152" s="87"/>
      <c r="AX152" s="87"/>
    </row>
    <row r="153" spans="1:64" s="86" customFormat="1" ht="15" customHeight="1" x14ac:dyDescent="0.15">
      <c r="A153" s="90">
        <f t="shared" si="2"/>
        <v>152</v>
      </c>
      <c r="B153" s="91" t="s">
        <v>21</v>
      </c>
      <c r="C153" s="89">
        <v>350</v>
      </c>
      <c r="D153" s="89">
        <v>60</v>
      </c>
      <c r="H153" s="89">
        <v>170</v>
      </c>
      <c r="I153" s="89"/>
      <c r="J153" s="99"/>
      <c r="K153" s="99">
        <v>2.4</v>
      </c>
      <c r="L153" s="99"/>
      <c r="S153" s="89"/>
      <c r="U153" s="89">
        <v>830</v>
      </c>
      <c r="W153" s="89">
        <v>140</v>
      </c>
      <c r="X153" s="89">
        <v>460</v>
      </c>
      <c r="Y153" s="89">
        <v>370</v>
      </c>
      <c r="Z153" s="89"/>
      <c r="AA153" s="93"/>
      <c r="AB153" s="97">
        <v>5</v>
      </c>
      <c r="AC153" s="97">
        <f>AVERAGE(9.2,9.2,9.3)</f>
        <v>9.2333333333333325</v>
      </c>
      <c r="AD153" s="97"/>
      <c r="AE153" s="97"/>
      <c r="AF153" s="97"/>
      <c r="AG153" s="97">
        <f>AVERAGE(21.8,20.3,21.1)</f>
        <v>21.066666666666666</v>
      </c>
      <c r="AH153" s="97"/>
      <c r="AI153" s="97"/>
      <c r="AJ153" s="97"/>
      <c r="AK153" s="97"/>
      <c r="AL153" s="97">
        <f>AVERAGE(45.5,45,44.1)</f>
        <v>44.866666666666667</v>
      </c>
      <c r="AM153" s="97"/>
      <c r="AN153" s="97"/>
      <c r="AO153" s="97"/>
      <c r="AP153" s="97"/>
      <c r="AQ153" s="97">
        <f>AVERAGE(56.3,51.3,51.2)</f>
        <v>52.933333333333337</v>
      </c>
      <c r="AR153" s="87">
        <v>59.6</v>
      </c>
      <c r="AS153" s="87"/>
      <c r="AT153" s="87"/>
      <c r="AU153" s="87"/>
      <c r="AV153" s="87"/>
      <c r="AW153" s="87"/>
      <c r="AX153" s="87"/>
    </row>
    <row r="154" spans="1:64" s="86" customFormat="1" ht="15" customHeight="1" x14ac:dyDescent="0.15">
      <c r="A154" s="90">
        <f t="shared" si="2"/>
        <v>153</v>
      </c>
      <c r="B154" s="91" t="s">
        <v>21</v>
      </c>
      <c r="C154" s="89">
        <v>350</v>
      </c>
      <c r="D154" s="89">
        <v>60</v>
      </c>
      <c r="H154" s="89">
        <v>200</v>
      </c>
      <c r="I154" s="89"/>
      <c r="J154" s="99"/>
      <c r="K154" s="99">
        <v>2.4</v>
      </c>
      <c r="L154" s="99"/>
      <c r="S154" s="89"/>
      <c r="U154" s="89">
        <v>830</v>
      </c>
      <c r="W154" s="89">
        <v>140</v>
      </c>
      <c r="X154" s="89">
        <v>460</v>
      </c>
      <c r="Y154" s="89">
        <v>370</v>
      </c>
      <c r="Z154" s="89"/>
      <c r="AA154" s="93"/>
      <c r="AB154" s="97"/>
      <c r="AC154" s="97">
        <f>AVERAGE(7.7,9)</f>
        <v>8.35</v>
      </c>
      <c r="AD154" s="97"/>
      <c r="AE154" s="97"/>
      <c r="AF154" s="97"/>
      <c r="AG154" s="97">
        <f>AVERAGE(19.7,19.4)</f>
        <v>19.549999999999997</v>
      </c>
      <c r="AH154" s="97"/>
      <c r="AI154" s="97"/>
      <c r="AJ154" s="97"/>
      <c r="AK154" s="97"/>
      <c r="AL154" s="97">
        <f>AVERAGE(48.4,48.4)</f>
        <v>48.4</v>
      </c>
      <c r="AM154" s="97"/>
      <c r="AN154" s="97"/>
      <c r="AO154" s="97"/>
      <c r="AP154" s="97"/>
      <c r="AQ154" s="97">
        <f>AVERAGE(60.1,60.5)</f>
        <v>60.3</v>
      </c>
      <c r="AR154" s="87"/>
      <c r="AS154" s="87"/>
      <c r="AT154" s="87"/>
      <c r="AU154" s="87"/>
      <c r="AV154" s="87"/>
      <c r="AW154" s="87"/>
      <c r="AX154" s="87"/>
    </row>
    <row r="155" spans="1:64" s="86" customFormat="1" ht="15" customHeight="1" x14ac:dyDescent="0.15">
      <c r="A155" s="90">
        <f t="shared" si="2"/>
        <v>154</v>
      </c>
      <c r="B155" s="91" t="s">
        <v>21</v>
      </c>
      <c r="C155" s="89">
        <v>320</v>
      </c>
      <c r="D155" s="89">
        <v>60</v>
      </c>
      <c r="H155" s="89">
        <v>190</v>
      </c>
      <c r="I155" s="89"/>
      <c r="J155" s="99"/>
      <c r="K155" s="99">
        <v>2.2000000000000002</v>
      </c>
      <c r="L155" s="99"/>
      <c r="S155" s="89"/>
      <c r="U155" s="89">
        <v>850</v>
      </c>
      <c r="W155" s="89">
        <v>140</v>
      </c>
      <c r="X155" s="89">
        <v>470</v>
      </c>
      <c r="Y155" s="89">
        <v>370</v>
      </c>
      <c r="Z155" s="89"/>
      <c r="AA155" s="93"/>
      <c r="AB155" s="97"/>
      <c r="AC155" s="97">
        <f>AVERAGE(5.7,5.2)</f>
        <v>5.45</v>
      </c>
      <c r="AD155" s="97"/>
      <c r="AE155" s="97"/>
      <c r="AF155" s="97"/>
      <c r="AG155" s="97"/>
      <c r="AH155" s="97">
        <f>AVERAGE(16.1,17.3)</f>
        <v>16.700000000000003</v>
      </c>
      <c r="AI155" s="97"/>
      <c r="AJ155" s="97"/>
      <c r="AK155" s="97"/>
      <c r="AL155" s="97">
        <v>42</v>
      </c>
      <c r="AM155" s="97"/>
      <c r="AN155" s="97"/>
      <c r="AO155" s="97"/>
      <c r="AP155" s="97"/>
      <c r="AQ155" s="97">
        <f>AVERAGE(50,49)</f>
        <v>49.5</v>
      </c>
      <c r="AR155" s="87"/>
      <c r="AS155" s="87"/>
      <c r="AT155" s="87"/>
      <c r="AU155" s="87"/>
      <c r="AV155" s="87"/>
      <c r="AW155" s="87"/>
      <c r="AX155" s="87"/>
    </row>
    <row r="156" spans="1:64" s="86" customFormat="1" ht="15" customHeight="1" x14ac:dyDescent="0.15">
      <c r="A156" s="90">
        <f t="shared" si="2"/>
        <v>155</v>
      </c>
      <c r="B156" s="91" t="s">
        <v>21</v>
      </c>
      <c r="C156" s="89">
        <v>320</v>
      </c>
      <c r="D156" s="89">
        <v>60</v>
      </c>
      <c r="H156" s="89">
        <v>160</v>
      </c>
      <c r="I156" s="89"/>
      <c r="J156" s="99">
        <v>1</v>
      </c>
      <c r="K156" s="99">
        <v>1.9</v>
      </c>
      <c r="L156" s="99"/>
      <c r="S156" s="89"/>
      <c r="U156" s="89">
        <v>870</v>
      </c>
      <c r="W156" s="89">
        <v>90</v>
      </c>
      <c r="X156" s="89">
        <v>480</v>
      </c>
      <c r="Y156" s="89">
        <v>360</v>
      </c>
      <c r="Z156" s="89"/>
      <c r="AA156" s="93"/>
      <c r="AB156" s="97"/>
      <c r="AC156" s="97"/>
      <c r="AD156" s="97">
        <v>12.9</v>
      </c>
      <c r="AE156" s="97"/>
      <c r="AF156" s="97"/>
      <c r="AG156" s="97">
        <v>23.3</v>
      </c>
      <c r="AH156" s="97"/>
      <c r="AI156" s="97"/>
      <c r="AJ156" s="97"/>
      <c r="AK156" s="97"/>
      <c r="AL156" s="97">
        <v>42.6</v>
      </c>
      <c r="AM156" s="97"/>
      <c r="AN156" s="97"/>
      <c r="AO156" s="97"/>
      <c r="AP156" s="97"/>
      <c r="AQ156" s="97">
        <v>55.9</v>
      </c>
      <c r="AR156" s="97"/>
      <c r="AS156" s="97"/>
      <c r="AT156" s="97"/>
      <c r="AU156" s="97"/>
      <c r="AV156" s="97"/>
      <c r="AW156" s="97"/>
      <c r="AX156" s="97"/>
    </row>
    <row r="157" spans="1:64" s="86" customFormat="1" ht="15" customHeight="1" x14ac:dyDescent="0.15">
      <c r="A157" s="90">
        <f t="shared" si="2"/>
        <v>156</v>
      </c>
      <c r="B157" s="91" t="s">
        <v>21</v>
      </c>
      <c r="C157" s="89">
        <v>290</v>
      </c>
      <c r="D157" s="89">
        <v>60</v>
      </c>
      <c r="H157" s="89">
        <v>155</v>
      </c>
      <c r="I157" s="89"/>
      <c r="J157" s="99"/>
      <c r="K157" s="99">
        <v>1.8</v>
      </c>
      <c r="L157" s="99"/>
      <c r="S157" s="89"/>
      <c r="U157" s="89">
        <v>880</v>
      </c>
      <c r="W157" s="89">
        <v>160</v>
      </c>
      <c r="X157" s="89">
        <v>460</v>
      </c>
      <c r="Y157" s="89">
        <v>350</v>
      </c>
      <c r="Z157" s="89"/>
      <c r="AA157" s="93"/>
      <c r="AB157" s="97"/>
      <c r="AC157" s="97">
        <f>AVERAGE(5.8,5.6)</f>
        <v>5.6999999999999993</v>
      </c>
      <c r="AD157" s="97"/>
      <c r="AE157" s="97"/>
      <c r="AF157" s="97"/>
      <c r="AG157" s="97">
        <f>AVERAGE(12.5,12.1)</f>
        <v>12.3</v>
      </c>
      <c r="AH157" s="97"/>
      <c r="AI157" s="97"/>
      <c r="AJ157" s="97"/>
      <c r="AK157" s="97"/>
      <c r="AL157" s="97">
        <f>AVERAGE(34.5,33.4)</f>
        <v>33.950000000000003</v>
      </c>
      <c r="AM157" s="97"/>
      <c r="AN157" s="97"/>
      <c r="AO157" s="97"/>
      <c r="AP157" s="97"/>
      <c r="AQ157" s="97">
        <f>AVERAGE(46.9,44.1)</f>
        <v>45.5</v>
      </c>
      <c r="AR157" s="87"/>
      <c r="AS157" s="87"/>
      <c r="AT157" s="87"/>
      <c r="AU157" s="87"/>
      <c r="AV157" s="87"/>
      <c r="AW157" s="87"/>
      <c r="AX157" s="87"/>
    </row>
    <row r="158" spans="1:64" ht="13" customHeight="1" x14ac:dyDescent="0.15">
      <c r="A158" s="90">
        <f t="shared" si="2"/>
        <v>157</v>
      </c>
      <c r="B158" s="96" t="s">
        <v>14</v>
      </c>
      <c r="C158" s="91">
        <v>330</v>
      </c>
      <c r="D158" s="89">
        <v>30</v>
      </c>
      <c r="H158" s="89">
        <v>180</v>
      </c>
      <c r="I158" s="89"/>
      <c r="J158" s="99"/>
      <c r="K158" s="99">
        <v>2.4</v>
      </c>
      <c r="L158" s="99"/>
      <c r="S158" s="89"/>
      <c r="U158" s="89">
        <v>870</v>
      </c>
      <c r="W158" s="89">
        <v>110</v>
      </c>
      <c r="X158" s="89">
        <v>420</v>
      </c>
      <c r="Y158" s="89">
        <v>420</v>
      </c>
      <c r="Z158" s="89"/>
      <c r="AA158" s="92"/>
      <c r="AB158" s="97">
        <v>5</v>
      </c>
      <c r="AC158" s="97">
        <v>10.5</v>
      </c>
      <c r="AD158" s="97"/>
      <c r="AE158" s="97"/>
      <c r="AF158" s="97"/>
      <c r="AG158" s="97"/>
      <c r="AH158" s="97"/>
      <c r="AI158" s="97">
        <v>22.8</v>
      </c>
      <c r="AJ158" s="97"/>
      <c r="AK158" s="97"/>
      <c r="AL158" s="97">
        <f>AVERAGE(39.3,39.9,42.1)</f>
        <v>40.43333333333333</v>
      </c>
      <c r="AM158" s="97"/>
      <c r="AN158" s="97"/>
      <c r="AO158" s="97"/>
      <c r="AP158" s="97"/>
      <c r="AQ158" s="97">
        <f>AVERAGE(54.98,54.1,52.8)</f>
        <v>53.96</v>
      </c>
      <c r="AR158" s="97"/>
      <c r="AS158" s="97"/>
      <c r="AT158" s="97"/>
      <c r="AU158" s="97"/>
      <c r="AV158" s="97"/>
      <c r="AW158" s="97"/>
      <c r="AX158" s="97"/>
    </row>
    <row r="159" spans="1:64" x14ac:dyDescent="0.15">
      <c r="B159" s="96"/>
      <c r="AA159" s="92"/>
    </row>
    <row r="160" spans="1:64" x14ac:dyDescent="0.15">
      <c r="AA160" s="92"/>
      <c r="AB160" s="91"/>
      <c r="AC160" s="91"/>
      <c r="AD160" s="91"/>
      <c r="AE160" s="91"/>
      <c r="AF160" s="91"/>
      <c r="AG160" s="101"/>
      <c r="AH160" s="101"/>
      <c r="AI160" s="101"/>
      <c r="AJ160" s="91"/>
      <c r="AK160" s="91"/>
      <c r="AL160" s="91"/>
      <c r="AM160" s="91"/>
      <c r="AN160" s="91"/>
      <c r="AO160" s="91"/>
      <c r="AP160" s="92"/>
      <c r="AQ160" s="92"/>
    </row>
    <row r="161" spans="27:43" x14ac:dyDescent="0.15">
      <c r="AA161" s="92"/>
      <c r="AB161" s="91"/>
      <c r="AC161" s="91"/>
      <c r="AD161" s="91"/>
      <c r="AE161" s="91"/>
      <c r="AF161" s="91"/>
      <c r="AG161" s="101"/>
      <c r="AH161" s="101"/>
      <c r="AI161" s="101"/>
      <c r="AJ161" s="91"/>
      <c r="AK161" s="91"/>
      <c r="AL161" s="91"/>
      <c r="AM161" s="91"/>
      <c r="AN161" s="91"/>
      <c r="AO161" s="91"/>
      <c r="AP161" s="92"/>
      <c r="AQ161" s="92"/>
    </row>
    <row r="162" spans="27:43" x14ac:dyDescent="0.15">
      <c r="AA162" s="92"/>
      <c r="AB162" s="91"/>
      <c r="AC162" s="91"/>
      <c r="AD162" s="91"/>
      <c r="AE162" s="91"/>
      <c r="AF162" s="91"/>
      <c r="AG162" s="101"/>
      <c r="AH162" s="101"/>
      <c r="AI162" s="101"/>
      <c r="AJ162" s="91"/>
      <c r="AK162" s="91"/>
      <c r="AL162" s="91"/>
      <c r="AM162" s="91"/>
      <c r="AN162" s="91"/>
      <c r="AO162" s="91"/>
      <c r="AP162" s="92"/>
      <c r="AQ162" s="92"/>
    </row>
    <row r="163" spans="27:43" x14ac:dyDescent="0.15">
      <c r="AA163" s="92"/>
      <c r="AB163" s="91"/>
      <c r="AC163" s="91"/>
      <c r="AD163" s="91"/>
      <c r="AE163" s="91"/>
      <c r="AF163" s="91"/>
      <c r="AG163" s="101"/>
      <c r="AH163" s="101"/>
      <c r="AI163" s="101"/>
      <c r="AJ163" s="91"/>
      <c r="AK163" s="91"/>
      <c r="AL163" s="91"/>
      <c r="AM163" s="91"/>
      <c r="AN163" s="91"/>
      <c r="AO163" s="91"/>
      <c r="AP163" s="92"/>
      <c r="AQ163" s="92"/>
    </row>
    <row r="164" spans="27:43" x14ac:dyDescent="0.15">
      <c r="AA164" s="92"/>
      <c r="AB164" s="91"/>
      <c r="AC164" s="91"/>
      <c r="AD164" s="91"/>
      <c r="AE164" s="91"/>
      <c r="AF164" s="91"/>
      <c r="AG164" s="101"/>
      <c r="AH164" s="101"/>
      <c r="AI164" s="101"/>
      <c r="AJ164" s="91"/>
      <c r="AK164" s="91"/>
      <c r="AL164" s="91"/>
      <c r="AM164" s="91"/>
      <c r="AN164" s="91"/>
      <c r="AO164" s="91"/>
      <c r="AP164" s="92"/>
      <c r="AQ164" s="92"/>
    </row>
    <row r="165" spans="27:43" x14ac:dyDescent="0.15">
      <c r="AA165" s="92"/>
      <c r="AB165" s="91"/>
      <c r="AC165" s="91"/>
      <c r="AD165" s="91"/>
      <c r="AE165" s="91"/>
      <c r="AF165" s="91"/>
      <c r="AG165" s="101"/>
      <c r="AH165" s="101"/>
      <c r="AI165" s="101"/>
      <c r="AJ165" s="91"/>
      <c r="AK165" s="91"/>
      <c r="AL165" s="91"/>
      <c r="AM165" s="91"/>
      <c r="AN165" s="91"/>
      <c r="AO165" s="91"/>
      <c r="AP165" s="92"/>
      <c r="AQ165" s="92"/>
    </row>
    <row r="166" spans="27:43" x14ac:dyDescent="0.15">
      <c r="AA166" s="92"/>
      <c r="AB166" s="91"/>
      <c r="AC166" s="91"/>
      <c r="AD166" s="91"/>
      <c r="AE166" s="91"/>
      <c r="AF166" s="91"/>
      <c r="AG166" s="101"/>
      <c r="AH166" s="101"/>
      <c r="AI166" s="101"/>
      <c r="AJ166" s="91"/>
      <c r="AK166" s="91"/>
      <c r="AL166" s="91"/>
      <c r="AM166" s="91"/>
      <c r="AN166" s="91"/>
      <c r="AO166" s="91"/>
      <c r="AP166" s="92"/>
      <c r="AQ166" s="92"/>
    </row>
    <row r="167" spans="27:43" x14ac:dyDescent="0.15">
      <c r="AA167" s="92"/>
      <c r="AB167" s="91"/>
      <c r="AC167" s="91"/>
      <c r="AD167" s="91"/>
      <c r="AE167" s="91"/>
      <c r="AF167" s="91"/>
      <c r="AG167" s="101"/>
      <c r="AH167" s="101"/>
      <c r="AI167" s="101"/>
      <c r="AJ167" s="91"/>
      <c r="AK167" s="91"/>
      <c r="AL167" s="91"/>
      <c r="AM167" s="91"/>
      <c r="AN167" s="91"/>
      <c r="AO167" s="91"/>
      <c r="AP167" s="92"/>
      <c r="AQ167" s="92"/>
    </row>
    <row r="168" spans="27:43" x14ac:dyDescent="0.15">
      <c r="AA168" s="92"/>
      <c r="AB168" s="91"/>
      <c r="AC168" s="91"/>
      <c r="AD168" s="91"/>
      <c r="AE168" s="91"/>
      <c r="AF168" s="91"/>
      <c r="AG168" s="101"/>
      <c r="AH168" s="101"/>
      <c r="AI168" s="101"/>
      <c r="AJ168" s="91"/>
      <c r="AK168" s="91"/>
      <c r="AL168" s="91"/>
      <c r="AM168" s="91"/>
      <c r="AN168" s="91"/>
      <c r="AO168" s="91"/>
      <c r="AP168" s="92"/>
      <c r="AQ168" s="92"/>
    </row>
    <row r="169" spans="27:43" x14ac:dyDescent="0.15"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</row>
    <row r="170" spans="27:43" x14ac:dyDescent="0.15"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</row>
    <row r="171" spans="27:43" x14ac:dyDescent="0.15"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</row>
    <row r="172" spans="27:43" x14ac:dyDescent="0.15"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</row>
    <row r="173" spans="27:43" x14ac:dyDescent="0.15"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</row>
    <row r="174" spans="27:43" x14ac:dyDescent="0.15"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</row>
    <row r="175" spans="27:43" x14ac:dyDescent="0.15"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</row>
    <row r="176" spans="27:43" x14ac:dyDescent="0.15"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</row>
    <row r="177" spans="27:43" x14ac:dyDescent="0.15"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669A-3A82-4B82-8A60-6154141598B7}">
  <dimension ref="A1:AK159"/>
  <sheetViews>
    <sheetView topLeftCell="E1" workbookViewId="0">
      <selection activeCell="A3" sqref="A3:P16"/>
    </sheetView>
  </sheetViews>
  <sheetFormatPr baseColWidth="10" defaultColWidth="8.83203125" defaultRowHeight="13" x14ac:dyDescent="0.15"/>
  <cols>
    <col min="1" max="23" width="5" style="1" customWidth="1"/>
    <col min="24" max="24" width="12.1640625" style="4" customWidth="1"/>
    <col min="25" max="26" width="10" style="1" customWidth="1"/>
    <col min="27" max="27" width="7.1640625" style="1" customWidth="1"/>
    <col min="28" max="32" width="11.5" style="5" customWidth="1"/>
    <col min="33" max="36" width="5.6640625" style="6" customWidth="1"/>
  </cols>
  <sheetData>
    <row r="1" spans="1:37" ht="14" thickBot="1" x14ac:dyDescent="0.2">
      <c r="A1" s="127" t="s">
        <v>24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9"/>
      <c r="X1" s="52" t="s">
        <v>26</v>
      </c>
      <c r="Y1" s="130" t="s">
        <v>27</v>
      </c>
      <c r="Z1" s="131"/>
      <c r="AA1" s="51" t="s">
        <v>28</v>
      </c>
      <c r="AB1" s="132" t="s">
        <v>29</v>
      </c>
      <c r="AC1" s="133"/>
      <c r="AD1" s="133"/>
      <c r="AE1" s="133"/>
      <c r="AF1" s="134"/>
      <c r="AG1" s="111" t="s">
        <v>30</v>
      </c>
      <c r="AH1" s="112"/>
      <c r="AI1" s="112"/>
      <c r="AJ1" s="113"/>
      <c r="AK1" s="2"/>
    </row>
    <row r="2" spans="1:37" x14ac:dyDescent="0.15">
      <c r="A2" s="114" t="s">
        <v>25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6"/>
      <c r="X2" s="125" t="s">
        <v>0</v>
      </c>
      <c r="Y2" s="135" t="s">
        <v>2</v>
      </c>
      <c r="Z2" s="103" t="s">
        <v>3</v>
      </c>
      <c r="AA2" s="123" t="s">
        <v>19</v>
      </c>
      <c r="AB2" s="117" t="s">
        <v>5</v>
      </c>
      <c r="AC2" s="119" t="s">
        <v>36</v>
      </c>
      <c r="AD2" s="119" t="s">
        <v>32</v>
      </c>
      <c r="AE2" s="119" t="s">
        <v>17</v>
      </c>
      <c r="AF2" s="121" t="s">
        <v>20</v>
      </c>
      <c r="AG2" s="105" t="s">
        <v>11</v>
      </c>
      <c r="AH2" s="107" t="s">
        <v>6</v>
      </c>
      <c r="AI2" s="107" t="s">
        <v>7</v>
      </c>
      <c r="AJ2" s="109" t="s">
        <v>8</v>
      </c>
      <c r="AK2" s="2"/>
    </row>
    <row r="3" spans="1:37" ht="14" thickBot="1" x14ac:dyDescent="0.2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26"/>
      <c r="Y3" s="136"/>
      <c r="Z3" s="104"/>
      <c r="AA3" s="124"/>
      <c r="AB3" s="118"/>
      <c r="AC3" s="120"/>
      <c r="AD3" s="120"/>
      <c r="AE3" s="120"/>
      <c r="AF3" s="122"/>
      <c r="AG3" s="106"/>
      <c r="AH3" s="108"/>
      <c r="AI3" s="108"/>
      <c r="AJ3" s="110"/>
    </row>
    <row r="4" spans="1:37" x14ac:dyDescent="0.15">
      <c r="A4" s="17">
        <v>13.8</v>
      </c>
      <c r="B4" s="18">
        <f>AVERAGE(22.8,23,22.7)</f>
        <v>22.833333333333332</v>
      </c>
      <c r="C4" s="18"/>
      <c r="D4" s="18"/>
      <c r="E4" s="18"/>
      <c r="F4" s="18">
        <v>35.200000000000003</v>
      </c>
      <c r="G4" s="18"/>
      <c r="H4" s="18"/>
      <c r="I4" s="18"/>
      <c r="J4" s="18"/>
      <c r="K4" s="18">
        <f>AVERAGE(51.5,51.3,50.9)</f>
        <v>51.233333333333327</v>
      </c>
      <c r="L4" s="18"/>
      <c r="M4" s="18"/>
      <c r="N4" s="18"/>
      <c r="O4" s="18"/>
      <c r="P4" s="18">
        <v>61.4</v>
      </c>
      <c r="Q4" s="18"/>
      <c r="R4" s="18"/>
      <c r="S4" s="18"/>
      <c r="T4" s="18"/>
      <c r="U4" s="18"/>
      <c r="V4" s="18"/>
      <c r="W4" s="19"/>
      <c r="X4" s="38">
        <v>450</v>
      </c>
      <c r="Y4" s="39"/>
      <c r="Z4" s="40"/>
      <c r="AA4" s="41">
        <v>180</v>
      </c>
      <c r="AB4" s="42"/>
      <c r="AC4" s="43">
        <v>4.0999999999999996</v>
      </c>
      <c r="AD4" s="43">
        <v>0.3</v>
      </c>
      <c r="AE4" s="43"/>
      <c r="AF4" s="44"/>
      <c r="AG4" s="45">
        <v>200</v>
      </c>
      <c r="AH4" s="46">
        <v>650</v>
      </c>
      <c r="AI4" s="46">
        <v>280</v>
      </c>
      <c r="AJ4" s="47">
        <v>680</v>
      </c>
    </row>
    <row r="5" spans="1:37" x14ac:dyDescent="0.15">
      <c r="A5" s="12">
        <v>14.8</v>
      </c>
      <c r="B5" s="9">
        <f>AVERAGE(23,22.7,22.6)</f>
        <v>22.766666666666669</v>
      </c>
      <c r="C5" s="9"/>
      <c r="D5" s="9"/>
      <c r="E5" s="9"/>
      <c r="F5" s="9">
        <v>36.200000000000003</v>
      </c>
      <c r="G5" s="9"/>
      <c r="H5" s="9"/>
      <c r="I5" s="9"/>
      <c r="J5" s="9"/>
      <c r="K5" s="9">
        <f>AVERAGE(52.8,55.1,50.6)</f>
        <v>52.833333333333336</v>
      </c>
      <c r="L5" s="9"/>
      <c r="M5" s="9"/>
      <c r="N5" s="9"/>
      <c r="O5" s="9"/>
      <c r="P5" s="9">
        <v>59.1</v>
      </c>
      <c r="Q5" s="9"/>
      <c r="R5" s="9"/>
      <c r="S5" s="9"/>
      <c r="T5" s="9"/>
      <c r="U5" s="9"/>
      <c r="V5" s="9"/>
      <c r="W5" s="13"/>
      <c r="X5" s="28">
        <v>450</v>
      </c>
      <c r="Y5" s="10"/>
      <c r="Z5" s="11"/>
      <c r="AA5" s="30">
        <v>180</v>
      </c>
      <c r="AB5" s="34"/>
      <c r="AC5" s="22">
        <v>4.0999999999999996</v>
      </c>
      <c r="AD5" s="22">
        <v>0.3</v>
      </c>
      <c r="AE5" s="22"/>
      <c r="AF5" s="35"/>
      <c r="AG5" s="32">
        <v>200</v>
      </c>
      <c r="AH5" s="23">
        <v>650</v>
      </c>
      <c r="AI5" s="23">
        <v>960</v>
      </c>
      <c r="AJ5" s="24"/>
    </row>
    <row r="6" spans="1:37" x14ac:dyDescent="0.15">
      <c r="A6" s="12">
        <v>11</v>
      </c>
      <c r="B6" s="9">
        <f>AVERAGE(19.4,19.3,19.2)</f>
        <v>19.3</v>
      </c>
      <c r="C6" s="9"/>
      <c r="D6" s="9"/>
      <c r="E6" s="9"/>
      <c r="F6" s="9">
        <v>32</v>
      </c>
      <c r="G6" s="9"/>
      <c r="H6" s="9"/>
      <c r="I6" s="9"/>
      <c r="J6" s="9"/>
      <c r="K6" s="9">
        <f>AVERAGE(51.1,52.6,52.2)</f>
        <v>51.966666666666669</v>
      </c>
      <c r="L6" s="9"/>
      <c r="M6" s="9"/>
      <c r="N6" s="9"/>
      <c r="O6" s="9"/>
      <c r="P6" s="9">
        <v>58.6</v>
      </c>
      <c r="Q6" s="9"/>
      <c r="R6" s="9"/>
      <c r="S6" s="9"/>
      <c r="T6" s="9"/>
      <c r="U6" s="9"/>
      <c r="V6" s="9"/>
      <c r="W6" s="13"/>
      <c r="X6" s="28">
        <v>450</v>
      </c>
      <c r="Y6" s="10">
        <v>90</v>
      </c>
      <c r="Z6" s="11"/>
      <c r="AA6" s="30">
        <v>180</v>
      </c>
      <c r="AB6" s="34"/>
      <c r="AC6" s="22">
        <v>4.8</v>
      </c>
      <c r="AD6" s="22">
        <v>0.3</v>
      </c>
      <c r="AE6" s="22">
        <v>0.5</v>
      </c>
      <c r="AF6" s="35"/>
      <c r="AG6" s="32">
        <v>250</v>
      </c>
      <c r="AH6" s="23">
        <v>600</v>
      </c>
      <c r="AI6" s="23">
        <v>300</v>
      </c>
      <c r="AJ6" s="24">
        <v>550</v>
      </c>
    </row>
    <row r="7" spans="1:37" x14ac:dyDescent="0.15">
      <c r="A7" s="12">
        <v>35</v>
      </c>
      <c r="B7" s="9">
        <f>AVERAGE(47.2,45.5,46.8)</f>
        <v>46.5</v>
      </c>
      <c r="C7" s="9"/>
      <c r="D7" s="9"/>
      <c r="E7" s="9"/>
      <c r="F7" s="9">
        <v>60.5</v>
      </c>
      <c r="G7" s="9"/>
      <c r="H7" s="9"/>
      <c r="I7" s="9"/>
      <c r="J7" s="9"/>
      <c r="K7" s="9">
        <f>AVERAGE(70.7,69.9,69.6)</f>
        <v>70.066666666666677</v>
      </c>
      <c r="L7" s="9"/>
      <c r="M7" s="9"/>
      <c r="N7" s="9"/>
      <c r="O7" s="9"/>
      <c r="P7" s="9">
        <v>84.8</v>
      </c>
      <c r="Q7" s="9"/>
      <c r="R7" s="9"/>
      <c r="S7" s="9"/>
      <c r="T7" s="9"/>
      <c r="U7" s="9"/>
      <c r="V7" s="9"/>
      <c r="W7" s="13"/>
      <c r="X7" s="28">
        <v>450</v>
      </c>
      <c r="Y7" s="10"/>
      <c r="Z7" s="11"/>
      <c r="AA7" s="30">
        <v>180</v>
      </c>
      <c r="AB7" s="34"/>
      <c r="AC7" s="22">
        <v>4.0999999999999996</v>
      </c>
      <c r="AD7" s="22">
        <v>0.3</v>
      </c>
      <c r="AE7" s="22"/>
      <c r="AF7" s="35"/>
      <c r="AG7" s="32">
        <v>200</v>
      </c>
      <c r="AH7" s="23">
        <v>650</v>
      </c>
      <c r="AI7" s="23">
        <v>280</v>
      </c>
      <c r="AJ7" s="24">
        <v>680</v>
      </c>
    </row>
    <row r="8" spans="1:37" x14ac:dyDescent="0.15">
      <c r="A8" s="12">
        <v>38.6</v>
      </c>
      <c r="B8" s="9">
        <f>AVERAGE(50,48.8,49.2)</f>
        <v>49.333333333333336</v>
      </c>
      <c r="C8" s="9"/>
      <c r="D8" s="9"/>
      <c r="E8" s="9"/>
      <c r="F8" s="9">
        <v>67</v>
      </c>
      <c r="G8" s="9"/>
      <c r="H8" s="9"/>
      <c r="I8" s="9"/>
      <c r="J8" s="9"/>
      <c r="K8" s="9">
        <f>AVERAGE(77.3,78.2,79.1)</f>
        <v>78.2</v>
      </c>
      <c r="L8" s="9"/>
      <c r="M8" s="9"/>
      <c r="N8" s="9"/>
      <c r="O8" s="9"/>
      <c r="P8" s="9">
        <v>89.2</v>
      </c>
      <c r="Q8" s="9"/>
      <c r="R8" s="9"/>
      <c r="S8" s="9"/>
      <c r="T8" s="9"/>
      <c r="U8" s="9"/>
      <c r="V8" s="9"/>
      <c r="W8" s="13"/>
      <c r="X8" s="28">
        <v>450</v>
      </c>
      <c r="Y8" s="10"/>
      <c r="Z8" s="11"/>
      <c r="AA8" s="30">
        <v>180</v>
      </c>
      <c r="AB8" s="34"/>
      <c r="AC8" s="22">
        <v>4.0999999999999996</v>
      </c>
      <c r="AD8" s="22">
        <v>0.3</v>
      </c>
      <c r="AE8" s="22"/>
      <c r="AF8" s="35"/>
      <c r="AG8" s="32">
        <v>200</v>
      </c>
      <c r="AH8" s="23">
        <v>650</v>
      </c>
      <c r="AI8" s="23">
        <v>960</v>
      </c>
      <c r="AJ8" s="24"/>
    </row>
    <row r="9" spans="1:37" x14ac:dyDescent="0.15">
      <c r="A9" s="12">
        <v>33.4</v>
      </c>
      <c r="B9" s="9">
        <f>AVERAGE(48.2,46.5,47.6)</f>
        <v>47.433333333333337</v>
      </c>
      <c r="C9" s="9"/>
      <c r="D9" s="9"/>
      <c r="E9" s="9"/>
      <c r="F9" s="9">
        <v>63.7</v>
      </c>
      <c r="G9" s="9"/>
      <c r="H9" s="9"/>
      <c r="I9" s="9"/>
      <c r="J9" s="9"/>
      <c r="K9" s="9">
        <f>AVERAGE(76.2,78.4,74.4)</f>
        <v>76.333333333333343</v>
      </c>
      <c r="L9" s="9"/>
      <c r="M9" s="9"/>
      <c r="N9" s="9"/>
      <c r="O9" s="9"/>
      <c r="P9" s="9">
        <v>91.1</v>
      </c>
      <c r="Q9" s="9"/>
      <c r="R9" s="9"/>
      <c r="S9" s="9"/>
      <c r="T9" s="9"/>
      <c r="U9" s="9"/>
      <c r="V9" s="9"/>
      <c r="W9" s="13"/>
      <c r="X9" s="28">
        <v>450</v>
      </c>
      <c r="Y9" s="10">
        <v>90</v>
      </c>
      <c r="Z9" s="11"/>
      <c r="AA9" s="30">
        <v>180</v>
      </c>
      <c r="AB9" s="34"/>
      <c r="AC9" s="22">
        <v>4.8</v>
      </c>
      <c r="AD9" s="22">
        <v>0.3</v>
      </c>
      <c r="AE9" s="22">
        <v>0.5</v>
      </c>
      <c r="AF9" s="35"/>
      <c r="AG9" s="32">
        <v>250</v>
      </c>
      <c r="AH9" s="23">
        <v>600</v>
      </c>
      <c r="AI9" s="23">
        <v>300</v>
      </c>
      <c r="AJ9" s="24">
        <v>550</v>
      </c>
    </row>
    <row r="10" spans="1:37" x14ac:dyDescent="0.15">
      <c r="A10" s="12">
        <v>22.4</v>
      </c>
      <c r="B10" s="9">
        <f>AVERAGE(37,36.4)</f>
        <v>36.700000000000003</v>
      </c>
      <c r="C10" s="9"/>
      <c r="D10" s="9"/>
      <c r="E10" s="9"/>
      <c r="F10" s="9">
        <v>48.6</v>
      </c>
      <c r="G10" s="9"/>
      <c r="H10" s="9"/>
      <c r="I10" s="9"/>
      <c r="J10" s="9"/>
      <c r="K10" s="9">
        <f>AVERAGE(62.1,62,61.4)</f>
        <v>61.833333333333336</v>
      </c>
      <c r="L10" s="9"/>
      <c r="M10" s="9"/>
      <c r="N10" s="9"/>
      <c r="O10" s="9"/>
      <c r="P10" s="9">
        <v>69.900000000000006</v>
      </c>
      <c r="Q10" s="9"/>
      <c r="R10" s="9"/>
      <c r="S10" s="9"/>
      <c r="T10" s="9"/>
      <c r="U10" s="9"/>
      <c r="V10" s="9"/>
      <c r="W10" s="13"/>
      <c r="X10" s="28">
        <v>450</v>
      </c>
      <c r="Y10" s="10"/>
      <c r="Z10" s="11"/>
      <c r="AA10" s="30">
        <v>180</v>
      </c>
      <c r="AB10" s="34"/>
      <c r="AC10" s="22">
        <v>4.0999999999999996</v>
      </c>
      <c r="AD10" s="22">
        <v>0.3</v>
      </c>
      <c r="AE10" s="22"/>
      <c r="AF10" s="35"/>
      <c r="AG10" s="32">
        <v>200</v>
      </c>
      <c r="AH10" s="23">
        <v>650</v>
      </c>
      <c r="AI10" s="23">
        <v>280</v>
      </c>
      <c r="AJ10" s="24">
        <v>680</v>
      </c>
    </row>
    <row r="11" spans="1:37" x14ac:dyDescent="0.15">
      <c r="A11" s="12"/>
      <c r="B11" s="9">
        <f>AVERAGE(52.2,54.2)</f>
        <v>53.2</v>
      </c>
      <c r="C11" s="9"/>
      <c r="D11" s="9"/>
      <c r="E11" s="9"/>
      <c r="F11" s="9">
        <v>72.900000000000006</v>
      </c>
      <c r="G11" s="9"/>
      <c r="H11" s="9"/>
      <c r="I11" s="9"/>
      <c r="J11" s="9"/>
      <c r="K11" s="9">
        <f>AVERAGE(80.7,80.2,82)</f>
        <v>80.966666666666669</v>
      </c>
      <c r="L11" s="9"/>
      <c r="M11" s="9"/>
      <c r="N11" s="9"/>
      <c r="O11" s="9"/>
      <c r="P11" s="9">
        <v>89.4</v>
      </c>
      <c r="Q11" s="9"/>
      <c r="R11" s="9"/>
      <c r="S11" s="9"/>
      <c r="T11" s="9"/>
      <c r="U11" s="9"/>
      <c r="V11" s="9"/>
      <c r="W11" s="13"/>
      <c r="X11" s="28">
        <v>450</v>
      </c>
      <c r="Y11" s="10"/>
      <c r="Z11" s="11">
        <v>30</v>
      </c>
      <c r="AA11" s="30">
        <v>175</v>
      </c>
      <c r="AB11" s="34">
        <v>1.3</v>
      </c>
      <c r="AC11" s="22">
        <v>4.0999999999999996</v>
      </c>
      <c r="AD11" s="22"/>
      <c r="AE11" s="22"/>
      <c r="AF11" s="35"/>
      <c r="AG11" s="32">
        <v>200</v>
      </c>
      <c r="AH11" s="23">
        <v>650</v>
      </c>
      <c r="AI11" s="23">
        <v>280</v>
      </c>
      <c r="AJ11" s="24">
        <v>680</v>
      </c>
    </row>
    <row r="12" spans="1:37" x14ac:dyDescent="0.15">
      <c r="A12" s="12">
        <v>30</v>
      </c>
      <c r="B12" s="9">
        <f>AVERAGE(42.5,43.2,41.8)</f>
        <v>42.5</v>
      </c>
      <c r="C12" s="9"/>
      <c r="D12" s="9"/>
      <c r="E12" s="9"/>
      <c r="F12" s="9"/>
      <c r="G12" s="9">
        <v>62.1</v>
      </c>
      <c r="H12" s="9"/>
      <c r="I12" s="9"/>
      <c r="J12" s="9"/>
      <c r="K12" s="9">
        <f>AVERAGE(72.7,70.2,71.2)</f>
        <v>71.366666666666674</v>
      </c>
      <c r="L12" s="9"/>
      <c r="M12" s="9"/>
      <c r="N12" s="9"/>
      <c r="O12" s="9"/>
      <c r="P12" s="9">
        <v>76.8</v>
      </c>
      <c r="Q12" s="9"/>
      <c r="R12" s="9"/>
      <c r="S12" s="9"/>
      <c r="T12" s="9"/>
      <c r="U12" s="8"/>
      <c r="V12" s="8"/>
      <c r="W12" s="11"/>
      <c r="X12" s="28">
        <v>445</v>
      </c>
      <c r="Y12" s="10"/>
      <c r="Z12" s="11"/>
      <c r="AA12" s="30">
        <v>180</v>
      </c>
      <c r="AB12" s="34"/>
      <c r="AC12" s="22">
        <v>3.95</v>
      </c>
      <c r="AD12" s="22"/>
      <c r="AE12" s="22"/>
      <c r="AF12" s="35">
        <v>1.8</v>
      </c>
      <c r="AG12" s="32"/>
      <c r="AH12" s="23">
        <v>890</v>
      </c>
      <c r="AI12" s="23">
        <v>280</v>
      </c>
      <c r="AJ12" s="24">
        <v>625</v>
      </c>
    </row>
    <row r="13" spans="1:37" x14ac:dyDescent="0.15">
      <c r="A13" s="12">
        <v>34.5</v>
      </c>
      <c r="B13" s="9">
        <f>AVERAGE(40.5,39.9,40.4)</f>
        <v>40.266666666666673</v>
      </c>
      <c r="C13" s="9"/>
      <c r="D13" s="9"/>
      <c r="E13" s="9"/>
      <c r="F13" s="9"/>
      <c r="G13" s="9"/>
      <c r="H13" s="9">
        <f>AVERAGE(61,62.2,62.3)</f>
        <v>61.833333333333336</v>
      </c>
      <c r="I13" s="9"/>
      <c r="J13" s="9"/>
      <c r="K13" s="9">
        <f>AVERAGE(71.8,72.2,74.6)</f>
        <v>72.86666666666666</v>
      </c>
      <c r="L13" s="9"/>
      <c r="M13" s="9"/>
      <c r="N13" s="9"/>
      <c r="O13" s="9"/>
      <c r="P13" s="9">
        <v>86.1</v>
      </c>
      <c r="Q13" s="9"/>
      <c r="R13" s="9"/>
      <c r="S13" s="9"/>
      <c r="T13" s="9"/>
      <c r="U13" s="8"/>
      <c r="V13" s="8"/>
      <c r="W13" s="11"/>
      <c r="X13" s="28">
        <v>445</v>
      </c>
      <c r="Y13" s="10"/>
      <c r="Z13" s="11"/>
      <c r="AA13" s="30">
        <v>180</v>
      </c>
      <c r="AB13" s="34"/>
      <c r="AC13" s="22">
        <v>3.95</v>
      </c>
      <c r="AD13" s="22"/>
      <c r="AE13" s="22"/>
      <c r="AF13" s="35">
        <v>1.8</v>
      </c>
      <c r="AG13" s="32"/>
      <c r="AH13" s="23">
        <v>890</v>
      </c>
      <c r="AI13" s="23">
        <v>280</v>
      </c>
      <c r="AJ13" s="24">
        <v>625</v>
      </c>
    </row>
    <row r="14" spans="1:37" x14ac:dyDescent="0.15">
      <c r="A14" s="12"/>
      <c r="B14" s="9">
        <f>AVERAGE(38,37.5,37.2)</f>
        <v>37.56666666666667</v>
      </c>
      <c r="C14" s="9"/>
      <c r="D14" s="9"/>
      <c r="E14" s="9"/>
      <c r="F14" s="9">
        <f>AVERAGE(51.2,50.3,51.2)</f>
        <v>50.9</v>
      </c>
      <c r="G14" s="9"/>
      <c r="H14" s="9"/>
      <c r="I14" s="9"/>
      <c r="J14" s="9"/>
      <c r="K14" s="9">
        <f>AVERAGE(61.9,63.4,60.8)</f>
        <v>62.033333333333331</v>
      </c>
      <c r="L14" s="9"/>
      <c r="M14" s="9"/>
      <c r="N14" s="9"/>
      <c r="O14" s="9"/>
      <c r="P14" s="9">
        <v>77.7</v>
      </c>
      <c r="Q14" s="9"/>
      <c r="R14" s="9"/>
      <c r="S14" s="9"/>
      <c r="T14" s="9"/>
      <c r="U14" s="9"/>
      <c r="V14" s="9"/>
      <c r="W14" s="13"/>
      <c r="X14" s="28">
        <v>390</v>
      </c>
      <c r="Y14" s="10"/>
      <c r="Z14" s="11"/>
      <c r="AA14" s="30">
        <v>180</v>
      </c>
      <c r="AB14" s="34"/>
      <c r="AC14" s="22">
        <v>3</v>
      </c>
      <c r="AD14" s="22"/>
      <c r="AE14" s="22"/>
      <c r="AF14" s="35"/>
      <c r="AG14" s="32"/>
      <c r="AH14" s="23">
        <v>780</v>
      </c>
      <c r="AI14" s="23">
        <v>180</v>
      </c>
      <c r="AJ14" s="24">
        <v>840</v>
      </c>
    </row>
    <row r="15" spans="1:37" x14ac:dyDescent="0.15">
      <c r="A15" s="12">
        <f>AVERAGE(29.2,30.9,31.2)</f>
        <v>30.433333333333334</v>
      </c>
      <c r="B15" s="9">
        <f>AVERAGE(45.7,46.7)</f>
        <v>46.2</v>
      </c>
      <c r="C15" s="9"/>
      <c r="D15" s="9"/>
      <c r="E15" s="9"/>
      <c r="F15" s="9">
        <f>AVERAGE(62.4,65.1)</f>
        <v>63.75</v>
      </c>
      <c r="G15" s="9"/>
      <c r="H15" s="9"/>
      <c r="I15" s="9"/>
      <c r="J15" s="9"/>
      <c r="K15" s="9">
        <v>64</v>
      </c>
      <c r="L15" s="9"/>
      <c r="M15" s="9"/>
      <c r="N15" s="9"/>
      <c r="O15" s="9"/>
      <c r="P15" s="9">
        <v>76.8</v>
      </c>
      <c r="Q15" s="9"/>
      <c r="R15" s="9"/>
      <c r="S15" s="9"/>
      <c r="T15" s="9"/>
      <c r="U15" s="9"/>
      <c r="V15" s="9"/>
      <c r="W15" s="13"/>
      <c r="X15" s="28">
        <v>390</v>
      </c>
      <c r="Y15" s="10"/>
      <c r="Z15" s="11">
        <v>100</v>
      </c>
      <c r="AA15" s="30">
        <v>175</v>
      </c>
      <c r="AB15" s="34"/>
      <c r="AC15" s="22">
        <v>3.5</v>
      </c>
      <c r="AD15" s="22"/>
      <c r="AE15" s="22"/>
      <c r="AF15" s="35"/>
      <c r="AG15" s="32"/>
      <c r="AH15" s="23">
        <v>770</v>
      </c>
      <c r="AI15" s="23">
        <v>380</v>
      </c>
      <c r="AJ15" s="24">
        <v>550</v>
      </c>
    </row>
    <row r="16" spans="1:37" ht="14" thickBot="1" x14ac:dyDescent="0.2">
      <c r="A16" s="14">
        <v>20.399999999999999</v>
      </c>
      <c r="B16" s="15">
        <v>29</v>
      </c>
      <c r="C16" s="15"/>
      <c r="D16" s="15"/>
      <c r="E16" s="15"/>
      <c r="F16" s="15">
        <v>46.4</v>
      </c>
      <c r="G16" s="15"/>
      <c r="H16" s="15"/>
      <c r="I16" s="15"/>
      <c r="J16" s="15"/>
      <c r="K16" s="15"/>
      <c r="L16" s="15">
        <v>52.7</v>
      </c>
      <c r="M16" s="15"/>
      <c r="N16" s="15"/>
      <c r="O16" s="15"/>
      <c r="P16" s="15">
        <v>61</v>
      </c>
      <c r="Q16" s="15"/>
      <c r="R16" s="15"/>
      <c r="S16" s="15"/>
      <c r="T16" s="15"/>
      <c r="U16" s="15"/>
      <c r="V16" s="15"/>
      <c r="W16" s="16"/>
      <c r="X16" s="29">
        <v>345</v>
      </c>
      <c r="Y16" s="20">
        <v>45</v>
      </c>
      <c r="Z16" s="21">
        <v>185</v>
      </c>
      <c r="AA16" s="31">
        <v>180</v>
      </c>
      <c r="AB16" s="36"/>
      <c r="AC16" s="25">
        <v>4</v>
      </c>
      <c r="AD16" s="25">
        <v>0.5</v>
      </c>
      <c r="AE16" s="25">
        <v>0.5</v>
      </c>
      <c r="AF16" s="37"/>
      <c r="AG16" s="33"/>
      <c r="AH16" s="26">
        <v>885</v>
      </c>
      <c r="AI16" s="26">
        <v>320</v>
      </c>
      <c r="AJ16" s="27">
        <v>470</v>
      </c>
    </row>
    <row r="17" spans="1:20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20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20" x14ac:dyDescent="0.1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20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20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20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2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2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20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20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20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20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20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2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2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2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2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4" spans="1:2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</sheetData>
  <mergeCells count="18">
    <mergeCell ref="AG1:AJ1"/>
    <mergeCell ref="A2:W2"/>
    <mergeCell ref="AB2:AB3"/>
    <mergeCell ref="AC2:AC3"/>
    <mergeCell ref="AD2:AD3"/>
    <mergeCell ref="AE2:AE3"/>
    <mergeCell ref="AF2:AF3"/>
    <mergeCell ref="AA2:AA3"/>
    <mergeCell ref="X2:X3"/>
    <mergeCell ref="A1:W1"/>
    <mergeCell ref="Y1:Z1"/>
    <mergeCell ref="AB1:AF1"/>
    <mergeCell ref="Y2:Y3"/>
    <mergeCell ref="Z2:Z3"/>
    <mergeCell ref="AG2:AG3"/>
    <mergeCell ref="AH2:AH3"/>
    <mergeCell ref="AI2:AI3"/>
    <mergeCell ref="AJ2:AJ3"/>
  </mergeCell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9431-F0A1-4C90-B81B-808D52ABE557}">
  <dimension ref="A1:AV147"/>
  <sheetViews>
    <sheetView zoomScaleNormal="100" workbookViewId="0">
      <selection activeCell="AY11" sqref="AY11"/>
    </sheetView>
  </sheetViews>
  <sheetFormatPr baseColWidth="10" defaultColWidth="8.83203125" defaultRowHeight="13" x14ac:dyDescent="0.15"/>
  <cols>
    <col min="1" max="23" width="5" style="1" customWidth="1"/>
    <col min="24" max="26" width="12.1640625" style="6" customWidth="1"/>
    <col min="27" max="30" width="10" style="6" customWidth="1"/>
    <col min="31" max="32" width="7.1640625" style="6" customWidth="1"/>
    <col min="33" max="40" width="11.5" style="6" customWidth="1"/>
    <col min="41" max="45" width="5.6640625" style="6" customWidth="1"/>
    <col min="46" max="47" width="9.33203125" style="6" customWidth="1"/>
    <col min="48" max="48" width="9.1640625" style="7"/>
  </cols>
  <sheetData>
    <row r="1" spans="1:47" ht="14" thickBot="1" x14ac:dyDescent="0.2">
      <c r="A1" s="154" t="s">
        <v>24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6"/>
      <c r="X1" s="157" t="s">
        <v>26</v>
      </c>
      <c r="Y1" s="158"/>
      <c r="Z1" s="159"/>
      <c r="AA1" s="160" t="s">
        <v>27</v>
      </c>
      <c r="AB1" s="161"/>
      <c r="AC1" s="161"/>
      <c r="AD1" s="162"/>
      <c r="AE1" s="163" t="s">
        <v>28</v>
      </c>
      <c r="AF1" s="164"/>
      <c r="AG1" s="165" t="s">
        <v>29</v>
      </c>
      <c r="AH1" s="166"/>
      <c r="AI1" s="166"/>
      <c r="AJ1" s="166"/>
      <c r="AK1" s="166"/>
      <c r="AL1" s="166"/>
      <c r="AM1" s="166"/>
      <c r="AN1" s="167"/>
      <c r="AO1" s="170" t="s">
        <v>30</v>
      </c>
      <c r="AP1" s="112"/>
      <c r="AQ1" s="112"/>
      <c r="AR1" s="112"/>
      <c r="AS1" s="113"/>
      <c r="AT1" s="137" t="s">
        <v>31</v>
      </c>
      <c r="AU1" s="138"/>
    </row>
    <row r="2" spans="1:47" ht="12.75" customHeight="1" x14ac:dyDescent="0.15">
      <c r="A2" s="139" t="s">
        <v>25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  <c r="X2" s="142" t="s">
        <v>1</v>
      </c>
      <c r="Y2" s="144" t="s">
        <v>23</v>
      </c>
      <c r="Z2" s="146" t="s">
        <v>15</v>
      </c>
      <c r="AA2" s="135" t="s">
        <v>2</v>
      </c>
      <c r="AB2" s="171" t="s">
        <v>3</v>
      </c>
      <c r="AC2" s="171" t="s">
        <v>18</v>
      </c>
      <c r="AD2" s="103" t="s">
        <v>10</v>
      </c>
      <c r="AE2" s="148" t="s">
        <v>19</v>
      </c>
      <c r="AF2" s="173" t="s">
        <v>4</v>
      </c>
      <c r="AG2" s="117" t="s">
        <v>5</v>
      </c>
      <c r="AH2" s="119" t="s">
        <v>36</v>
      </c>
      <c r="AI2" s="119" t="s">
        <v>37</v>
      </c>
      <c r="AJ2" s="119" t="s">
        <v>33</v>
      </c>
      <c r="AK2" s="119" t="s">
        <v>34</v>
      </c>
      <c r="AL2" s="119" t="s">
        <v>38</v>
      </c>
      <c r="AM2" s="119" t="s">
        <v>17</v>
      </c>
      <c r="AN2" s="121" t="s">
        <v>12</v>
      </c>
      <c r="AO2" s="168" t="s">
        <v>16</v>
      </c>
      <c r="AP2" s="107" t="s">
        <v>6</v>
      </c>
      <c r="AQ2" s="107" t="s">
        <v>7</v>
      </c>
      <c r="AR2" s="107" t="s">
        <v>8</v>
      </c>
      <c r="AS2" s="109" t="s">
        <v>9</v>
      </c>
      <c r="AT2" s="152" t="s">
        <v>35</v>
      </c>
      <c r="AU2" s="150" t="s">
        <v>13</v>
      </c>
    </row>
    <row r="3" spans="1:47" ht="12.75" customHeight="1" thickBot="1" x14ac:dyDescent="0.2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43"/>
      <c r="Y3" s="145"/>
      <c r="Z3" s="147"/>
      <c r="AA3" s="136"/>
      <c r="AB3" s="172"/>
      <c r="AC3" s="172"/>
      <c r="AD3" s="104"/>
      <c r="AE3" s="149"/>
      <c r="AF3" s="174"/>
      <c r="AG3" s="118"/>
      <c r="AH3" s="120"/>
      <c r="AI3" s="120"/>
      <c r="AJ3" s="120"/>
      <c r="AK3" s="120"/>
      <c r="AL3" s="120"/>
      <c r="AM3" s="120"/>
      <c r="AN3" s="122"/>
      <c r="AO3" s="169"/>
      <c r="AP3" s="108"/>
      <c r="AQ3" s="108"/>
      <c r="AR3" s="108"/>
      <c r="AS3" s="110"/>
      <c r="AT3" s="153"/>
      <c r="AU3" s="151"/>
    </row>
    <row r="4" spans="1:47" x14ac:dyDescent="0.15">
      <c r="A4" s="17">
        <v>13</v>
      </c>
      <c r="B4" s="18">
        <v>29.4</v>
      </c>
      <c r="C4" s="18"/>
      <c r="D4" s="18"/>
      <c r="E4" s="18">
        <v>47.6</v>
      </c>
      <c r="F4" s="18">
        <v>51.3</v>
      </c>
      <c r="G4" s="18"/>
      <c r="H4" s="18"/>
      <c r="I4" s="18"/>
      <c r="J4" s="18"/>
      <c r="K4" s="18">
        <v>62.3</v>
      </c>
      <c r="L4" s="18"/>
      <c r="M4" s="18"/>
      <c r="N4" s="18"/>
      <c r="O4" s="18"/>
      <c r="P4" s="18">
        <v>79.3</v>
      </c>
      <c r="Q4" s="18"/>
      <c r="R4" s="18"/>
      <c r="S4" s="18"/>
      <c r="T4" s="18"/>
      <c r="U4" s="18"/>
      <c r="V4" s="18"/>
      <c r="W4" s="19"/>
      <c r="X4" s="57">
        <v>475</v>
      </c>
      <c r="Y4" s="46"/>
      <c r="Z4" s="47"/>
      <c r="AA4" s="57">
        <v>21</v>
      </c>
      <c r="AB4" s="46"/>
      <c r="AC4" s="46"/>
      <c r="AD4" s="47"/>
      <c r="AE4" s="57">
        <v>190</v>
      </c>
      <c r="AF4" s="47"/>
      <c r="AG4" s="59"/>
      <c r="AH4" s="58">
        <v>3.5</v>
      </c>
      <c r="AI4" s="58"/>
      <c r="AJ4" s="58"/>
      <c r="AK4" s="58"/>
      <c r="AL4" s="58"/>
      <c r="AM4" s="58"/>
      <c r="AN4" s="60"/>
      <c r="AO4" s="57"/>
      <c r="AP4" s="46">
        <v>780</v>
      </c>
      <c r="AQ4" s="46"/>
      <c r="AR4" s="46">
        <v>1020</v>
      </c>
      <c r="AS4" s="47"/>
      <c r="AT4" s="80"/>
      <c r="AU4" s="81"/>
    </row>
    <row r="5" spans="1:47" x14ac:dyDescent="0.15">
      <c r="A5" s="12"/>
      <c r="B5" s="9"/>
      <c r="C5" s="9">
        <v>42.5</v>
      </c>
      <c r="D5" s="9"/>
      <c r="E5" s="9"/>
      <c r="F5" s="9">
        <v>57.5</v>
      </c>
      <c r="G5" s="9"/>
      <c r="H5" s="9"/>
      <c r="I5" s="9"/>
      <c r="J5" s="9"/>
      <c r="K5" s="9">
        <v>69.7</v>
      </c>
      <c r="L5" s="9"/>
      <c r="M5" s="9"/>
      <c r="N5" s="9"/>
      <c r="O5" s="9"/>
      <c r="P5" s="9">
        <v>79.3</v>
      </c>
      <c r="Q5" s="9"/>
      <c r="R5" s="9"/>
      <c r="S5" s="9"/>
      <c r="T5" s="9"/>
      <c r="U5" s="9"/>
      <c r="V5" s="9"/>
      <c r="W5" s="13"/>
      <c r="X5" s="55">
        <v>475</v>
      </c>
      <c r="Y5" s="23"/>
      <c r="Z5" s="24"/>
      <c r="AA5" s="55">
        <v>21</v>
      </c>
      <c r="AB5" s="23"/>
      <c r="AC5" s="23"/>
      <c r="AD5" s="24"/>
      <c r="AE5" s="55">
        <v>190</v>
      </c>
      <c r="AF5" s="24"/>
      <c r="AG5" s="61"/>
      <c r="AH5" s="53">
        <v>3.5</v>
      </c>
      <c r="AI5" s="53"/>
      <c r="AJ5" s="53"/>
      <c r="AK5" s="53"/>
      <c r="AL5" s="53"/>
      <c r="AM5" s="53"/>
      <c r="AN5" s="62"/>
      <c r="AO5" s="55"/>
      <c r="AP5" s="23">
        <v>780</v>
      </c>
      <c r="AQ5" s="23"/>
      <c r="AR5" s="23">
        <v>1020</v>
      </c>
      <c r="AS5" s="24"/>
      <c r="AT5" s="82"/>
      <c r="AU5" s="83"/>
    </row>
    <row r="6" spans="1:47" x14ac:dyDescent="0.15">
      <c r="A6" s="12">
        <v>11.3</v>
      </c>
      <c r="B6" s="9">
        <v>29.7</v>
      </c>
      <c r="C6" s="9"/>
      <c r="D6" s="9"/>
      <c r="E6" s="9">
        <v>49.4</v>
      </c>
      <c r="F6" s="9">
        <v>53.2</v>
      </c>
      <c r="G6" s="9"/>
      <c r="H6" s="9"/>
      <c r="I6" s="9"/>
      <c r="J6" s="9"/>
      <c r="K6" s="9">
        <v>66.8</v>
      </c>
      <c r="L6" s="9"/>
      <c r="M6" s="9"/>
      <c r="N6" s="9"/>
      <c r="O6" s="9"/>
      <c r="P6" s="9">
        <v>78.3</v>
      </c>
      <c r="Q6" s="9"/>
      <c r="R6" s="9"/>
      <c r="S6" s="9"/>
      <c r="T6" s="9"/>
      <c r="U6" s="9"/>
      <c r="V6" s="9"/>
      <c r="W6" s="13"/>
      <c r="X6" s="55">
        <v>470</v>
      </c>
      <c r="Y6" s="23"/>
      <c r="Z6" s="24"/>
      <c r="AA6" s="55">
        <v>21</v>
      </c>
      <c r="AB6" s="23"/>
      <c r="AC6" s="23"/>
      <c r="AD6" s="24"/>
      <c r="AE6" s="55">
        <v>185</v>
      </c>
      <c r="AF6" s="24"/>
      <c r="AG6" s="61"/>
      <c r="AH6" s="53">
        <v>3.5</v>
      </c>
      <c r="AI6" s="53"/>
      <c r="AJ6" s="53"/>
      <c r="AK6" s="53"/>
      <c r="AL6" s="53"/>
      <c r="AM6" s="53"/>
      <c r="AN6" s="62"/>
      <c r="AO6" s="55"/>
      <c r="AP6" s="23">
        <v>790</v>
      </c>
      <c r="AQ6" s="23"/>
      <c r="AR6" s="23">
        <v>480</v>
      </c>
      <c r="AS6" s="24">
        <v>560</v>
      </c>
      <c r="AT6" s="82"/>
      <c r="AU6" s="83"/>
    </row>
    <row r="7" spans="1:47" x14ac:dyDescent="0.15">
      <c r="A7" s="12"/>
      <c r="B7" s="9"/>
      <c r="C7" s="9">
        <v>43.6</v>
      </c>
      <c r="D7" s="9"/>
      <c r="E7" s="9"/>
      <c r="F7" s="9">
        <v>57</v>
      </c>
      <c r="G7" s="9"/>
      <c r="H7" s="9"/>
      <c r="I7" s="9"/>
      <c r="J7" s="9"/>
      <c r="K7" s="9">
        <v>69.599999999999994</v>
      </c>
      <c r="L7" s="9"/>
      <c r="M7" s="9"/>
      <c r="N7" s="9"/>
      <c r="O7" s="9"/>
      <c r="P7" s="9">
        <v>77.8</v>
      </c>
      <c r="Q7" s="9"/>
      <c r="R7" s="9"/>
      <c r="S7" s="9"/>
      <c r="T7" s="9"/>
      <c r="U7" s="9"/>
      <c r="V7" s="9"/>
      <c r="W7" s="13"/>
      <c r="X7" s="55">
        <v>470</v>
      </c>
      <c r="Y7" s="23"/>
      <c r="Z7" s="24"/>
      <c r="AA7" s="55">
        <v>21</v>
      </c>
      <c r="AB7" s="23"/>
      <c r="AC7" s="23"/>
      <c r="AD7" s="24"/>
      <c r="AE7" s="55">
        <v>185</v>
      </c>
      <c r="AF7" s="24"/>
      <c r="AG7" s="61"/>
      <c r="AH7" s="53">
        <v>3.5</v>
      </c>
      <c r="AI7" s="53"/>
      <c r="AJ7" s="53"/>
      <c r="AK7" s="53"/>
      <c r="AL7" s="53"/>
      <c r="AM7" s="53"/>
      <c r="AN7" s="62"/>
      <c r="AO7" s="55"/>
      <c r="AP7" s="23">
        <v>790</v>
      </c>
      <c r="AQ7" s="23"/>
      <c r="AR7" s="23">
        <v>480</v>
      </c>
      <c r="AS7" s="24">
        <v>560</v>
      </c>
      <c r="AT7" s="82"/>
      <c r="AU7" s="83"/>
    </row>
    <row r="8" spans="1:47" x14ac:dyDescent="0.15">
      <c r="A8" s="12"/>
      <c r="B8" s="9"/>
      <c r="C8" s="9">
        <v>46.5</v>
      </c>
      <c r="D8" s="9"/>
      <c r="E8" s="9"/>
      <c r="F8" s="9">
        <v>58.6</v>
      </c>
      <c r="G8" s="9"/>
      <c r="H8" s="9"/>
      <c r="I8" s="9"/>
      <c r="J8" s="9"/>
      <c r="K8" s="9">
        <v>64.5</v>
      </c>
      <c r="L8" s="9"/>
      <c r="M8" s="9"/>
      <c r="N8" s="9"/>
      <c r="O8" s="9"/>
      <c r="P8" s="9">
        <v>81.5</v>
      </c>
      <c r="Q8" s="8"/>
      <c r="R8" s="8"/>
      <c r="S8" s="8"/>
      <c r="T8" s="8"/>
      <c r="U8" s="8"/>
      <c r="V8" s="8"/>
      <c r="W8" s="11"/>
      <c r="X8" s="55">
        <v>465</v>
      </c>
      <c r="Y8" s="23"/>
      <c r="Z8" s="24"/>
      <c r="AA8" s="55">
        <v>20</v>
      </c>
      <c r="AB8" s="23"/>
      <c r="AC8" s="23"/>
      <c r="AD8" s="24"/>
      <c r="AE8" s="55">
        <v>170</v>
      </c>
      <c r="AF8" s="24"/>
      <c r="AG8" s="61"/>
      <c r="AH8" s="53">
        <v>4.5999999999999996</v>
      </c>
      <c r="AI8" s="53"/>
      <c r="AJ8" s="53"/>
      <c r="AK8" s="53"/>
      <c r="AL8" s="53"/>
      <c r="AM8" s="53"/>
      <c r="AN8" s="62"/>
      <c r="AO8" s="55"/>
      <c r="AP8" s="23">
        <v>750</v>
      </c>
      <c r="AQ8" s="23">
        <v>135</v>
      </c>
      <c r="AR8" s="23">
        <v>880</v>
      </c>
      <c r="AS8" s="24"/>
      <c r="AT8" s="82"/>
      <c r="AU8" s="83"/>
    </row>
    <row r="9" spans="1:47" x14ac:dyDescent="0.15">
      <c r="A9" s="12">
        <v>29.8</v>
      </c>
      <c r="B9" s="9">
        <v>36.700000000000003</v>
      </c>
      <c r="C9" s="9">
        <v>40.5</v>
      </c>
      <c r="D9" s="9"/>
      <c r="E9" s="9"/>
      <c r="F9" s="9"/>
      <c r="G9" s="9"/>
      <c r="H9" s="9"/>
      <c r="I9" s="9"/>
      <c r="J9" s="9"/>
      <c r="K9" s="9">
        <f>AVERAGE(58.4,58.4,60.1)</f>
        <v>58.966666666666669</v>
      </c>
      <c r="L9" s="9"/>
      <c r="M9" s="9"/>
      <c r="N9" s="9"/>
      <c r="O9" s="9"/>
      <c r="P9" s="9">
        <v>64.5</v>
      </c>
      <c r="Q9" s="8"/>
      <c r="R9" s="8"/>
      <c r="S9" s="8"/>
      <c r="T9" s="8"/>
      <c r="U9" s="8"/>
      <c r="V9" s="8"/>
      <c r="W9" s="11"/>
      <c r="X9" s="55">
        <v>455</v>
      </c>
      <c r="Y9" s="23"/>
      <c r="Z9" s="24"/>
      <c r="AA9" s="55"/>
      <c r="AB9" s="23"/>
      <c r="AC9" s="23"/>
      <c r="AD9" s="24">
        <v>30</v>
      </c>
      <c r="AE9" s="55">
        <v>165</v>
      </c>
      <c r="AF9" s="24"/>
      <c r="AG9" s="61"/>
      <c r="AH9" s="53">
        <v>3.45</v>
      </c>
      <c r="AI9" s="53"/>
      <c r="AJ9" s="53"/>
      <c r="AK9" s="53"/>
      <c r="AL9" s="53"/>
      <c r="AM9" s="53"/>
      <c r="AN9" s="62"/>
      <c r="AO9" s="55"/>
      <c r="AP9" s="23">
        <v>790</v>
      </c>
      <c r="AQ9" s="23">
        <v>160</v>
      </c>
      <c r="AR9" s="23">
        <v>860</v>
      </c>
      <c r="AS9" s="24"/>
      <c r="AT9" s="82"/>
      <c r="AU9" s="83"/>
    </row>
    <row r="10" spans="1:47" x14ac:dyDescent="0.15">
      <c r="A10" s="12">
        <v>36.4</v>
      </c>
      <c r="B10" s="9">
        <v>46.5</v>
      </c>
      <c r="C10" s="9">
        <v>47.2</v>
      </c>
      <c r="D10" s="9"/>
      <c r="E10" s="9"/>
      <c r="F10" s="9">
        <v>53.7</v>
      </c>
      <c r="G10" s="9"/>
      <c r="H10" s="9"/>
      <c r="I10" s="9"/>
      <c r="J10" s="9"/>
      <c r="K10" s="9">
        <f>AVERAGE(62.6,61.4,65.5)</f>
        <v>63.166666666666664</v>
      </c>
      <c r="L10" s="9"/>
      <c r="M10" s="9"/>
      <c r="N10" s="9"/>
      <c r="O10" s="9"/>
      <c r="P10" s="9">
        <v>68.8</v>
      </c>
      <c r="Q10" s="8"/>
      <c r="R10" s="8"/>
      <c r="S10" s="8"/>
      <c r="T10" s="8"/>
      <c r="U10" s="8"/>
      <c r="V10" s="8"/>
      <c r="W10" s="11"/>
      <c r="X10" s="55">
        <v>455</v>
      </c>
      <c r="Y10" s="23"/>
      <c r="Z10" s="24"/>
      <c r="AA10" s="55"/>
      <c r="AB10" s="23"/>
      <c r="AC10" s="23"/>
      <c r="AD10" s="24">
        <v>30</v>
      </c>
      <c r="AE10" s="55">
        <v>165</v>
      </c>
      <c r="AF10" s="24"/>
      <c r="AG10" s="61"/>
      <c r="AH10" s="53">
        <v>3.45</v>
      </c>
      <c r="AI10" s="53"/>
      <c r="AJ10" s="53"/>
      <c r="AK10" s="53"/>
      <c r="AL10" s="53"/>
      <c r="AM10" s="53"/>
      <c r="AN10" s="62"/>
      <c r="AO10" s="55"/>
      <c r="AP10" s="23">
        <v>790</v>
      </c>
      <c r="AQ10" s="23">
        <v>160</v>
      </c>
      <c r="AR10" s="23">
        <v>860</v>
      </c>
      <c r="AS10" s="24"/>
      <c r="AT10" s="82"/>
      <c r="AU10" s="83"/>
    </row>
    <row r="11" spans="1:47" x14ac:dyDescent="0.15">
      <c r="A11" s="12">
        <v>28.9</v>
      </c>
      <c r="B11" s="9">
        <v>38.799999999999997</v>
      </c>
      <c r="C11" s="9">
        <v>43.9</v>
      </c>
      <c r="D11" s="9"/>
      <c r="E11" s="9"/>
      <c r="F11" s="9">
        <v>49.1</v>
      </c>
      <c r="G11" s="9"/>
      <c r="H11" s="9"/>
      <c r="I11" s="9"/>
      <c r="J11" s="9"/>
      <c r="K11" s="9">
        <v>58.3</v>
      </c>
      <c r="L11" s="9"/>
      <c r="M11" s="9"/>
      <c r="N11" s="9"/>
      <c r="O11" s="9"/>
      <c r="P11" s="9">
        <v>64.5</v>
      </c>
      <c r="Q11" s="9"/>
      <c r="R11" s="9"/>
      <c r="S11" s="9"/>
      <c r="T11" s="9"/>
      <c r="U11" s="9"/>
      <c r="V11" s="9"/>
      <c r="W11" s="13"/>
      <c r="X11" s="55">
        <v>450</v>
      </c>
      <c r="Y11" s="23"/>
      <c r="Z11" s="24"/>
      <c r="AA11" s="55"/>
      <c r="AB11" s="23"/>
      <c r="AC11" s="23"/>
      <c r="AD11" s="24"/>
      <c r="AE11" s="55">
        <v>90</v>
      </c>
      <c r="AF11" s="24">
        <v>90</v>
      </c>
      <c r="AG11" s="61"/>
      <c r="AH11" s="53">
        <v>3.3</v>
      </c>
      <c r="AI11" s="53"/>
      <c r="AJ11" s="53"/>
      <c r="AK11" s="53">
        <v>2.2000000000000002</v>
      </c>
      <c r="AL11" s="53"/>
      <c r="AM11" s="53"/>
      <c r="AN11" s="62"/>
      <c r="AO11" s="55"/>
      <c r="AP11" s="23">
        <v>810</v>
      </c>
      <c r="AQ11" s="23">
        <v>120</v>
      </c>
      <c r="AR11" s="23">
        <v>830</v>
      </c>
      <c r="AS11" s="24"/>
      <c r="AT11" s="82"/>
      <c r="AU11" s="83"/>
    </row>
    <row r="12" spans="1:47" x14ac:dyDescent="0.15">
      <c r="A12" s="12"/>
      <c r="B12" s="9">
        <f>AVERAGE(38.1,37.9)</f>
        <v>38</v>
      </c>
      <c r="C12" s="9"/>
      <c r="D12" s="9"/>
      <c r="E12" s="9"/>
      <c r="F12" s="9">
        <f>AVERAGE(53.1,50.1,50.8)</f>
        <v>51.333333333333336</v>
      </c>
      <c r="G12" s="9"/>
      <c r="H12" s="9"/>
      <c r="I12" s="9"/>
      <c r="J12" s="9"/>
      <c r="K12" s="9">
        <f>AVERAGE(62.2,67.6,65.8)</f>
        <v>65.2</v>
      </c>
      <c r="L12" s="9"/>
      <c r="M12" s="9"/>
      <c r="N12" s="9"/>
      <c r="O12" s="9"/>
      <c r="P12" s="9">
        <v>74</v>
      </c>
      <c r="Q12" s="8"/>
      <c r="R12" s="8"/>
      <c r="S12" s="8"/>
      <c r="T12" s="8"/>
      <c r="U12" s="8"/>
      <c r="V12" s="8"/>
      <c r="W12" s="11"/>
      <c r="X12" s="55">
        <v>440</v>
      </c>
      <c r="Y12" s="23"/>
      <c r="Z12" s="24"/>
      <c r="AA12" s="55">
        <v>100</v>
      </c>
      <c r="AB12" s="23"/>
      <c r="AC12" s="23"/>
      <c r="AD12" s="24"/>
      <c r="AE12" s="55">
        <v>195</v>
      </c>
      <c r="AF12" s="24"/>
      <c r="AG12" s="61"/>
      <c r="AH12" s="53">
        <v>5.4</v>
      </c>
      <c r="AI12" s="53"/>
      <c r="AJ12" s="53"/>
      <c r="AK12" s="53"/>
      <c r="AL12" s="53"/>
      <c r="AM12" s="53"/>
      <c r="AN12" s="62"/>
      <c r="AO12" s="55"/>
      <c r="AP12" s="23">
        <v>760</v>
      </c>
      <c r="AQ12" s="23">
        <v>260</v>
      </c>
      <c r="AR12" s="23">
        <v>595</v>
      </c>
      <c r="AS12" s="24"/>
      <c r="AT12" s="82"/>
      <c r="AU12" s="83"/>
    </row>
    <row r="13" spans="1:47" x14ac:dyDescent="0.15">
      <c r="A13" s="12"/>
      <c r="B13" s="9">
        <v>38.299999999999997</v>
      </c>
      <c r="C13" s="9"/>
      <c r="D13" s="9"/>
      <c r="E13" s="9"/>
      <c r="F13" s="9">
        <v>42.4</v>
      </c>
      <c r="G13" s="9"/>
      <c r="H13" s="9"/>
      <c r="I13" s="9"/>
      <c r="J13" s="9"/>
      <c r="K13" s="9"/>
      <c r="L13" s="9">
        <v>46.6</v>
      </c>
      <c r="M13" s="9"/>
      <c r="N13" s="9"/>
      <c r="O13" s="9"/>
      <c r="P13" s="9">
        <v>51.7</v>
      </c>
      <c r="Q13" s="9"/>
      <c r="R13" s="9">
        <v>55</v>
      </c>
      <c r="S13" s="9"/>
      <c r="T13" s="9"/>
      <c r="U13" s="9"/>
      <c r="V13" s="9"/>
      <c r="W13" s="13"/>
      <c r="X13" s="55">
        <v>440</v>
      </c>
      <c r="Y13" s="23"/>
      <c r="Z13" s="24"/>
      <c r="AA13" s="55"/>
      <c r="AB13" s="23"/>
      <c r="AC13" s="23"/>
      <c r="AD13" s="24"/>
      <c r="AE13" s="55">
        <v>175</v>
      </c>
      <c r="AF13" s="24"/>
      <c r="AG13" s="61"/>
      <c r="AH13" s="53">
        <v>3</v>
      </c>
      <c r="AI13" s="53">
        <v>0.65</v>
      </c>
      <c r="AJ13" s="53"/>
      <c r="AK13" s="53"/>
      <c r="AL13" s="53"/>
      <c r="AM13" s="53"/>
      <c r="AN13" s="62">
        <v>2</v>
      </c>
      <c r="AO13" s="55"/>
      <c r="AP13" s="23">
        <v>755</v>
      </c>
      <c r="AQ13" s="23"/>
      <c r="AR13" s="23">
        <v>140</v>
      </c>
      <c r="AS13" s="24">
        <v>770</v>
      </c>
      <c r="AT13" s="82"/>
      <c r="AU13" s="83"/>
    </row>
    <row r="14" spans="1:47" x14ac:dyDescent="0.15">
      <c r="A14" s="12"/>
      <c r="B14" s="9">
        <v>39.5</v>
      </c>
      <c r="C14" s="9"/>
      <c r="D14" s="9"/>
      <c r="E14" s="9"/>
      <c r="F14" s="9">
        <v>46.6</v>
      </c>
      <c r="G14" s="9"/>
      <c r="H14" s="9"/>
      <c r="I14" s="9"/>
      <c r="J14" s="9"/>
      <c r="K14" s="9"/>
      <c r="L14" s="9">
        <v>51</v>
      </c>
      <c r="M14" s="9"/>
      <c r="N14" s="9"/>
      <c r="O14" s="9"/>
      <c r="P14" s="9">
        <v>58.3</v>
      </c>
      <c r="Q14" s="9"/>
      <c r="R14" s="9">
        <v>58.1</v>
      </c>
      <c r="S14" s="9"/>
      <c r="T14" s="9"/>
      <c r="U14" s="9"/>
      <c r="V14" s="9"/>
      <c r="W14" s="13"/>
      <c r="X14" s="55">
        <v>440</v>
      </c>
      <c r="Y14" s="23"/>
      <c r="Z14" s="24"/>
      <c r="AA14" s="55"/>
      <c r="AB14" s="23"/>
      <c r="AC14" s="23"/>
      <c r="AD14" s="24"/>
      <c r="AE14" s="55">
        <v>175</v>
      </c>
      <c r="AF14" s="24"/>
      <c r="AG14" s="61"/>
      <c r="AH14" s="53">
        <v>3</v>
      </c>
      <c r="AI14" s="53">
        <v>0.65</v>
      </c>
      <c r="AJ14" s="53"/>
      <c r="AK14" s="53"/>
      <c r="AL14" s="53"/>
      <c r="AM14" s="53"/>
      <c r="AN14" s="62">
        <v>2</v>
      </c>
      <c r="AO14" s="55"/>
      <c r="AP14" s="23">
        <v>755</v>
      </c>
      <c r="AQ14" s="23"/>
      <c r="AR14" s="23">
        <v>140</v>
      </c>
      <c r="AS14" s="24">
        <v>770</v>
      </c>
      <c r="AT14" s="82"/>
      <c r="AU14" s="83"/>
    </row>
    <row r="15" spans="1:47" x14ac:dyDescent="0.15">
      <c r="A15" s="12"/>
      <c r="B15" s="9">
        <v>38.1</v>
      </c>
      <c r="C15" s="9"/>
      <c r="D15" s="9"/>
      <c r="E15" s="9"/>
      <c r="F15" s="9">
        <v>42.3</v>
      </c>
      <c r="G15" s="9"/>
      <c r="H15" s="9"/>
      <c r="I15" s="9"/>
      <c r="J15" s="9"/>
      <c r="K15" s="9"/>
      <c r="L15" s="9">
        <v>48.6</v>
      </c>
      <c r="M15" s="9"/>
      <c r="N15" s="9"/>
      <c r="O15" s="9"/>
      <c r="P15" s="9">
        <v>55.2</v>
      </c>
      <c r="Q15" s="9"/>
      <c r="R15" s="9"/>
      <c r="S15" s="9"/>
      <c r="T15" s="9"/>
      <c r="U15" s="9"/>
      <c r="V15" s="9"/>
      <c r="W15" s="13"/>
      <c r="X15" s="55">
        <v>440</v>
      </c>
      <c r="Y15" s="23"/>
      <c r="Z15" s="24"/>
      <c r="AA15" s="55"/>
      <c r="AB15" s="23"/>
      <c r="AC15" s="23"/>
      <c r="AD15" s="24"/>
      <c r="AE15" s="55">
        <v>175</v>
      </c>
      <c r="AF15" s="24"/>
      <c r="AG15" s="61"/>
      <c r="AH15" s="53">
        <v>3</v>
      </c>
      <c r="AI15" s="53">
        <v>0.65</v>
      </c>
      <c r="AJ15" s="53"/>
      <c r="AK15" s="53"/>
      <c r="AL15" s="53"/>
      <c r="AM15" s="53"/>
      <c r="AN15" s="62"/>
      <c r="AO15" s="55"/>
      <c r="AP15" s="23">
        <v>755</v>
      </c>
      <c r="AQ15" s="23"/>
      <c r="AR15" s="23">
        <v>140</v>
      </c>
      <c r="AS15" s="24">
        <v>770</v>
      </c>
      <c r="AT15" s="82"/>
      <c r="AU15" s="83"/>
    </row>
    <row r="16" spans="1:47" x14ac:dyDescent="0.15">
      <c r="A16" s="12"/>
      <c r="B16" s="9">
        <v>42.6</v>
      </c>
      <c r="C16" s="9">
        <v>46</v>
      </c>
      <c r="D16" s="9"/>
      <c r="E16" s="9"/>
      <c r="F16" s="9">
        <v>47.2</v>
      </c>
      <c r="G16" s="9"/>
      <c r="H16" s="9"/>
      <c r="I16" s="9"/>
      <c r="J16" s="9"/>
      <c r="K16" s="9">
        <v>62.2</v>
      </c>
      <c r="L16" s="9"/>
      <c r="M16" s="9"/>
      <c r="N16" s="9"/>
      <c r="O16" s="9"/>
      <c r="P16" s="9">
        <v>70.8</v>
      </c>
      <c r="Q16" s="8"/>
      <c r="R16" s="8"/>
      <c r="S16" s="8"/>
      <c r="T16" s="8"/>
      <c r="U16" s="8"/>
      <c r="V16" s="8"/>
      <c r="W16" s="11"/>
      <c r="X16" s="55">
        <v>430</v>
      </c>
      <c r="Y16" s="23"/>
      <c r="Z16" s="24"/>
      <c r="AA16" s="55"/>
      <c r="AB16" s="23"/>
      <c r="AC16" s="23"/>
      <c r="AD16" s="24"/>
      <c r="AE16" s="55">
        <v>163</v>
      </c>
      <c r="AF16" s="24"/>
      <c r="AG16" s="61"/>
      <c r="AH16" s="53">
        <v>2.5</v>
      </c>
      <c r="AI16" s="53">
        <v>0.25</v>
      </c>
      <c r="AJ16" s="53"/>
      <c r="AK16" s="53"/>
      <c r="AL16" s="53"/>
      <c r="AM16" s="53"/>
      <c r="AN16" s="62"/>
      <c r="AO16" s="55"/>
      <c r="AP16" s="23">
        <v>800</v>
      </c>
      <c r="AQ16" s="23">
        <v>900</v>
      </c>
      <c r="AR16" s="23"/>
      <c r="AS16" s="24"/>
      <c r="AT16" s="82"/>
      <c r="AU16" s="83"/>
    </row>
    <row r="17" spans="1:47" x14ac:dyDescent="0.15">
      <c r="A17" s="12">
        <v>10.199999999999999</v>
      </c>
      <c r="B17" s="9">
        <v>30.4</v>
      </c>
      <c r="C17" s="9">
        <v>35.9</v>
      </c>
      <c r="D17" s="9"/>
      <c r="E17" s="9"/>
      <c r="F17" s="9">
        <v>41</v>
      </c>
      <c r="G17" s="9"/>
      <c r="H17" s="9"/>
      <c r="I17" s="9"/>
      <c r="J17" s="9"/>
      <c r="K17" s="9">
        <v>50.2</v>
      </c>
      <c r="L17" s="9"/>
      <c r="M17" s="9"/>
      <c r="N17" s="9"/>
      <c r="O17" s="9"/>
      <c r="P17" s="9">
        <v>60</v>
      </c>
      <c r="Q17" s="9"/>
      <c r="R17" s="9"/>
      <c r="S17" s="9"/>
      <c r="T17" s="9"/>
      <c r="U17" s="9"/>
      <c r="V17" s="9"/>
      <c r="W17" s="13"/>
      <c r="X17" s="55">
        <v>430</v>
      </c>
      <c r="Y17" s="23"/>
      <c r="Z17" s="24"/>
      <c r="AA17" s="55"/>
      <c r="AB17" s="23"/>
      <c r="AC17" s="23"/>
      <c r="AD17" s="24"/>
      <c r="AE17" s="55">
        <v>175</v>
      </c>
      <c r="AF17" s="24"/>
      <c r="AG17" s="61"/>
      <c r="AH17" s="53">
        <v>3</v>
      </c>
      <c r="AI17" s="53">
        <v>0.6</v>
      </c>
      <c r="AJ17" s="53"/>
      <c r="AK17" s="53"/>
      <c r="AL17" s="53"/>
      <c r="AM17" s="53"/>
      <c r="AN17" s="62"/>
      <c r="AO17" s="55"/>
      <c r="AP17" s="23">
        <v>830</v>
      </c>
      <c r="AQ17" s="23"/>
      <c r="AR17" s="23">
        <v>350</v>
      </c>
      <c r="AS17" s="24">
        <v>515</v>
      </c>
      <c r="AT17" s="82"/>
      <c r="AU17" s="83"/>
    </row>
    <row r="18" spans="1:47" x14ac:dyDescent="0.15">
      <c r="A18" s="12">
        <v>10.4</v>
      </c>
      <c r="B18" s="9">
        <v>28.9</v>
      </c>
      <c r="C18" s="9">
        <v>33.9</v>
      </c>
      <c r="D18" s="9"/>
      <c r="E18" s="9"/>
      <c r="F18" s="9">
        <v>39.6</v>
      </c>
      <c r="G18" s="9"/>
      <c r="H18" s="9"/>
      <c r="I18" s="9"/>
      <c r="J18" s="9"/>
      <c r="K18" s="9">
        <v>47.2</v>
      </c>
      <c r="L18" s="9"/>
      <c r="M18" s="9"/>
      <c r="N18" s="9"/>
      <c r="O18" s="9"/>
      <c r="P18" s="9">
        <v>54</v>
      </c>
      <c r="Q18" s="9"/>
      <c r="R18" s="9"/>
      <c r="S18" s="9"/>
      <c r="T18" s="9"/>
      <c r="U18" s="9"/>
      <c r="V18" s="9"/>
      <c r="W18" s="13"/>
      <c r="X18" s="55">
        <v>430</v>
      </c>
      <c r="Y18" s="23"/>
      <c r="Z18" s="24"/>
      <c r="AA18" s="55"/>
      <c r="AB18" s="23"/>
      <c r="AC18" s="23"/>
      <c r="AD18" s="24"/>
      <c r="AE18" s="55">
        <v>175</v>
      </c>
      <c r="AF18" s="24"/>
      <c r="AG18" s="61"/>
      <c r="AH18" s="53">
        <v>3</v>
      </c>
      <c r="AI18" s="53">
        <v>0.6</v>
      </c>
      <c r="AJ18" s="53"/>
      <c r="AK18" s="53"/>
      <c r="AL18" s="53"/>
      <c r="AM18" s="53"/>
      <c r="AN18" s="62"/>
      <c r="AO18" s="55"/>
      <c r="AP18" s="23">
        <v>860</v>
      </c>
      <c r="AQ18" s="23"/>
      <c r="AR18" s="23">
        <v>350</v>
      </c>
      <c r="AS18" s="24">
        <v>515</v>
      </c>
      <c r="AT18" s="82"/>
      <c r="AU18" s="83"/>
    </row>
    <row r="19" spans="1:47" x14ac:dyDescent="0.15">
      <c r="A19" s="12"/>
      <c r="B19" s="9"/>
      <c r="C19" s="9">
        <v>40</v>
      </c>
      <c r="D19" s="9"/>
      <c r="E19" s="9"/>
      <c r="F19" s="9">
        <v>43.3</v>
      </c>
      <c r="G19" s="9"/>
      <c r="H19" s="9"/>
      <c r="I19" s="9"/>
      <c r="J19" s="9"/>
      <c r="K19" s="9">
        <v>46.8</v>
      </c>
      <c r="L19" s="9"/>
      <c r="M19" s="9"/>
      <c r="N19" s="9"/>
      <c r="O19" s="9"/>
      <c r="P19" s="9">
        <v>55.7</v>
      </c>
      <c r="Q19" s="9"/>
      <c r="R19" s="9"/>
      <c r="S19" s="9"/>
      <c r="T19" s="9">
        <v>56.4</v>
      </c>
      <c r="U19" s="9"/>
      <c r="V19" s="9"/>
      <c r="W19" s="13"/>
      <c r="X19" s="55">
        <v>430</v>
      </c>
      <c r="Y19" s="23"/>
      <c r="Z19" s="24"/>
      <c r="AA19" s="55"/>
      <c r="AB19" s="23"/>
      <c r="AC19" s="23"/>
      <c r="AD19" s="24"/>
      <c r="AE19" s="55">
        <v>175</v>
      </c>
      <c r="AF19" s="24"/>
      <c r="AG19" s="61"/>
      <c r="AH19" s="53">
        <v>3</v>
      </c>
      <c r="AI19" s="53">
        <v>0.77</v>
      </c>
      <c r="AJ19" s="53"/>
      <c r="AK19" s="53"/>
      <c r="AL19" s="53"/>
      <c r="AM19" s="53"/>
      <c r="AN19" s="62">
        <v>2</v>
      </c>
      <c r="AO19" s="55"/>
      <c r="AP19" s="23">
        <v>830</v>
      </c>
      <c r="AQ19" s="23"/>
      <c r="AR19" s="23">
        <v>350</v>
      </c>
      <c r="AS19" s="24">
        <v>515</v>
      </c>
      <c r="AT19" s="82"/>
      <c r="AU19" s="83"/>
    </row>
    <row r="20" spans="1:47" x14ac:dyDescent="0.15">
      <c r="A20" s="12"/>
      <c r="B20" s="9"/>
      <c r="C20" s="9">
        <v>38.1</v>
      </c>
      <c r="D20" s="9"/>
      <c r="E20" s="9"/>
      <c r="F20" s="9">
        <v>42.8</v>
      </c>
      <c r="G20" s="9"/>
      <c r="H20" s="9"/>
      <c r="I20" s="9"/>
      <c r="J20" s="9"/>
      <c r="K20" s="9">
        <v>43.6</v>
      </c>
      <c r="L20" s="9"/>
      <c r="M20" s="9"/>
      <c r="N20" s="9"/>
      <c r="O20" s="9"/>
      <c r="P20" s="9">
        <v>52.3</v>
      </c>
      <c r="Q20" s="9"/>
      <c r="R20" s="9"/>
      <c r="S20" s="9"/>
      <c r="T20" s="9">
        <v>56.1</v>
      </c>
      <c r="U20" s="9"/>
      <c r="V20" s="9"/>
      <c r="W20" s="13"/>
      <c r="X20" s="55">
        <v>430</v>
      </c>
      <c r="Y20" s="23"/>
      <c r="Z20" s="24"/>
      <c r="AA20" s="55"/>
      <c r="AB20" s="23"/>
      <c r="AC20" s="23"/>
      <c r="AD20" s="24"/>
      <c r="AE20" s="55">
        <v>175</v>
      </c>
      <c r="AF20" s="24"/>
      <c r="AG20" s="61"/>
      <c r="AH20" s="53">
        <v>3</v>
      </c>
      <c r="AI20" s="53">
        <v>0.77</v>
      </c>
      <c r="AJ20" s="53"/>
      <c r="AK20" s="53"/>
      <c r="AL20" s="53"/>
      <c r="AM20" s="53"/>
      <c r="AN20" s="62">
        <v>2</v>
      </c>
      <c r="AO20" s="55"/>
      <c r="AP20" s="23">
        <v>830</v>
      </c>
      <c r="AQ20" s="23"/>
      <c r="AR20" s="23">
        <v>350</v>
      </c>
      <c r="AS20" s="24">
        <v>515</v>
      </c>
      <c r="AT20" s="82"/>
      <c r="AU20" s="83"/>
    </row>
    <row r="21" spans="1:47" x14ac:dyDescent="0.15">
      <c r="A21" s="12"/>
      <c r="B21" s="9"/>
      <c r="C21" s="9">
        <v>39.700000000000003</v>
      </c>
      <c r="D21" s="9"/>
      <c r="E21" s="9"/>
      <c r="F21" s="9">
        <v>41.5</v>
      </c>
      <c r="G21" s="9"/>
      <c r="H21" s="9"/>
      <c r="I21" s="9"/>
      <c r="J21" s="9"/>
      <c r="K21" s="9">
        <v>47.8</v>
      </c>
      <c r="L21" s="9"/>
      <c r="M21" s="9"/>
      <c r="N21" s="9"/>
      <c r="O21" s="9"/>
      <c r="P21" s="9">
        <v>51.8</v>
      </c>
      <c r="Q21" s="9"/>
      <c r="R21" s="9"/>
      <c r="S21" s="9"/>
      <c r="T21" s="9">
        <v>58.9</v>
      </c>
      <c r="U21" s="9"/>
      <c r="V21" s="9"/>
      <c r="W21" s="13"/>
      <c r="X21" s="55">
        <v>430</v>
      </c>
      <c r="Y21" s="23"/>
      <c r="Z21" s="24"/>
      <c r="AA21" s="55"/>
      <c r="AB21" s="23"/>
      <c r="AC21" s="23"/>
      <c r="AD21" s="24"/>
      <c r="AE21" s="55">
        <v>175</v>
      </c>
      <c r="AF21" s="24"/>
      <c r="AG21" s="61"/>
      <c r="AH21" s="53">
        <v>3</v>
      </c>
      <c r="AI21" s="53">
        <v>0.77</v>
      </c>
      <c r="AJ21" s="53"/>
      <c r="AK21" s="53"/>
      <c r="AL21" s="53"/>
      <c r="AM21" s="53"/>
      <c r="AN21" s="62"/>
      <c r="AO21" s="55"/>
      <c r="AP21" s="23">
        <v>830</v>
      </c>
      <c r="AQ21" s="23"/>
      <c r="AR21" s="23">
        <v>350</v>
      </c>
      <c r="AS21" s="24">
        <v>515</v>
      </c>
      <c r="AT21" s="82"/>
      <c r="AU21" s="83"/>
    </row>
    <row r="22" spans="1:47" x14ac:dyDescent="0.15">
      <c r="A22" s="12"/>
      <c r="B22" s="9">
        <f>AVERAGE(29,28.6,28.8)</f>
        <v>28.8</v>
      </c>
      <c r="C22" s="9"/>
      <c r="D22" s="9"/>
      <c r="E22" s="9"/>
      <c r="F22" s="9">
        <f>AVERAGE(41.8,41.7,40.3)</f>
        <v>41.266666666666666</v>
      </c>
      <c r="G22" s="9"/>
      <c r="H22" s="9"/>
      <c r="I22" s="9"/>
      <c r="J22" s="9"/>
      <c r="K22" s="9"/>
      <c r="L22" s="9">
        <f>AVERAGE(47.2,48.4,47)</f>
        <v>47.533333333333331</v>
      </c>
      <c r="M22" s="9"/>
      <c r="N22" s="9"/>
      <c r="O22" s="9"/>
      <c r="P22" s="9">
        <v>54</v>
      </c>
      <c r="Q22" s="9"/>
      <c r="R22" s="9"/>
      <c r="S22" s="9"/>
      <c r="T22" s="9"/>
      <c r="U22" s="9"/>
      <c r="V22" s="9"/>
      <c r="W22" s="13"/>
      <c r="X22" s="55">
        <v>430</v>
      </c>
      <c r="Y22" s="23"/>
      <c r="Z22" s="24"/>
      <c r="AA22" s="55"/>
      <c r="AB22" s="23"/>
      <c r="AC22" s="23"/>
      <c r="AD22" s="24"/>
      <c r="AE22" s="55">
        <v>175</v>
      </c>
      <c r="AF22" s="24"/>
      <c r="AG22" s="61"/>
      <c r="AH22" s="53">
        <v>3.44</v>
      </c>
      <c r="AI22" s="53">
        <v>0.55000000000000004</v>
      </c>
      <c r="AJ22" s="53"/>
      <c r="AK22" s="53"/>
      <c r="AL22" s="53"/>
      <c r="AM22" s="53"/>
      <c r="AN22" s="62"/>
      <c r="AO22" s="55"/>
      <c r="AP22" s="23">
        <v>755</v>
      </c>
      <c r="AQ22" s="23">
        <v>140</v>
      </c>
      <c r="AR22" s="23">
        <v>770</v>
      </c>
      <c r="AS22" s="24"/>
      <c r="AT22" s="82"/>
      <c r="AU22" s="83"/>
    </row>
    <row r="23" spans="1:47" x14ac:dyDescent="0.15">
      <c r="A23" s="12"/>
      <c r="B23" s="9">
        <v>26.2</v>
      </c>
      <c r="C23" s="9"/>
      <c r="D23" s="9">
        <v>38.200000000000003</v>
      </c>
      <c r="E23" s="9">
        <v>40.4</v>
      </c>
      <c r="F23" s="9">
        <v>43.1</v>
      </c>
      <c r="G23" s="9"/>
      <c r="H23" s="9"/>
      <c r="I23" s="9"/>
      <c r="J23" s="9"/>
      <c r="K23" s="9">
        <v>49</v>
      </c>
      <c r="L23" s="9"/>
      <c r="M23" s="9"/>
      <c r="N23" s="9"/>
      <c r="O23" s="9"/>
      <c r="P23" s="9">
        <v>52.1</v>
      </c>
      <c r="Q23" s="8"/>
      <c r="R23" s="8"/>
      <c r="S23" s="8"/>
      <c r="T23" s="8"/>
      <c r="U23" s="8"/>
      <c r="V23" s="8"/>
      <c r="W23" s="11"/>
      <c r="X23" s="55">
        <v>420</v>
      </c>
      <c r="Y23" s="23"/>
      <c r="Z23" s="24"/>
      <c r="AA23" s="55"/>
      <c r="AB23" s="23"/>
      <c r="AC23" s="23"/>
      <c r="AD23" s="24"/>
      <c r="AE23" s="55">
        <v>163</v>
      </c>
      <c r="AF23" s="24"/>
      <c r="AG23" s="61"/>
      <c r="AH23" s="53">
        <v>2.4</v>
      </c>
      <c r="AI23" s="53">
        <v>0.25</v>
      </c>
      <c r="AJ23" s="53">
        <v>0.3</v>
      </c>
      <c r="AK23" s="53"/>
      <c r="AL23" s="53"/>
      <c r="AM23" s="53"/>
      <c r="AN23" s="62"/>
      <c r="AO23" s="55"/>
      <c r="AP23" s="23">
        <v>810</v>
      </c>
      <c r="AQ23" s="23">
        <v>150</v>
      </c>
      <c r="AR23" s="23">
        <v>350</v>
      </c>
      <c r="AS23" s="24">
        <v>490</v>
      </c>
      <c r="AT23" s="82"/>
      <c r="AU23" s="83"/>
    </row>
    <row r="24" spans="1:47" x14ac:dyDescent="0.15">
      <c r="A24" s="12"/>
      <c r="B24" s="9"/>
      <c r="C24" s="9">
        <v>34.1</v>
      </c>
      <c r="D24" s="9"/>
      <c r="E24" s="9">
        <v>40.4</v>
      </c>
      <c r="F24" s="9">
        <v>44</v>
      </c>
      <c r="G24" s="9"/>
      <c r="H24" s="9"/>
      <c r="I24" s="9"/>
      <c r="J24" s="9"/>
      <c r="K24" s="9">
        <v>55.6</v>
      </c>
      <c r="L24" s="9"/>
      <c r="M24" s="9"/>
      <c r="N24" s="9"/>
      <c r="O24" s="9"/>
      <c r="P24" s="9">
        <v>63.2</v>
      </c>
      <c r="Q24" s="8"/>
      <c r="R24" s="8"/>
      <c r="S24" s="8"/>
      <c r="T24" s="8"/>
      <c r="U24" s="8"/>
      <c r="V24" s="8"/>
      <c r="W24" s="11"/>
      <c r="X24" s="55">
        <v>420</v>
      </c>
      <c r="Y24" s="23"/>
      <c r="Z24" s="24"/>
      <c r="AA24" s="55"/>
      <c r="AB24" s="23"/>
      <c r="AC24" s="23"/>
      <c r="AD24" s="24"/>
      <c r="AE24" s="55">
        <v>163</v>
      </c>
      <c r="AF24" s="24"/>
      <c r="AG24" s="61"/>
      <c r="AH24" s="53">
        <v>2.4</v>
      </c>
      <c r="AI24" s="53">
        <v>0.25</v>
      </c>
      <c r="AJ24" s="53">
        <v>0.3</v>
      </c>
      <c r="AK24" s="53"/>
      <c r="AL24" s="53"/>
      <c r="AM24" s="53"/>
      <c r="AN24" s="62"/>
      <c r="AO24" s="55"/>
      <c r="AP24" s="23">
        <v>810</v>
      </c>
      <c r="AQ24" s="23">
        <v>150</v>
      </c>
      <c r="AR24" s="23">
        <v>350</v>
      </c>
      <c r="AS24" s="24">
        <v>490</v>
      </c>
      <c r="AT24" s="82"/>
      <c r="AU24" s="83"/>
    </row>
    <row r="25" spans="1:47" x14ac:dyDescent="0.15">
      <c r="A25" s="12"/>
      <c r="B25" s="9"/>
      <c r="C25" s="9">
        <v>34.9</v>
      </c>
      <c r="D25" s="9"/>
      <c r="E25" s="9"/>
      <c r="F25" s="9"/>
      <c r="G25" s="9">
        <v>43.3</v>
      </c>
      <c r="H25" s="9"/>
      <c r="I25" s="9"/>
      <c r="J25" s="9"/>
      <c r="K25" s="9">
        <v>54.5</v>
      </c>
      <c r="L25" s="9"/>
      <c r="M25" s="9"/>
      <c r="N25" s="9"/>
      <c r="O25" s="9"/>
      <c r="P25" s="9">
        <v>62.6</v>
      </c>
      <c r="Q25" s="8"/>
      <c r="R25" s="8"/>
      <c r="S25" s="8"/>
      <c r="T25" s="8"/>
      <c r="U25" s="8"/>
      <c r="V25" s="8"/>
      <c r="W25" s="11"/>
      <c r="X25" s="55">
        <v>420</v>
      </c>
      <c r="Y25" s="23"/>
      <c r="Z25" s="24"/>
      <c r="AA25" s="55"/>
      <c r="AB25" s="23"/>
      <c r="AC25" s="23"/>
      <c r="AD25" s="24"/>
      <c r="AE25" s="55">
        <v>163</v>
      </c>
      <c r="AF25" s="24"/>
      <c r="AG25" s="61"/>
      <c r="AH25" s="53">
        <v>2.4</v>
      </c>
      <c r="AI25" s="53">
        <v>0.25</v>
      </c>
      <c r="AJ25" s="53">
        <v>0.3</v>
      </c>
      <c r="AK25" s="53"/>
      <c r="AL25" s="53"/>
      <c r="AM25" s="53"/>
      <c r="AN25" s="62"/>
      <c r="AO25" s="55"/>
      <c r="AP25" s="23">
        <v>810</v>
      </c>
      <c r="AQ25" s="23">
        <v>150</v>
      </c>
      <c r="AR25" s="23">
        <v>350</v>
      </c>
      <c r="AS25" s="24">
        <v>490</v>
      </c>
      <c r="AT25" s="82"/>
      <c r="AU25" s="83"/>
    </row>
    <row r="26" spans="1:47" x14ac:dyDescent="0.15">
      <c r="A26" s="12"/>
      <c r="B26" s="9">
        <f>AVERAGE(32.8,31,32.4)</f>
        <v>32.066666666666663</v>
      </c>
      <c r="C26" s="9"/>
      <c r="D26" s="9"/>
      <c r="E26" s="9"/>
      <c r="F26" s="9">
        <f>AVERAGE(46.2,42.4,42.8)</f>
        <v>43.79999999999999</v>
      </c>
      <c r="G26" s="9"/>
      <c r="H26" s="9"/>
      <c r="I26" s="9"/>
      <c r="J26" s="9"/>
      <c r="K26" s="9">
        <f>AVERAGE(51.5,46.4,47.2)</f>
        <v>48.366666666666674</v>
      </c>
      <c r="L26" s="9"/>
      <c r="M26" s="9"/>
      <c r="N26" s="9"/>
      <c r="O26" s="9"/>
      <c r="P26" s="9">
        <v>52.5</v>
      </c>
      <c r="Q26" s="9"/>
      <c r="R26" s="9"/>
      <c r="S26" s="9"/>
      <c r="T26" s="9"/>
      <c r="U26" s="9"/>
      <c r="V26" s="9"/>
      <c r="W26" s="13"/>
      <c r="X26" s="55">
        <v>420</v>
      </c>
      <c r="Y26" s="23"/>
      <c r="Z26" s="24"/>
      <c r="AA26" s="55"/>
      <c r="AB26" s="23"/>
      <c r="AC26" s="23"/>
      <c r="AD26" s="24"/>
      <c r="AE26" s="55">
        <v>180</v>
      </c>
      <c r="AF26" s="24"/>
      <c r="AG26" s="61"/>
      <c r="AH26" s="53">
        <v>3</v>
      </c>
      <c r="AI26" s="53">
        <v>0.55000000000000004</v>
      </c>
      <c r="AJ26" s="53"/>
      <c r="AK26" s="53"/>
      <c r="AL26" s="53"/>
      <c r="AM26" s="53"/>
      <c r="AN26" s="62"/>
      <c r="AO26" s="55"/>
      <c r="AP26" s="23">
        <v>755</v>
      </c>
      <c r="AQ26" s="23">
        <v>140</v>
      </c>
      <c r="AR26" s="23">
        <v>840</v>
      </c>
      <c r="AS26" s="24"/>
      <c r="AT26" s="82"/>
      <c r="AU26" s="83"/>
    </row>
    <row r="27" spans="1:47" x14ac:dyDescent="0.15">
      <c r="A27" s="12"/>
      <c r="B27" s="9"/>
      <c r="C27" s="9">
        <v>37.6</v>
      </c>
      <c r="D27" s="9">
        <v>40.799999999999997</v>
      </c>
      <c r="E27" s="9"/>
      <c r="F27" s="9">
        <f>AVERAGE(43,48.1)</f>
        <v>45.55</v>
      </c>
      <c r="G27" s="9"/>
      <c r="H27" s="9"/>
      <c r="I27" s="9"/>
      <c r="J27" s="9"/>
      <c r="K27" s="9">
        <f>AVERAGE(52.3,57.9)</f>
        <v>55.099999999999994</v>
      </c>
      <c r="L27" s="9"/>
      <c r="M27" s="9"/>
      <c r="N27" s="9"/>
      <c r="O27" s="9"/>
      <c r="P27" s="9">
        <v>61.1</v>
      </c>
      <c r="Q27" s="8"/>
      <c r="R27" s="8"/>
      <c r="S27" s="8"/>
      <c r="T27" s="8"/>
      <c r="U27" s="8"/>
      <c r="V27" s="8"/>
      <c r="W27" s="11"/>
      <c r="X27" s="55">
        <v>405</v>
      </c>
      <c r="Y27" s="23"/>
      <c r="Z27" s="24"/>
      <c r="AA27" s="55"/>
      <c r="AB27" s="23"/>
      <c r="AC27" s="23"/>
      <c r="AD27" s="24"/>
      <c r="AE27" s="55">
        <v>170</v>
      </c>
      <c r="AF27" s="24"/>
      <c r="AG27" s="61"/>
      <c r="AH27" s="53">
        <v>2.65</v>
      </c>
      <c r="AI27" s="53">
        <v>0.5</v>
      </c>
      <c r="AJ27" s="53"/>
      <c r="AK27" s="53"/>
      <c r="AL27" s="53"/>
      <c r="AM27" s="53"/>
      <c r="AN27" s="62"/>
      <c r="AO27" s="55"/>
      <c r="AP27" s="23">
        <v>875</v>
      </c>
      <c r="AQ27" s="23">
        <v>170</v>
      </c>
      <c r="AR27" s="23">
        <v>700</v>
      </c>
      <c r="AS27" s="24"/>
      <c r="AT27" s="82"/>
      <c r="AU27" s="83"/>
    </row>
    <row r="28" spans="1:47" x14ac:dyDescent="0.15">
      <c r="A28" s="12"/>
      <c r="B28" s="9">
        <f>AVERAGE(37.5,37.6,40.6)</f>
        <v>38.566666666666663</v>
      </c>
      <c r="C28" s="9"/>
      <c r="D28" s="9"/>
      <c r="E28" s="9"/>
      <c r="F28" s="9">
        <f>AVERAGE(46.9,44.4,48.4)</f>
        <v>46.566666666666663</v>
      </c>
      <c r="G28" s="9"/>
      <c r="H28" s="9"/>
      <c r="I28" s="9"/>
      <c r="J28" s="9"/>
      <c r="K28" s="9">
        <f>AVERAGE(53.8,57.1,54.6)</f>
        <v>55.166666666666664</v>
      </c>
      <c r="L28" s="9"/>
      <c r="M28" s="9"/>
      <c r="N28" s="9"/>
      <c r="O28" s="9"/>
      <c r="P28" s="9">
        <v>64.5</v>
      </c>
      <c r="Q28" s="9"/>
      <c r="R28" s="9"/>
      <c r="S28" s="9"/>
      <c r="T28" s="9"/>
      <c r="U28" s="9"/>
      <c r="V28" s="9"/>
      <c r="W28" s="13"/>
      <c r="X28" s="55">
        <v>405</v>
      </c>
      <c r="Y28" s="23"/>
      <c r="Z28" s="24"/>
      <c r="AA28" s="55"/>
      <c r="AB28" s="23"/>
      <c r="AC28" s="23"/>
      <c r="AD28" s="24"/>
      <c r="AE28" s="55">
        <v>160</v>
      </c>
      <c r="AF28" s="24"/>
      <c r="AG28" s="61"/>
      <c r="AH28" s="53">
        <v>3.6</v>
      </c>
      <c r="AI28" s="53">
        <v>0.35</v>
      </c>
      <c r="AJ28" s="53"/>
      <c r="AK28" s="53"/>
      <c r="AL28" s="53"/>
      <c r="AM28" s="53"/>
      <c r="AN28" s="62"/>
      <c r="AO28" s="55"/>
      <c r="AP28" s="23">
        <v>935</v>
      </c>
      <c r="AQ28" s="23">
        <v>180</v>
      </c>
      <c r="AR28" s="23">
        <v>675</v>
      </c>
      <c r="AS28" s="24"/>
      <c r="AT28" s="82"/>
      <c r="AU28" s="83"/>
    </row>
    <row r="29" spans="1:47" x14ac:dyDescent="0.15">
      <c r="A29" s="12">
        <v>2.8</v>
      </c>
      <c r="B29" s="9"/>
      <c r="C29" s="9">
        <v>27.3</v>
      </c>
      <c r="D29" s="9"/>
      <c r="E29" s="9"/>
      <c r="F29" s="9">
        <v>38</v>
      </c>
      <c r="G29" s="9"/>
      <c r="H29" s="9"/>
      <c r="I29" s="9"/>
      <c r="J29" s="9"/>
      <c r="K29" s="9">
        <v>46.3</v>
      </c>
      <c r="L29" s="9"/>
      <c r="M29" s="9"/>
      <c r="N29" s="9"/>
      <c r="O29" s="9"/>
      <c r="P29" s="9">
        <v>52.6</v>
      </c>
      <c r="Q29" s="9"/>
      <c r="R29" s="9"/>
      <c r="S29" s="9"/>
      <c r="T29" s="9"/>
      <c r="U29" s="9"/>
      <c r="V29" s="9"/>
      <c r="W29" s="13"/>
      <c r="X29" s="55">
        <v>400</v>
      </c>
      <c r="Y29" s="23"/>
      <c r="Z29" s="24"/>
      <c r="AA29" s="55"/>
      <c r="AB29" s="23"/>
      <c r="AC29" s="23">
        <v>15</v>
      </c>
      <c r="AD29" s="24"/>
      <c r="AE29" s="55">
        <v>135</v>
      </c>
      <c r="AF29" s="24">
        <v>40</v>
      </c>
      <c r="AG29" s="61">
        <v>2.5</v>
      </c>
      <c r="AH29" s="53"/>
      <c r="AI29" s="53"/>
      <c r="AJ29" s="53"/>
      <c r="AK29" s="53"/>
      <c r="AL29" s="53"/>
      <c r="AM29" s="53"/>
      <c r="AN29" s="62"/>
      <c r="AO29" s="55"/>
      <c r="AP29" s="23">
        <v>900</v>
      </c>
      <c r="AQ29" s="23"/>
      <c r="AR29" s="23">
        <v>405</v>
      </c>
      <c r="AS29" s="24">
        <v>490</v>
      </c>
      <c r="AT29" s="82"/>
      <c r="AU29" s="83"/>
    </row>
    <row r="30" spans="1:47" x14ac:dyDescent="0.15">
      <c r="A30" s="12">
        <v>2</v>
      </c>
      <c r="B30" s="9"/>
      <c r="C30" s="9">
        <v>27.7</v>
      </c>
      <c r="D30" s="9"/>
      <c r="E30" s="9"/>
      <c r="F30" s="9">
        <v>37.5</v>
      </c>
      <c r="G30" s="9"/>
      <c r="H30" s="9"/>
      <c r="I30" s="9"/>
      <c r="J30" s="9"/>
      <c r="K30" s="9">
        <v>44.2</v>
      </c>
      <c r="L30" s="9"/>
      <c r="M30" s="9"/>
      <c r="N30" s="9"/>
      <c r="O30" s="9"/>
      <c r="P30" s="9">
        <v>52.6</v>
      </c>
      <c r="Q30" s="9"/>
      <c r="R30" s="9"/>
      <c r="S30" s="9"/>
      <c r="T30" s="9"/>
      <c r="U30" s="9"/>
      <c r="V30" s="9"/>
      <c r="W30" s="13"/>
      <c r="X30" s="55">
        <v>400</v>
      </c>
      <c r="Y30" s="23"/>
      <c r="Z30" s="24"/>
      <c r="AA30" s="55"/>
      <c r="AB30" s="23"/>
      <c r="AC30" s="23"/>
      <c r="AD30" s="24"/>
      <c r="AE30" s="55">
        <v>135</v>
      </c>
      <c r="AF30" s="24">
        <v>40</v>
      </c>
      <c r="AG30" s="61">
        <v>2.5</v>
      </c>
      <c r="AH30" s="53"/>
      <c r="AI30" s="53"/>
      <c r="AJ30" s="53"/>
      <c r="AK30" s="53"/>
      <c r="AL30" s="53"/>
      <c r="AM30" s="53"/>
      <c r="AN30" s="62"/>
      <c r="AO30" s="55"/>
      <c r="AP30" s="23">
        <v>900</v>
      </c>
      <c r="AQ30" s="23"/>
      <c r="AR30" s="23">
        <v>405</v>
      </c>
      <c r="AS30" s="24">
        <v>490</v>
      </c>
      <c r="AT30" s="82"/>
      <c r="AU30" s="83"/>
    </row>
    <row r="31" spans="1:47" x14ac:dyDescent="0.15">
      <c r="A31" s="12"/>
      <c r="B31" s="9">
        <f>AVERAGE(32,32.6)</f>
        <v>32.299999999999997</v>
      </c>
      <c r="C31" s="9"/>
      <c r="D31" s="9"/>
      <c r="E31" s="9"/>
      <c r="F31" s="9">
        <f>AVERAGE(38,38.5)</f>
        <v>38.25</v>
      </c>
      <c r="G31" s="9"/>
      <c r="H31" s="9"/>
      <c r="I31" s="9"/>
      <c r="J31" s="9"/>
      <c r="K31" s="9">
        <f>AVERAGE(43.8,43.1)</f>
        <v>43.45</v>
      </c>
      <c r="L31" s="9"/>
      <c r="M31" s="9"/>
      <c r="N31" s="9"/>
      <c r="O31" s="9"/>
      <c r="P31" s="9">
        <v>54.9</v>
      </c>
      <c r="Q31" s="9"/>
      <c r="R31" s="9"/>
      <c r="S31" s="9"/>
      <c r="T31" s="9"/>
      <c r="U31" s="9"/>
      <c r="V31" s="9"/>
      <c r="W31" s="13"/>
      <c r="X31" s="55">
        <v>400</v>
      </c>
      <c r="Y31" s="23"/>
      <c r="Z31" s="24"/>
      <c r="AA31" s="55"/>
      <c r="AB31" s="23"/>
      <c r="AC31" s="23"/>
      <c r="AD31" s="24"/>
      <c r="AE31" s="55">
        <v>180</v>
      </c>
      <c r="AF31" s="24"/>
      <c r="AG31" s="61"/>
      <c r="AH31" s="53">
        <v>2.8</v>
      </c>
      <c r="AI31" s="53"/>
      <c r="AJ31" s="53"/>
      <c r="AK31" s="53"/>
      <c r="AL31" s="53"/>
      <c r="AM31" s="53"/>
      <c r="AN31" s="62"/>
      <c r="AO31" s="55"/>
      <c r="AP31" s="23">
        <v>820</v>
      </c>
      <c r="AQ31" s="23">
        <v>220</v>
      </c>
      <c r="AR31" s="23">
        <v>720</v>
      </c>
      <c r="AS31" s="24"/>
      <c r="AT31" s="82"/>
      <c r="AU31" s="83"/>
    </row>
    <row r="32" spans="1:47" x14ac:dyDescent="0.15">
      <c r="A32" s="12"/>
      <c r="B32" s="9">
        <f>AVERAGE(26.8,26.3)</f>
        <v>26.55</v>
      </c>
      <c r="C32" s="9"/>
      <c r="D32" s="9"/>
      <c r="E32" s="9"/>
      <c r="F32" s="9">
        <f>AVERAGE(32.8,31.7)</f>
        <v>32.25</v>
      </c>
      <c r="G32" s="9"/>
      <c r="H32" s="9"/>
      <c r="I32" s="9"/>
      <c r="J32" s="9"/>
      <c r="K32" s="9">
        <f>AVERAGE(36.8,37.7)</f>
        <v>37.25</v>
      </c>
      <c r="L32" s="9"/>
      <c r="M32" s="9"/>
      <c r="N32" s="9"/>
      <c r="O32" s="9"/>
      <c r="P32" s="9">
        <v>44.7</v>
      </c>
      <c r="Q32" s="9"/>
      <c r="R32" s="9"/>
      <c r="S32" s="9"/>
      <c r="T32" s="9"/>
      <c r="U32" s="9"/>
      <c r="V32" s="9"/>
      <c r="W32" s="13"/>
      <c r="X32" s="55">
        <v>400</v>
      </c>
      <c r="Y32" s="23"/>
      <c r="Z32" s="24"/>
      <c r="AA32" s="55"/>
      <c r="AB32" s="23"/>
      <c r="AC32" s="23"/>
      <c r="AD32" s="24"/>
      <c r="AE32" s="55">
        <v>180</v>
      </c>
      <c r="AF32" s="24"/>
      <c r="AG32" s="61"/>
      <c r="AH32" s="53">
        <v>2.8</v>
      </c>
      <c r="AI32" s="53"/>
      <c r="AJ32" s="53"/>
      <c r="AK32" s="53"/>
      <c r="AL32" s="53"/>
      <c r="AM32" s="53"/>
      <c r="AN32" s="62"/>
      <c r="AO32" s="55"/>
      <c r="AP32" s="23">
        <v>820</v>
      </c>
      <c r="AQ32" s="23">
        <v>220</v>
      </c>
      <c r="AR32" s="23">
        <v>720</v>
      </c>
      <c r="AS32" s="24"/>
      <c r="AT32" s="82"/>
      <c r="AU32" s="83"/>
    </row>
    <row r="33" spans="1:47" x14ac:dyDescent="0.15">
      <c r="A33" s="12"/>
      <c r="B33" s="9">
        <f>AVERAGE(30.8,32.4)</f>
        <v>31.6</v>
      </c>
      <c r="C33" s="9"/>
      <c r="D33" s="9"/>
      <c r="E33" s="9"/>
      <c r="F33" s="9">
        <f>AVERAGE(35.6,36.2)</f>
        <v>35.900000000000006</v>
      </c>
      <c r="G33" s="9"/>
      <c r="H33" s="9"/>
      <c r="I33" s="9"/>
      <c r="J33" s="9"/>
      <c r="K33" s="9">
        <f>AVERAGE(40.5,41.7)</f>
        <v>41.1</v>
      </c>
      <c r="L33" s="9"/>
      <c r="M33" s="9"/>
      <c r="N33" s="9"/>
      <c r="O33" s="9"/>
      <c r="P33" s="9">
        <v>48.5</v>
      </c>
      <c r="Q33" s="9"/>
      <c r="R33" s="9"/>
      <c r="S33" s="9"/>
      <c r="T33" s="9"/>
      <c r="U33" s="9"/>
      <c r="V33" s="9"/>
      <c r="W33" s="13"/>
      <c r="X33" s="55">
        <v>400</v>
      </c>
      <c r="Y33" s="23"/>
      <c r="Z33" s="24"/>
      <c r="AA33" s="55"/>
      <c r="AB33" s="23"/>
      <c r="AC33" s="23"/>
      <c r="AD33" s="24"/>
      <c r="AE33" s="55">
        <v>180</v>
      </c>
      <c r="AF33" s="24"/>
      <c r="AG33" s="61"/>
      <c r="AH33" s="53">
        <v>2.8</v>
      </c>
      <c r="AI33" s="53"/>
      <c r="AJ33" s="53"/>
      <c r="AK33" s="53"/>
      <c r="AL33" s="53"/>
      <c r="AM33" s="53"/>
      <c r="AN33" s="62"/>
      <c r="AO33" s="55"/>
      <c r="AP33" s="23">
        <v>820</v>
      </c>
      <c r="AQ33" s="23">
        <v>220</v>
      </c>
      <c r="AR33" s="23">
        <v>720</v>
      </c>
      <c r="AS33" s="24"/>
      <c r="AT33" s="82"/>
      <c r="AU33" s="83"/>
    </row>
    <row r="34" spans="1:47" x14ac:dyDescent="0.15">
      <c r="A34" s="12"/>
      <c r="B34" s="9">
        <f>AVERAGE(35.3,35.8)</f>
        <v>35.549999999999997</v>
      </c>
      <c r="C34" s="9"/>
      <c r="D34" s="9"/>
      <c r="E34" s="9"/>
      <c r="F34" s="9"/>
      <c r="G34" s="9">
        <f>AVERAGE(41.3,41.5)</f>
        <v>41.4</v>
      </c>
      <c r="H34" s="9"/>
      <c r="I34" s="9"/>
      <c r="J34" s="9"/>
      <c r="K34" s="9"/>
      <c r="L34" s="9">
        <f>AVERAGE(45.6,46.4)</f>
        <v>46</v>
      </c>
      <c r="M34" s="9"/>
      <c r="N34" s="9"/>
      <c r="O34" s="9"/>
      <c r="P34" s="9">
        <v>57</v>
      </c>
      <c r="Q34" s="9"/>
      <c r="R34" s="9"/>
      <c r="S34" s="9"/>
      <c r="T34" s="9"/>
      <c r="U34" s="9"/>
      <c r="V34" s="9"/>
      <c r="W34" s="13"/>
      <c r="X34" s="55">
        <v>400</v>
      </c>
      <c r="Y34" s="23"/>
      <c r="Z34" s="24"/>
      <c r="AA34" s="55"/>
      <c r="AB34" s="23"/>
      <c r="AC34" s="23"/>
      <c r="AD34" s="24"/>
      <c r="AE34" s="55">
        <v>180</v>
      </c>
      <c r="AF34" s="24"/>
      <c r="AG34" s="61"/>
      <c r="AH34" s="53">
        <v>2.8</v>
      </c>
      <c r="AI34" s="53"/>
      <c r="AJ34" s="53"/>
      <c r="AK34" s="53"/>
      <c r="AL34" s="53"/>
      <c r="AM34" s="53"/>
      <c r="AN34" s="62"/>
      <c r="AO34" s="55"/>
      <c r="AP34" s="23">
        <v>820</v>
      </c>
      <c r="AQ34" s="23">
        <v>220</v>
      </c>
      <c r="AR34" s="23">
        <v>720</v>
      </c>
      <c r="AS34" s="24"/>
      <c r="AT34" s="82"/>
      <c r="AU34" s="83"/>
    </row>
    <row r="35" spans="1:47" x14ac:dyDescent="0.15">
      <c r="A35" s="12"/>
      <c r="B35" s="9">
        <f>AVERAGE(30.9,30)</f>
        <v>30.45</v>
      </c>
      <c r="C35" s="9"/>
      <c r="D35" s="9"/>
      <c r="E35" s="9"/>
      <c r="F35" s="9"/>
      <c r="G35" s="9">
        <f>AVERAGE(37.4,38)</f>
        <v>37.700000000000003</v>
      </c>
      <c r="H35" s="9"/>
      <c r="I35" s="9"/>
      <c r="J35" s="9"/>
      <c r="K35" s="9"/>
      <c r="L35" s="9">
        <f>AVERAGE(42.2,44.4)</f>
        <v>43.3</v>
      </c>
      <c r="M35" s="9"/>
      <c r="N35" s="9"/>
      <c r="O35" s="9"/>
      <c r="P35" s="9">
        <v>50.1</v>
      </c>
      <c r="Q35" s="9"/>
      <c r="R35" s="9"/>
      <c r="S35" s="9"/>
      <c r="T35" s="9"/>
      <c r="U35" s="9"/>
      <c r="V35" s="9"/>
      <c r="W35" s="13"/>
      <c r="X35" s="55">
        <v>400</v>
      </c>
      <c r="Y35" s="23"/>
      <c r="Z35" s="24"/>
      <c r="AA35" s="55"/>
      <c r="AB35" s="23"/>
      <c r="AC35" s="23"/>
      <c r="AD35" s="24"/>
      <c r="AE35" s="55">
        <v>180</v>
      </c>
      <c r="AF35" s="24"/>
      <c r="AG35" s="61"/>
      <c r="AH35" s="53">
        <v>2.8</v>
      </c>
      <c r="AI35" s="53"/>
      <c r="AJ35" s="53"/>
      <c r="AK35" s="53"/>
      <c r="AL35" s="53"/>
      <c r="AM35" s="53"/>
      <c r="AN35" s="62"/>
      <c r="AO35" s="55"/>
      <c r="AP35" s="23">
        <v>820</v>
      </c>
      <c r="AQ35" s="23">
        <v>220</v>
      </c>
      <c r="AR35" s="23">
        <v>720</v>
      </c>
      <c r="AS35" s="24"/>
      <c r="AT35" s="82"/>
      <c r="AU35" s="83"/>
    </row>
    <row r="36" spans="1:47" x14ac:dyDescent="0.15">
      <c r="A36" s="12"/>
      <c r="B36" s="9">
        <v>35.700000000000003</v>
      </c>
      <c r="C36" s="9"/>
      <c r="D36" s="9"/>
      <c r="E36" s="9"/>
      <c r="F36" s="9"/>
      <c r="G36" s="9">
        <v>40.6</v>
      </c>
      <c r="H36" s="9"/>
      <c r="I36" s="9"/>
      <c r="J36" s="9"/>
      <c r="K36" s="9"/>
      <c r="L36" s="9">
        <v>47.1</v>
      </c>
      <c r="M36" s="9"/>
      <c r="N36" s="9"/>
      <c r="O36" s="9"/>
      <c r="P36" s="9">
        <v>51.7</v>
      </c>
      <c r="Q36" s="9"/>
      <c r="R36" s="9"/>
      <c r="S36" s="9"/>
      <c r="T36" s="9"/>
      <c r="U36" s="9"/>
      <c r="V36" s="9">
        <v>54.7</v>
      </c>
      <c r="W36" s="13"/>
      <c r="X36" s="55">
        <v>400</v>
      </c>
      <c r="Y36" s="23"/>
      <c r="Z36" s="24"/>
      <c r="AA36" s="55"/>
      <c r="AB36" s="23"/>
      <c r="AC36" s="23"/>
      <c r="AD36" s="24"/>
      <c r="AE36" s="55">
        <v>90</v>
      </c>
      <c r="AF36" s="24">
        <v>85</v>
      </c>
      <c r="AG36" s="61">
        <v>2.5</v>
      </c>
      <c r="AH36" s="53"/>
      <c r="AI36" s="53"/>
      <c r="AJ36" s="53"/>
      <c r="AK36" s="53"/>
      <c r="AL36" s="53"/>
      <c r="AM36" s="53"/>
      <c r="AN36" s="63">
        <v>2</v>
      </c>
      <c r="AO36" s="55"/>
      <c r="AP36" s="23">
        <v>900</v>
      </c>
      <c r="AQ36" s="23">
        <v>105</v>
      </c>
      <c r="AR36" s="23">
        <v>400</v>
      </c>
      <c r="AS36" s="24">
        <v>390</v>
      </c>
      <c r="AT36" s="82"/>
      <c r="AU36" s="83"/>
    </row>
    <row r="37" spans="1:47" x14ac:dyDescent="0.15">
      <c r="A37" s="12"/>
      <c r="B37" s="9">
        <v>30.9</v>
      </c>
      <c r="C37" s="9"/>
      <c r="D37" s="9"/>
      <c r="E37" s="9"/>
      <c r="F37" s="9"/>
      <c r="G37" s="9">
        <v>38</v>
      </c>
      <c r="H37" s="9"/>
      <c r="I37" s="9"/>
      <c r="J37" s="9"/>
      <c r="K37" s="9"/>
      <c r="L37" s="9">
        <v>43.8</v>
      </c>
      <c r="M37" s="9"/>
      <c r="N37" s="9"/>
      <c r="O37" s="9"/>
      <c r="P37" s="9">
        <v>46.8</v>
      </c>
      <c r="Q37" s="9"/>
      <c r="R37" s="9"/>
      <c r="S37" s="9"/>
      <c r="T37" s="9"/>
      <c r="U37" s="9"/>
      <c r="V37" s="9"/>
      <c r="W37" s="13"/>
      <c r="X37" s="55">
        <v>400</v>
      </c>
      <c r="Y37" s="23"/>
      <c r="Z37" s="24"/>
      <c r="AA37" s="55"/>
      <c r="AB37" s="23"/>
      <c r="AC37" s="23"/>
      <c r="AD37" s="24"/>
      <c r="AE37" s="55">
        <v>90</v>
      </c>
      <c r="AF37" s="24">
        <v>85</v>
      </c>
      <c r="AG37" s="61">
        <v>2.5</v>
      </c>
      <c r="AH37" s="53"/>
      <c r="AI37" s="53"/>
      <c r="AJ37" s="53"/>
      <c r="AK37" s="53"/>
      <c r="AL37" s="53"/>
      <c r="AM37" s="53"/>
      <c r="AN37" s="62">
        <v>2</v>
      </c>
      <c r="AO37" s="55"/>
      <c r="AP37" s="23">
        <v>900</v>
      </c>
      <c r="AQ37" s="23">
        <v>105</v>
      </c>
      <c r="AR37" s="23">
        <v>400</v>
      </c>
      <c r="AS37" s="24">
        <v>390</v>
      </c>
      <c r="AT37" s="82"/>
      <c r="AU37" s="83"/>
    </row>
    <row r="38" spans="1:47" x14ac:dyDescent="0.15">
      <c r="A38" s="12"/>
      <c r="B38" s="9">
        <f>AVERAGE(30.2,31.2,31.7)</f>
        <v>31.033333333333331</v>
      </c>
      <c r="C38" s="9"/>
      <c r="D38" s="9"/>
      <c r="E38" s="9"/>
      <c r="F38" s="9">
        <f>AVERAGE(42.2,43.4,43.8)</f>
        <v>43.133333333333326</v>
      </c>
      <c r="G38" s="9"/>
      <c r="H38" s="9"/>
      <c r="I38" s="9"/>
      <c r="J38" s="9"/>
      <c r="K38" s="9">
        <f>AVERAGE(54.1,57.2,55.4)</f>
        <v>55.56666666666667</v>
      </c>
      <c r="L38" s="9"/>
      <c r="M38" s="9"/>
      <c r="N38" s="9"/>
      <c r="O38" s="9"/>
      <c r="P38" s="9">
        <f>AVERAGE(64.6,66.2,66.3)</f>
        <v>65.7</v>
      </c>
      <c r="Q38" s="9"/>
      <c r="R38" s="9"/>
      <c r="S38" s="9"/>
      <c r="T38" s="9"/>
      <c r="U38" s="9"/>
      <c r="V38" s="9"/>
      <c r="W38" s="13"/>
      <c r="X38" s="55">
        <v>400</v>
      </c>
      <c r="Y38" s="23"/>
      <c r="Z38" s="24"/>
      <c r="AA38" s="55">
        <v>50</v>
      </c>
      <c r="AB38" s="23"/>
      <c r="AC38" s="23"/>
      <c r="AD38" s="24"/>
      <c r="AE38" s="55">
        <v>175</v>
      </c>
      <c r="AF38" s="24"/>
      <c r="AG38" s="61"/>
      <c r="AH38" s="53">
        <v>2.8</v>
      </c>
      <c r="AI38" s="53"/>
      <c r="AJ38" s="53"/>
      <c r="AK38" s="53"/>
      <c r="AL38" s="53"/>
      <c r="AM38" s="53"/>
      <c r="AN38" s="62"/>
      <c r="AO38" s="55"/>
      <c r="AP38" s="23">
        <v>860</v>
      </c>
      <c r="AQ38" s="23">
        <v>160</v>
      </c>
      <c r="AR38" s="23">
        <v>370</v>
      </c>
      <c r="AS38" s="24">
        <v>400</v>
      </c>
      <c r="AT38" s="82"/>
      <c r="AU38" s="83"/>
    </row>
    <row r="39" spans="1:47" x14ac:dyDescent="0.15">
      <c r="A39" s="12"/>
      <c r="B39" s="9">
        <f>AVERAGE(32.6,31.9,31.3)</f>
        <v>31.933333333333334</v>
      </c>
      <c r="C39" s="9"/>
      <c r="D39" s="9"/>
      <c r="E39" s="9"/>
      <c r="F39" s="9">
        <v>41.2</v>
      </c>
      <c r="G39" s="9"/>
      <c r="H39" s="9"/>
      <c r="I39" s="9"/>
      <c r="J39" s="9">
        <f>AVERAGE(47.2,44.9,44.9)</f>
        <v>45.666666666666664</v>
      </c>
      <c r="K39" s="9"/>
      <c r="L39" s="9"/>
      <c r="M39" s="9"/>
      <c r="N39" s="9"/>
      <c r="O39" s="9"/>
      <c r="P39" s="9">
        <v>51.8</v>
      </c>
      <c r="Q39" s="8"/>
      <c r="R39" s="8"/>
      <c r="S39" s="8"/>
      <c r="T39" s="8"/>
      <c r="U39" s="8"/>
      <c r="V39" s="8"/>
      <c r="W39" s="11"/>
      <c r="X39" s="55">
        <v>395</v>
      </c>
      <c r="Y39" s="23"/>
      <c r="Z39" s="24"/>
      <c r="AA39" s="55"/>
      <c r="AB39" s="23"/>
      <c r="AC39" s="23"/>
      <c r="AD39" s="24"/>
      <c r="AE39" s="55">
        <v>167</v>
      </c>
      <c r="AF39" s="24"/>
      <c r="AG39" s="61"/>
      <c r="AH39" s="53">
        <v>2.8</v>
      </c>
      <c r="AI39" s="53">
        <v>0.79</v>
      </c>
      <c r="AJ39" s="53"/>
      <c r="AK39" s="53"/>
      <c r="AL39" s="53"/>
      <c r="AM39" s="53"/>
      <c r="AN39" s="62"/>
      <c r="AO39" s="55"/>
      <c r="AP39" s="23">
        <v>805</v>
      </c>
      <c r="AQ39" s="23">
        <v>190</v>
      </c>
      <c r="AR39" s="23">
        <v>425</v>
      </c>
      <c r="AS39" s="24">
        <v>315</v>
      </c>
      <c r="AT39" s="82"/>
      <c r="AU39" s="83"/>
    </row>
    <row r="40" spans="1:47" x14ac:dyDescent="0.15">
      <c r="A40" s="12"/>
      <c r="B40" s="9">
        <v>31.6</v>
      </c>
      <c r="C40" s="9">
        <v>34.299999999999997</v>
      </c>
      <c r="D40" s="9"/>
      <c r="E40" s="9"/>
      <c r="F40" s="9">
        <v>46</v>
      </c>
      <c r="G40" s="9"/>
      <c r="H40" s="9"/>
      <c r="I40" s="9"/>
      <c r="J40" s="9"/>
      <c r="K40" s="9">
        <f>AVERAGE(54.7,52.4,53.1)</f>
        <v>53.4</v>
      </c>
      <c r="L40" s="9"/>
      <c r="M40" s="9"/>
      <c r="N40" s="9"/>
      <c r="O40" s="9"/>
      <c r="P40" s="9">
        <v>57</v>
      </c>
      <c r="Q40" s="9"/>
      <c r="R40" s="9"/>
      <c r="S40" s="9"/>
      <c r="T40" s="9"/>
      <c r="U40" s="9"/>
      <c r="V40" s="9"/>
      <c r="W40" s="13"/>
      <c r="X40" s="55">
        <v>390</v>
      </c>
      <c r="Y40" s="23"/>
      <c r="Z40" s="24"/>
      <c r="AA40" s="55"/>
      <c r="AB40" s="23"/>
      <c r="AC40" s="23"/>
      <c r="AD40" s="24"/>
      <c r="AE40" s="55">
        <v>160</v>
      </c>
      <c r="AF40" s="24"/>
      <c r="AG40" s="61"/>
      <c r="AH40" s="53">
        <v>3.3</v>
      </c>
      <c r="AI40" s="53">
        <v>0.6</v>
      </c>
      <c r="AJ40" s="53"/>
      <c r="AK40" s="53"/>
      <c r="AL40" s="53"/>
      <c r="AM40" s="53"/>
      <c r="AN40" s="62"/>
      <c r="AO40" s="55"/>
      <c r="AP40" s="23">
        <v>810</v>
      </c>
      <c r="AQ40" s="23"/>
      <c r="AR40" s="23">
        <v>530</v>
      </c>
      <c r="AS40" s="24">
        <v>500</v>
      </c>
      <c r="AT40" s="82"/>
      <c r="AU40" s="83"/>
    </row>
    <row r="41" spans="1:47" x14ac:dyDescent="0.15">
      <c r="A41" s="12"/>
      <c r="B41" s="9">
        <v>24</v>
      </c>
      <c r="C41" s="9">
        <v>31.2</v>
      </c>
      <c r="D41" s="9"/>
      <c r="E41" s="9"/>
      <c r="F41" s="9">
        <v>38.299999999999997</v>
      </c>
      <c r="G41" s="9"/>
      <c r="H41" s="9"/>
      <c r="I41" s="9"/>
      <c r="J41" s="9"/>
      <c r="K41" s="9">
        <f>AVERAGE(50.7,48.6,45.6)</f>
        <v>48.300000000000004</v>
      </c>
      <c r="L41" s="9"/>
      <c r="M41" s="9"/>
      <c r="N41" s="9"/>
      <c r="O41" s="9"/>
      <c r="P41" s="9">
        <v>53.8</v>
      </c>
      <c r="Q41" s="9"/>
      <c r="R41" s="9"/>
      <c r="S41" s="9"/>
      <c r="T41" s="9"/>
      <c r="U41" s="9"/>
      <c r="V41" s="9"/>
      <c r="W41" s="13"/>
      <c r="X41" s="55">
        <v>390</v>
      </c>
      <c r="Y41" s="23"/>
      <c r="Z41" s="24"/>
      <c r="AA41" s="55"/>
      <c r="AB41" s="23"/>
      <c r="AC41" s="23"/>
      <c r="AD41" s="24"/>
      <c r="AE41" s="55">
        <v>160</v>
      </c>
      <c r="AF41" s="24"/>
      <c r="AG41" s="61"/>
      <c r="AH41" s="53">
        <v>3.3</v>
      </c>
      <c r="AI41" s="53">
        <v>0.6</v>
      </c>
      <c r="AJ41" s="53"/>
      <c r="AK41" s="53"/>
      <c r="AL41" s="53"/>
      <c r="AM41" s="53"/>
      <c r="AN41" s="62"/>
      <c r="AO41" s="55"/>
      <c r="AP41" s="23">
        <v>810</v>
      </c>
      <c r="AQ41" s="23"/>
      <c r="AR41" s="23">
        <v>530</v>
      </c>
      <c r="AS41" s="24">
        <v>500</v>
      </c>
      <c r="AT41" s="82">
        <v>1</v>
      </c>
      <c r="AU41" s="83"/>
    </row>
    <row r="42" spans="1:47" x14ac:dyDescent="0.15">
      <c r="A42" s="12"/>
      <c r="B42" s="9">
        <v>28</v>
      </c>
      <c r="C42" s="9">
        <v>33.700000000000003</v>
      </c>
      <c r="D42" s="9"/>
      <c r="E42" s="9"/>
      <c r="F42" s="9">
        <v>41.2</v>
      </c>
      <c r="G42" s="9"/>
      <c r="H42" s="9"/>
      <c r="I42" s="9"/>
      <c r="J42" s="9"/>
      <c r="K42" s="9">
        <f>AVERAGE(46.3,46.2,47.2)</f>
        <v>46.566666666666663</v>
      </c>
      <c r="L42" s="9"/>
      <c r="M42" s="9"/>
      <c r="N42" s="9"/>
      <c r="O42" s="9"/>
      <c r="P42" s="9">
        <v>56.7</v>
      </c>
      <c r="Q42" s="9"/>
      <c r="R42" s="9"/>
      <c r="S42" s="9"/>
      <c r="T42" s="9"/>
      <c r="U42" s="9"/>
      <c r="V42" s="9"/>
      <c r="W42" s="13"/>
      <c r="X42" s="55">
        <v>390</v>
      </c>
      <c r="Y42" s="23"/>
      <c r="Z42" s="24"/>
      <c r="AA42" s="55"/>
      <c r="AB42" s="23"/>
      <c r="AC42" s="23"/>
      <c r="AD42" s="24"/>
      <c r="AE42" s="55">
        <v>160</v>
      </c>
      <c r="AF42" s="24"/>
      <c r="AG42" s="61"/>
      <c r="AH42" s="53">
        <v>3.3</v>
      </c>
      <c r="AI42" s="53">
        <v>0.6</v>
      </c>
      <c r="AJ42" s="53"/>
      <c r="AK42" s="53"/>
      <c r="AL42" s="53"/>
      <c r="AM42" s="53"/>
      <c r="AN42" s="62"/>
      <c r="AO42" s="55"/>
      <c r="AP42" s="23">
        <v>810</v>
      </c>
      <c r="AQ42" s="23"/>
      <c r="AR42" s="23">
        <v>530</v>
      </c>
      <c r="AS42" s="24">
        <v>500</v>
      </c>
      <c r="AT42" s="82">
        <v>1</v>
      </c>
      <c r="AU42" s="83"/>
    </row>
    <row r="43" spans="1:47" x14ac:dyDescent="0.15">
      <c r="A43" s="12"/>
      <c r="B43" s="9">
        <v>24.5</v>
      </c>
      <c r="C43" s="9">
        <v>30.5</v>
      </c>
      <c r="D43" s="9"/>
      <c r="E43" s="9"/>
      <c r="F43" s="9">
        <v>41.1</v>
      </c>
      <c r="G43" s="9"/>
      <c r="H43" s="9"/>
      <c r="I43" s="9"/>
      <c r="J43" s="9"/>
      <c r="K43" s="9">
        <f>AVERAGE(50,41.1,50.5)</f>
        <v>47.199999999999996</v>
      </c>
      <c r="L43" s="9"/>
      <c r="M43" s="9"/>
      <c r="N43" s="9"/>
      <c r="O43" s="9"/>
      <c r="P43" s="9">
        <v>59.2</v>
      </c>
      <c r="Q43" s="9"/>
      <c r="R43" s="9"/>
      <c r="S43" s="9"/>
      <c r="T43" s="9"/>
      <c r="U43" s="9"/>
      <c r="V43" s="9"/>
      <c r="W43" s="13"/>
      <c r="X43" s="55">
        <v>390</v>
      </c>
      <c r="Y43" s="23"/>
      <c r="Z43" s="24"/>
      <c r="AA43" s="55"/>
      <c r="AB43" s="23"/>
      <c r="AC43" s="23"/>
      <c r="AD43" s="24"/>
      <c r="AE43" s="55">
        <v>160</v>
      </c>
      <c r="AF43" s="24"/>
      <c r="AG43" s="61"/>
      <c r="AH43" s="53">
        <v>3.3</v>
      </c>
      <c r="AI43" s="53">
        <v>0.6</v>
      </c>
      <c r="AJ43" s="53"/>
      <c r="AK43" s="53"/>
      <c r="AL43" s="53"/>
      <c r="AM43" s="53"/>
      <c r="AN43" s="62"/>
      <c r="AO43" s="55"/>
      <c r="AP43" s="23">
        <v>810</v>
      </c>
      <c r="AQ43" s="23"/>
      <c r="AR43" s="23">
        <v>530</v>
      </c>
      <c r="AS43" s="24">
        <v>500</v>
      </c>
      <c r="AT43" s="82">
        <v>1</v>
      </c>
      <c r="AU43" s="83"/>
    </row>
    <row r="44" spans="1:47" x14ac:dyDescent="0.15">
      <c r="A44" s="12"/>
      <c r="B44" s="9">
        <f>AVERAGE(28.2,27,27.5)</f>
        <v>27.566666666666666</v>
      </c>
      <c r="C44" s="9"/>
      <c r="D44" s="9"/>
      <c r="E44" s="9"/>
      <c r="F44" s="9">
        <f>AVERAGE(38.1,37.2,36.5)</f>
        <v>37.266666666666673</v>
      </c>
      <c r="G44" s="9"/>
      <c r="H44" s="9"/>
      <c r="I44" s="9"/>
      <c r="J44" s="9"/>
      <c r="K44" s="9">
        <f>AVERAGE(44.8,46.4,46.1)</f>
        <v>45.766666666666659</v>
      </c>
      <c r="L44" s="9"/>
      <c r="M44" s="9"/>
      <c r="N44" s="9"/>
      <c r="O44" s="9"/>
      <c r="P44" s="9">
        <v>58.4</v>
      </c>
      <c r="Q44" s="9"/>
      <c r="R44" s="9"/>
      <c r="S44" s="9"/>
      <c r="T44" s="9"/>
      <c r="U44" s="9"/>
      <c r="V44" s="9"/>
      <c r="W44" s="13"/>
      <c r="X44" s="55">
        <v>390</v>
      </c>
      <c r="Y44" s="23"/>
      <c r="Z44" s="24"/>
      <c r="AA44" s="55"/>
      <c r="AB44" s="23"/>
      <c r="AC44" s="23"/>
      <c r="AD44" s="24"/>
      <c r="AE44" s="55">
        <v>180</v>
      </c>
      <c r="AF44" s="24"/>
      <c r="AG44" s="61"/>
      <c r="AH44" s="53">
        <v>2.9</v>
      </c>
      <c r="AI44" s="53">
        <v>0.55000000000000004</v>
      </c>
      <c r="AJ44" s="53"/>
      <c r="AK44" s="53"/>
      <c r="AL44" s="53"/>
      <c r="AM44" s="53"/>
      <c r="AN44" s="62"/>
      <c r="AO44" s="55"/>
      <c r="AP44" s="23">
        <v>880</v>
      </c>
      <c r="AQ44" s="23">
        <v>165</v>
      </c>
      <c r="AR44" s="23">
        <v>780</v>
      </c>
      <c r="AS44" s="24"/>
      <c r="AT44" s="82"/>
      <c r="AU44" s="83"/>
    </row>
    <row r="45" spans="1:47" x14ac:dyDescent="0.15">
      <c r="A45" s="12"/>
      <c r="B45" s="9">
        <f>AVERAGE(39.3,39.9,38.4)</f>
        <v>39.199999999999996</v>
      </c>
      <c r="C45" s="9"/>
      <c r="D45" s="9"/>
      <c r="E45" s="9"/>
      <c r="F45" s="9">
        <f>AVERAGE(47.9,48.1,45.6)</f>
        <v>47.199999999999996</v>
      </c>
      <c r="G45" s="9"/>
      <c r="H45" s="9"/>
      <c r="I45" s="9"/>
      <c r="J45" s="9"/>
      <c r="K45" s="9">
        <f>AVERAGE(56,54.7,51.2)</f>
        <v>53.966666666666669</v>
      </c>
      <c r="L45" s="9"/>
      <c r="M45" s="9"/>
      <c r="N45" s="9"/>
      <c r="O45" s="9"/>
      <c r="P45" s="9">
        <v>69.599999999999994</v>
      </c>
      <c r="Q45" s="9"/>
      <c r="R45" s="9"/>
      <c r="S45" s="9"/>
      <c r="T45" s="9"/>
      <c r="U45" s="9"/>
      <c r="V45" s="9"/>
      <c r="W45" s="13"/>
      <c r="X45" s="55">
        <v>390</v>
      </c>
      <c r="Y45" s="23"/>
      <c r="Z45" s="24"/>
      <c r="AA45" s="55"/>
      <c r="AB45" s="23"/>
      <c r="AC45" s="23"/>
      <c r="AD45" s="24"/>
      <c r="AE45" s="55">
        <v>160</v>
      </c>
      <c r="AF45" s="24"/>
      <c r="AG45" s="61"/>
      <c r="AH45" s="53">
        <v>3.6</v>
      </c>
      <c r="AI45" s="53">
        <v>0.12</v>
      </c>
      <c r="AJ45" s="53"/>
      <c r="AK45" s="53"/>
      <c r="AL45" s="53"/>
      <c r="AM45" s="53"/>
      <c r="AN45" s="62"/>
      <c r="AO45" s="55"/>
      <c r="AP45" s="23">
        <v>935</v>
      </c>
      <c r="AQ45" s="23">
        <v>180</v>
      </c>
      <c r="AR45" s="23">
        <v>675</v>
      </c>
      <c r="AS45" s="24"/>
      <c r="AT45" s="82"/>
      <c r="AU45" s="83"/>
    </row>
    <row r="46" spans="1:47" x14ac:dyDescent="0.15">
      <c r="A46" s="12">
        <v>14.1</v>
      </c>
      <c r="B46" s="9">
        <v>24.7</v>
      </c>
      <c r="C46" s="9"/>
      <c r="D46" s="9"/>
      <c r="E46" s="9"/>
      <c r="F46" s="9">
        <v>36.700000000000003</v>
      </c>
      <c r="G46" s="9"/>
      <c r="H46" s="9"/>
      <c r="I46" s="9"/>
      <c r="J46" s="9"/>
      <c r="K46" s="9">
        <v>44.8</v>
      </c>
      <c r="L46" s="9"/>
      <c r="M46" s="9"/>
      <c r="N46" s="9"/>
      <c r="O46" s="9"/>
      <c r="P46" s="9">
        <v>53.9</v>
      </c>
      <c r="Q46" s="9"/>
      <c r="R46" s="9"/>
      <c r="S46" s="9"/>
      <c r="T46" s="9"/>
      <c r="U46" s="9"/>
      <c r="V46" s="9"/>
      <c r="W46" s="13"/>
      <c r="X46" s="55">
        <v>390</v>
      </c>
      <c r="Y46" s="23"/>
      <c r="Z46" s="24"/>
      <c r="AA46" s="55"/>
      <c r="AB46" s="23">
        <v>140</v>
      </c>
      <c r="AC46" s="23"/>
      <c r="AD46" s="24"/>
      <c r="AE46" s="55">
        <v>190</v>
      </c>
      <c r="AF46" s="24"/>
      <c r="AG46" s="61"/>
      <c r="AH46" s="53">
        <v>3.5</v>
      </c>
      <c r="AI46" s="53">
        <v>0.15</v>
      </c>
      <c r="AJ46" s="53"/>
      <c r="AK46" s="53"/>
      <c r="AL46" s="53">
        <v>6</v>
      </c>
      <c r="AM46" s="53"/>
      <c r="AN46" s="62"/>
      <c r="AO46" s="55"/>
      <c r="AP46" s="23">
        <v>900</v>
      </c>
      <c r="AQ46" s="23">
        <v>600</v>
      </c>
      <c r="AR46" s="23"/>
      <c r="AS46" s="24"/>
      <c r="AT46" s="82"/>
      <c r="AU46" s="83"/>
    </row>
    <row r="47" spans="1:47" x14ac:dyDescent="0.15">
      <c r="A47" s="12"/>
      <c r="B47" s="9">
        <f>AVERAGE(31.5,33.2,32)</f>
        <v>32.233333333333334</v>
      </c>
      <c r="C47" s="9"/>
      <c r="D47" s="9"/>
      <c r="E47" s="9"/>
      <c r="F47" s="9">
        <f>AVERAGE(41.1,42,43.6)</f>
        <v>42.233333333333327</v>
      </c>
      <c r="G47" s="9"/>
      <c r="H47" s="9"/>
      <c r="I47" s="9"/>
      <c r="J47" s="9"/>
      <c r="K47" s="9">
        <f>AVERAGE(49.8,51.2,51.8)</f>
        <v>50.933333333333337</v>
      </c>
      <c r="L47" s="9"/>
      <c r="M47" s="9"/>
      <c r="N47" s="9"/>
      <c r="O47" s="9"/>
      <c r="P47" s="9">
        <f>AVERAGE(53.8,54.8,54.1)</f>
        <v>54.233333333333327</v>
      </c>
      <c r="Q47" s="9"/>
      <c r="R47" s="9"/>
      <c r="S47" s="9"/>
      <c r="T47" s="9"/>
      <c r="U47" s="9"/>
      <c r="V47" s="9"/>
      <c r="W47" s="13"/>
      <c r="X47" s="55">
        <v>390</v>
      </c>
      <c r="Y47" s="23"/>
      <c r="Z47" s="24"/>
      <c r="AA47" s="55"/>
      <c r="AB47" s="23"/>
      <c r="AC47" s="23"/>
      <c r="AD47" s="24"/>
      <c r="AE47" s="55">
        <v>170</v>
      </c>
      <c r="AF47" s="24"/>
      <c r="AG47" s="61"/>
      <c r="AH47" s="53">
        <v>3.2</v>
      </c>
      <c r="AI47" s="53">
        <v>0.25</v>
      </c>
      <c r="AJ47" s="53"/>
      <c r="AK47" s="53"/>
      <c r="AL47" s="53"/>
      <c r="AM47" s="53"/>
      <c r="AN47" s="62"/>
      <c r="AO47" s="55"/>
      <c r="AP47" s="23">
        <v>925</v>
      </c>
      <c r="AQ47" s="23"/>
      <c r="AR47" s="23">
        <v>450</v>
      </c>
      <c r="AS47" s="24">
        <v>410</v>
      </c>
      <c r="AT47" s="82"/>
      <c r="AU47" s="83"/>
    </row>
    <row r="48" spans="1:47" x14ac:dyDescent="0.15">
      <c r="A48" s="12"/>
      <c r="B48" s="9">
        <v>27.2</v>
      </c>
      <c r="C48" s="9"/>
      <c r="D48" s="9"/>
      <c r="E48" s="9"/>
      <c r="F48" s="9">
        <v>42.8</v>
      </c>
      <c r="G48" s="9"/>
      <c r="H48" s="9"/>
      <c r="I48" s="9"/>
      <c r="J48" s="9"/>
      <c r="K48" s="9">
        <v>51.3</v>
      </c>
      <c r="L48" s="9"/>
      <c r="M48" s="9"/>
      <c r="N48" s="9"/>
      <c r="O48" s="9"/>
      <c r="P48" s="9">
        <v>58.3</v>
      </c>
      <c r="Q48" s="8"/>
      <c r="R48" s="8"/>
      <c r="S48" s="8"/>
      <c r="T48" s="8"/>
      <c r="U48" s="8"/>
      <c r="V48" s="8"/>
      <c r="W48" s="11"/>
      <c r="X48" s="55">
        <v>380</v>
      </c>
      <c r="Y48" s="23"/>
      <c r="Z48" s="24"/>
      <c r="AA48" s="55"/>
      <c r="AB48" s="23"/>
      <c r="AC48" s="23"/>
      <c r="AD48" s="24"/>
      <c r="AE48" s="55">
        <v>135</v>
      </c>
      <c r="AF48" s="24">
        <v>55</v>
      </c>
      <c r="AG48" s="61">
        <v>1.9</v>
      </c>
      <c r="AH48" s="53">
        <v>1.1000000000000001</v>
      </c>
      <c r="AI48" s="53"/>
      <c r="AJ48" s="53"/>
      <c r="AK48" s="53"/>
      <c r="AL48" s="53"/>
      <c r="AM48" s="53"/>
      <c r="AN48" s="62"/>
      <c r="AO48" s="55"/>
      <c r="AP48" s="23">
        <v>885</v>
      </c>
      <c r="AQ48" s="23">
        <v>140</v>
      </c>
      <c r="AR48" s="23">
        <v>430</v>
      </c>
      <c r="AS48" s="24">
        <v>315</v>
      </c>
      <c r="AT48" s="82"/>
      <c r="AU48" s="83"/>
    </row>
    <row r="49" spans="1:47" x14ac:dyDescent="0.15">
      <c r="A49" s="12"/>
      <c r="B49" s="9">
        <f>AVERAGE(35.8,34.9)</f>
        <v>35.349999999999994</v>
      </c>
      <c r="C49" s="9"/>
      <c r="D49" s="9"/>
      <c r="E49" s="9"/>
      <c r="F49" s="9"/>
      <c r="G49" s="9">
        <f>AVERAGE(43.7,42.9)</f>
        <v>43.3</v>
      </c>
      <c r="H49" s="9"/>
      <c r="I49" s="9"/>
      <c r="J49" s="9"/>
      <c r="K49" s="9"/>
      <c r="L49" s="9">
        <f>AVERAGE(50.8,50.8)</f>
        <v>50.8</v>
      </c>
      <c r="M49" s="9"/>
      <c r="N49" s="9"/>
      <c r="O49" s="9"/>
      <c r="P49" s="9">
        <v>57.1</v>
      </c>
      <c r="Q49" s="9"/>
      <c r="R49" s="9"/>
      <c r="S49" s="9"/>
      <c r="T49" s="9"/>
      <c r="U49" s="9"/>
      <c r="V49" s="9"/>
      <c r="W49" s="13"/>
      <c r="X49" s="55">
        <v>380</v>
      </c>
      <c r="Y49" s="23"/>
      <c r="Z49" s="24"/>
      <c r="AA49" s="55"/>
      <c r="AB49" s="23"/>
      <c r="AC49" s="23"/>
      <c r="AD49" s="24"/>
      <c r="AE49" s="55">
        <v>180</v>
      </c>
      <c r="AF49" s="24"/>
      <c r="AG49" s="61"/>
      <c r="AH49" s="53">
        <v>2.2999999999999998</v>
      </c>
      <c r="AI49" s="53"/>
      <c r="AJ49" s="53"/>
      <c r="AK49" s="53"/>
      <c r="AL49" s="53"/>
      <c r="AM49" s="53"/>
      <c r="AN49" s="62"/>
      <c r="AO49" s="55"/>
      <c r="AP49" s="23">
        <v>870</v>
      </c>
      <c r="AQ49" s="23">
        <v>220</v>
      </c>
      <c r="AR49" s="23">
        <v>700</v>
      </c>
      <c r="AS49" s="24"/>
      <c r="AT49" s="82"/>
      <c r="AU49" s="83"/>
    </row>
    <row r="50" spans="1:47" x14ac:dyDescent="0.15">
      <c r="A50" s="12"/>
      <c r="B50" s="9">
        <f>AVERAGE(37.4,37.5)</f>
        <v>37.450000000000003</v>
      </c>
      <c r="C50" s="9"/>
      <c r="D50" s="9"/>
      <c r="E50" s="9"/>
      <c r="F50" s="9"/>
      <c r="G50" s="9">
        <f>AVERAGE(44.6,44.7)</f>
        <v>44.650000000000006</v>
      </c>
      <c r="H50" s="9"/>
      <c r="I50" s="9"/>
      <c r="J50" s="9"/>
      <c r="K50" s="9"/>
      <c r="L50" s="9">
        <f>AVERAGE(50.4,52.2)</f>
        <v>51.3</v>
      </c>
      <c r="M50" s="9"/>
      <c r="N50" s="9"/>
      <c r="O50" s="9"/>
      <c r="P50" s="9">
        <v>60.6</v>
      </c>
      <c r="Q50" s="9"/>
      <c r="R50" s="9"/>
      <c r="S50" s="9"/>
      <c r="T50" s="9"/>
      <c r="U50" s="9"/>
      <c r="V50" s="9"/>
      <c r="W50" s="13"/>
      <c r="X50" s="55">
        <v>380</v>
      </c>
      <c r="Y50" s="23"/>
      <c r="Z50" s="24"/>
      <c r="AA50" s="55"/>
      <c r="AB50" s="23"/>
      <c r="AC50" s="23"/>
      <c r="AD50" s="24"/>
      <c r="AE50" s="55">
        <v>180</v>
      </c>
      <c r="AF50" s="24"/>
      <c r="AG50" s="61"/>
      <c r="AH50" s="53">
        <v>2.2999999999999998</v>
      </c>
      <c r="AI50" s="53"/>
      <c r="AJ50" s="53"/>
      <c r="AK50" s="53"/>
      <c r="AL50" s="53"/>
      <c r="AM50" s="53"/>
      <c r="AN50" s="62"/>
      <c r="AO50" s="55"/>
      <c r="AP50" s="23">
        <v>870</v>
      </c>
      <c r="AQ50" s="23">
        <v>220</v>
      </c>
      <c r="AR50" s="23">
        <v>700</v>
      </c>
      <c r="AS50" s="24"/>
      <c r="AT50" s="82"/>
      <c r="AU50" s="83"/>
    </row>
    <row r="51" spans="1:47" x14ac:dyDescent="0.15">
      <c r="A51" s="12"/>
      <c r="B51" s="9">
        <f>AVERAGE(33.2,33.7)</f>
        <v>33.450000000000003</v>
      </c>
      <c r="C51" s="9"/>
      <c r="D51" s="9"/>
      <c r="E51" s="9"/>
      <c r="F51" s="9"/>
      <c r="G51" s="9">
        <f>AVERAGE(40.8,39.9)</f>
        <v>40.349999999999994</v>
      </c>
      <c r="H51" s="9"/>
      <c r="I51" s="9"/>
      <c r="J51" s="9"/>
      <c r="K51" s="9"/>
      <c r="L51" s="9">
        <f>AVERAGE(46.9,47.2)</f>
        <v>47.05</v>
      </c>
      <c r="M51" s="9"/>
      <c r="N51" s="9"/>
      <c r="O51" s="9"/>
      <c r="P51" s="9">
        <v>54.7</v>
      </c>
      <c r="Q51" s="9"/>
      <c r="R51" s="9"/>
      <c r="S51" s="9"/>
      <c r="T51" s="9"/>
      <c r="U51" s="9"/>
      <c r="V51" s="9"/>
      <c r="W51" s="13"/>
      <c r="X51" s="55">
        <v>380</v>
      </c>
      <c r="Y51" s="23"/>
      <c r="Z51" s="24"/>
      <c r="AA51" s="55"/>
      <c r="AB51" s="23"/>
      <c r="AC51" s="23"/>
      <c r="AD51" s="24"/>
      <c r="AE51" s="55">
        <v>180</v>
      </c>
      <c r="AF51" s="24"/>
      <c r="AG51" s="61"/>
      <c r="AH51" s="53">
        <v>2.2999999999999998</v>
      </c>
      <c r="AI51" s="53"/>
      <c r="AJ51" s="53"/>
      <c r="AK51" s="53"/>
      <c r="AL51" s="53"/>
      <c r="AM51" s="53"/>
      <c r="AN51" s="62"/>
      <c r="AO51" s="55"/>
      <c r="AP51" s="23">
        <v>870</v>
      </c>
      <c r="AQ51" s="23">
        <v>220</v>
      </c>
      <c r="AR51" s="23">
        <v>700</v>
      </c>
      <c r="AS51" s="24"/>
      <c r="AT51" s="82"/>
      <c r="AU51" s="83"/>
    </row>
    <row r="52" spans="1:47" x14ac:dyDescent="0.15">
      <c r="A52" s="12"/>
      <c r="B52" s="9">
        <f>AVERAGE(31.7,30.3)</f>
        <v>31</v>
      </c>
      <c r="C52" s="9"/>
      <c r="D52" s="9"/>
      <c r="E52" s="9"/>
      <c r="F52" s="9"/>
      <c r="G52" s="9">
        <f>AVERAGE(38.3,39.2)</f>
        <v>38.75</v>
      </c>
      <c r="H52" s="9"/>
      <c r="I52" s="9"/>
      <c r="J52" s="9"/>
      <c r="K52" s="9"/>
      <c r="L52" s="9">
        <f>AVERAGE(45.9,47.1)</f>
        <v>46.5</v>
      </c>
      <c r="M52" s="9"/>
      <c r="N52" s="9"/>
      <c r="O52" s="9"/>
      <c r="P52" s="9">
        <v>55.2</v>
      </c>
      <c r="Q52" s="9"/>
      <c r="R52" s="9"/>
      <c r="S52" s="9"/>
      <c r="T52" s="9"/>
      <c r="U52" s="9"/>
      <c r="V52" s="9"/>
      <c r="W52" s="13"/>
      <c r="X52" s="55">
        <v>380</v>
      </c>
      <c r="Y52" s="23"/>
      <c r="Z52" s="24"/>
      <c r="AA52" s="55"/>
      <c r="AB52" s="23"/>
      <c r="AC52" s="23"/>
      <c r="AD52" s="24"/>
      <c r="AE52" s="55">
        <v>180</v>
      </c>
      <c r="AF52" s="24"/>
      <c r="AG52" s="61"/>
      <c r="AH52" s="53">
        <v>2.2999999999999998</v>
      </c>
      <c r="AI52" s="53"/>
      <c r="AJ52" s="53"/>
      <c r="AK52" s="53"/>
      <c r="AL52" s="53"/>
      <c r="AM52" s="53"/>
      <c r="AN52" s="62"/>
      <c r="AO52" s="55"/>
      <c r="AP52" s="23">
        <v>870</v>
      </c>
      <c r="AQ52" s="23">
        <v>220</v>
      </c>
      <c r="AR52" s="23">
        <v>700</v>
      </c>
      <c r="AS52" s="24"/>
      <c r="AT52" s="82"/>
      <c r="AU52" s="83"/>
    </row>
    <row r="53" spans="1:47" x14ac:dyDescent="0.15">
      <c r="A53" s="10"/>
      <c r="B53" s="8">
        <v>18.899999999999999</v>
      </c>
      <c r="C53" s="8"/>
      <c r="D53" s="8"/>
      <c r="E53" s="8"/>
      <c r="F53" s="8">
        <f>AVERAGE(36.4,33.2)</f>
        <v>34.799999999999997</v>
      </c>
      <c r="G53" s="8"/>
      <c r="H53" s="8"/>
      <c r="I53" s="8"/>
      <c r="J53" s="8"/>
      <c r="K53" s="8">
        <f>AVERAGE(42.3,36.4)</f>
        <v>39.349999999999994</v>
      </c>
      <c r="L53" s="8"/>
      <c r="M53" s="8"/>
      <c r="N53" s="8"/>
      <c r="O53" s="8"/>
      <c r="P53" s="8">
        <v>40.4</v>
      </c>
      <c r="Q53" s="8"/>
      <c r="R53" s="8"/>
      <c r="S53" s="8"/>
      <c r="T53" s="8"/>
      <c r="U53" s="8"/>
      <c r="V53" s="8"/>
      <c r="W53" s="11"/>
      <c r="X53" s="55">
        <v>375</v>
      </c>
      <c r="Y53" s="23"/>
      <c r="Z53" s="24"/>
      <c r="AA53" s="55"/>
      <c r="AB53" s="23"/>
      <c r="AC53" s="23"/>
      <c r="AD53" s="24"/>
      <c r="AE53" s="55">
        <v>175</v>
      </c>
      <c r="AF53" s="24"/>
      <c r="AG53" s="61"/>
      <c r="AH53" s="53">
        <v>2.81</v>
      </c>
      <c r="AI53" s="53"/>
      <c r="AJ53" s="53"/>
      <c r="AK53" s="53"/>
      <c r="AL53" s="53"/>
      <c r="AM53" s="53"/>
      <c r="AN53" s="62"/>
      <c r="AO53" s="55"/>
      <c r="AP53" s="23">
        <v>810</v>
      </c>
      <c r="AQ53" s="23">
        <v>185</v>
      </c>
      <c r="AR53" s="23">
        <v>440</v>
      </c>
      <c r="AS53" s="24">
        <v>375</v>
      </c>
      <c r="AT53" s="82"/>
      <c r="AU53" s="83"/>
    </row>
    <row r="54" spans="1:47" x14ac:dyDescent="0.15">
      <c r="A54" s="12"/>
      <c r="B54" s="9">
        <f>AVERAGE(18.6,19.5,19)</f>
        <v>19.033333333333335</v>
      </c>
      <c r="C54" s="9"/>
      <c r="D54" s="9"/>
      <c r="E54" s="9"/>
      <c r="F54" s="9">
        <f>AVERAGE(27.3,29.2,29.2)</f>
        <v>28.566666666666666</v>
      </c>
      <c r="G54" s="9"/>
      <c r="H54" s="9"/>
      <c r="I54" s="9"/>
      <c r="J54" s="9"/>
      <c r="K54" s="9">
        <f>AVERAGE(38.5,37.9,37)</f>
        <v>37.800000000000004</v>
      </c>
      <c r="L54" s="9"/>
      <c r="M54" s="9"/>
      <c r="N54" s="9"/>
      <c r="O54" s="9"/>
      <c r="P54" s="9">
        <f>AVERAGE(48.5,47,45.8)</f>
        <v>47.1</v>
      </c>
      <c r="Q54" s="9"/>
      <c r="R54" s="9"/>
      <c r="S54" s="9"/>
      <c r="T54" s="9"/>
      <c r="U54" s="9"/>
      <c r="V54" s="9"/>
      <c r="W54" s="13"/>
      <c r="X54" s="55">
        <v>375</v>
      </c>
      <c r="Y54" s="23"/>
      <c r="Z54" s="24"/>
      <c r="AA54" s="55">
        <v>40</v>
      </c>
      <c r="AB54" s="23"/>
      <c r="AC54" s="23"/>
      <c r="AD54" s="24"/>
      <c r="AE54" s="55">
        <v>190</v>
      </c>
      <c r="AF54" s="24"/>
      <c r="AG54" s="61">
        <v>3.7</v>
      </c>
      <c r="AH54" s="53"/>
      <c r="AI54" s="53"/>
      <c r="AJ54" s="53"/>
      <c r="AK54" s="53"/>
      <c r="AL54" s="53"/>
      <c r="AM54" s="53"/>
      <c r="AN54" s="62"/>
      <c r="AO54" s="55"/>
      <c r="AP54" s="23">
        <v>900</v>
      </c>
      <c r="AQ54" s="23"/>
      <c r="AR54" s="23">
        <v>460</v>
      </c>
      <c r="AS54" s="24">
        <v>400</v>
      </c>
      <c r="AT54" s="82"/>
      <c r="AU54" s="83"/>
    </row>
    <row r="55" spans="1:47" x14ac:dyDescent="0.15">
      <c r="A55" s="12"/>
      <c r="B55" s="9"/>
      <c r="C55" s="9">
        <v>27.2</v>
      </c>
      <c r="D55" s="9"/>
      <c r="E55" s="9"/>
      <c r="F55" s="9">
        <v>32.299999999999997</v>
      </c>
      <c r="G55" s="9"/>
      <c r="H55" s="9"/>
      <c r="I55" s="9"/>
      <c r="J55" s="9"/>
      <c r="K55" s="9">
        <f>AVERAGE(42,40.1,40.8)</f>
        <v>40.966666666666661</v>
      </c>
      <c r="L55" s="9"/>
      <c r="M55" s="9"/>
      <c r="N55" s="9"/>
      <c r="O55" s="9"/>
      <c r="P55" s="9">
        <v>46.5</v>
      </c>
      <c r="Q55" s="9"/>
      <c r="R55" s="9"/>
      <c r="S55" s="9"/>
      <c r="T55" s="9"/>
      <c r="U55" s="9"/>
      <c r="V55" s="9"/>
      <c r="W55" s="13"/>
      <c r="X55" s="55">
        <v>370</v>
      </c>
      <c r="Y55" s="23"/>
      <c r="Z55" s="24"/>
      <c r="AA55" s="55"/>
      <c r="AB55" s="23"/>
      <c r="AC55" s="23"/>
      <c r="AD55" s="24"/>
      <c r="AE55" s="55">
        <v>175</v>
      </c>
      <c r="AF55" s="24">
        <v>15</v>
      </c>
      <c r="AG55" s="61">
        <v>2.2000000000000002</v>
      </c>
      <c r="AH55" s="53"/>
      <c r="AI55" s="53"/>
      <c r="AJ55" s="53"/>
      <c r="AK55" s="53"/>
      <c r="AL55" s="53"/>
      <c r="AM55" s="53"/>
      <c r="AN55" s="62"/>
      <c r="AO55" s="55"/>
      <c r="AP55" s="23">
        <v>880</v>
      </c>
      <c r="AQ55" s="23">
        <v>120</v>
      </c>
      <c r="AR55" s="23">
        <v>800</v>
      </c>
      <c r="AS55" s="24"/>
      <c r="AT55" s="82"/>
      <c r="AU55" s="83"/>
    </row>
    <row r="56" spans="1:47" x14ac:dyDescent="0.15">
      <c r="A56" s="12"/>
      <c r="B56" s="9"/>
      <c r="C56" s="9">
        <v>32.6</v>
      </c>
      <c r="D56" s="9"/>
      <c r="E56" s="9"/>
      <c r="F56" s="9">
        <v>38.299999999999997</v>
      </c>
      <c r="G56" s="9"/>
      <c r="H56" s="9"/>
      <c r="I56" s="9"/>
      <c r="J56" s="9"/>
      <c r="K56" s="9">
        <f>AVERAGE(46.8,45.5,47.2)</f>
        <v>46.5</v>
      </c>
      <c r="L56" s="9"/>
      <c r="M56" s="9"/>
      <c r="N56" s="9"/>
      <c r="O56" s="9"/>
      <c r="P56" s="9">
        <v>55.1</v>
      </c>
      <c r="Q56" s="9"/>
      <c r="R56" s="9"/>
      <c r="S56" s="9"/>
      <c r="T56" s="9"/>
      <c r="U56" s="9"/>
      <c r="V56" s="9"/>
      <c r="W56" s="13"/>
      <c r="X56" s="55">
        <v>370</v>
      </c>
      <c r="Y56" s="23"/>
      <c r="Z56" s="24"/>
      <c r="AA56" s="55"/>
      <c r="AB56" s="23"/>
      <c r="AC56" s="23"/>
      <c r="AD56" s="24"/>
      <c r="AE56" s="55">
        <v>175</v>
      </c>
      <c r="AF56" s="24">
        <v>15</v>
      </c>
      <c r="AG56" s="61">
        <v>2.2000000000000002</v>
      </c>
      <c r="AH56" s="53"/>
      <c r="AI56" s="53"/>
      <c r="AJ56" s="53"/>
      <c r="AK56" s="53"/>
      <c r="AL56" s="53"/>
      <c r="AM56" s="53"/>
      <c r="AN56" s="62"/>
      <c r="AO56" s="55"/>
      <c r="AP56" s="23">
        <v>880</v>
      </c>
      <c r="AQ56" s="23">
        <v>120</v>
      </c>
      <c r="AR56" s="23">
        <v>800</v>
      </c>
      <c r="AS56" s="24"/>
      <c r="AT56" s="82"/>
      <c r="AU56" s="83"/>
    </row>
    <row r="57" spans="1:47" x14ac:dyDescent="0.15">
      <c r="A57" s="12">
        <v>9.4</v>
      </c>
      <c r="B57" s="9">
        <v>21.3</v>
      </c>
      <c r="C57" s="9"/>
      <c r="D57" s="9"/>
      <c r="E57" s="9"/>
      <c r="F57" s="9">
        <v>36.299999999999997</v>
      </c>
      <c r="G57" s="9"/>
      <c r="H57" s="9"/>
      <c r="I57" s="9"/>
      <c r="J57" s="9"/>
      <c r="K57" s="9"/>
      <c r="L57" s="9">
        <v>43.9</v>
      </c>
      <c r="M57" s="9"/>
      <c r="N57" s="9"/>
      <c r="O57" s="9"/>
      <c r="P57" s="9">
        <v>52.9</v>
      </c>
      <c r="Q57" s="9"/>
      <c r="R57" s="9"/>
      <c r="S57" s="9"/>
      <c r="T57" s="9"/>
      <c r="U57" s="9"/>
      <c r="V57" s="9"/>
      <c r="W57" s="13"/>
      <c r="X57" s="55">
        <v>370</v>
      </c>
      <c r="Y57" s="23"/>
      <c r="Z57" s="24"/>
      <c r="AA57" s="55"/>
      <c r="AB57" s="23"/>
      <c r="AC57" s="23"/>
      <c r="AD57" s="24"/>
      <c r="AE57" s="55">
        <v>100</v>
      </c>
      <c r="AF57" s="24">
        <v>75</v>
      </c>
      <c r="AG57" s="61"/>
      <c r="AH57" s="53">
        <v>2.2999999999999998</v>
      </c>
      <c r="AI57" s="53"/>
      <c r="AJ57" s="53"/>
      <c r="AK57" s="53"/>
      <c r="AL57" s="53"/>
      <c r="AM57" s="53"/>
      <c r="AN57" s="62"/>
      <c r="AO57" s="55"/>
      <c r="AP57" s="23">
        <v>850</v>
      </c>
      <c r="AQ57" s="23">
        <v>130</v>
      </c>
      <c r="AR57" s="23">
        <v>420</v>
      </c>
      <c r="AS57" s="24">
        <v>350</v>
      </c>
      <c r="AT57" s="82"/>
      <c r="AU57" s="83"/>
    </row>
    <row r="58" spans="1:47" x14ac:dyDescent="0.15">
      <c r="A58" s="12"/>
      <c r="B58" s="9">
        <f>AVERAGE(30,31.6,31.3)</f>
        <v>30.966666666666669</v>
      </c>
      <c r="C58" s="9"/>
      <c r="D58" s="9"/>
      <c r="E58" s="9"/>
      <c r="F58" s="9">
        <f>AVERAGE(43.8,42.8,42.2)</f>
        <v>42.933333333333337</v>
      </c>
      <c r="G58" s="9"/>
      <c r="H58" s="9"/>
      <c r="I58" s="9"/>
      <c r="J58" s="9"/>
      <c r="K58" s="9">
        <f>AVERAGE(51.9,51.9,50)</f>
        <v>51.266666666666673</v>
      </c>
      <c r="L58" s="9"/>
      <c r="M58" s="9"/>
      <c r="N58" s="9"/>
      <c r="O58" s="9"/>
      <c r="P58" s="9">
        <v>63.4</v>
      </c>
      <c r="Q58" s="9"/>
      <c r="R58" s="9"/>
      <c r="S58" s="9"/>
      <c r="T58" s="9"/>
      <c r="U58" s="9"/>
      <c r="V58" s="9"/>
      <c r="W58" s="13"/>
      <c r="X58" s="55">
        <v>360</v>
      </c>
      <c r="Y58" s="23"/>
      <c r="Z58" s="24"/>
      <c r="AA58" s="55"/>
      <c r="AB58" s="23"/>
      <c r="AC58" s="23"/>
      <c r="AD58" s="24"/>
      <c r="AE58" s="55">
        <v>160</v>
      </c>
      <c r="AF58" s="24"/>
      <c r="AG58" s="61"/>
      <c r="AH58" s="53">
        <v>2.5</v>
      </c>
      <c r="AI58" s="53"/>
      <c r="AJ58" s="53"/>
      <c r="AK58" s="53"/>
      <c r="AL58" s="53"/>
      <c r="AM58" s="53"/>
      <c r="AN58" s="62"/>
      <c r="AO58" s="55"/>
      <c r="AP58" s="23">
        <v>790</v>
      </c>
      <c r="AQ58" s="23">
        <v>180</v>
      </c>
      <c r="AR58" s="23">
        <v>840</v>
      </c>
      <c r="AS58" s="24"/>
      <c r="AT58" s="82"/>
      <c r="AU58" s="83"/>
    </row>
    <row r="59" spans="1:47" x14ac:dyDescent="0.15">
      <c r="A59" s="12"/>
      <c r="B59" s="9">
        <f>AVERAGE(28.6,29.2,28.1)</f>
        <v>28.633333333333336</v>
      </c>
      <c r="C59" s="9"/>
      <c r="D59" s="9"/>
      <c r="E59" s="9"/>
      <c r="F59" s="9">
        <f>AVERAGE(42.6,42.6,43.2)</f>
        <v>42.800000000000004</v>
      </c>
      <c r="G59" s="9"/>
      <c r="H59" s="9"/>
      <c r="I59" s="9"/>
      <c r="J59" s="9"/>
      <c r="K59" s="9">
        <f>AVERAGE(49.9,49.2,48.9)</f>
        <v>49.333333333333336</v>
      </c>
      <c r="L59" s="9"/>
      <c r="M59" s="9"/>
      <c r="N59" s="9"/>
      <c r="O59" s="9"/>
      <c r="P59" s="9">
        <v>59.5</v>
      </c>
      <c r="Q59" s="9"/>
      <c r="R59" s="9"/>
      <c r="S59" s="9"/>
      <c r="T59" s="9"/>
      <c r="U59" s="9"/>
      <c r="V59" s="9"/>
      <c r="W59" s="13"/>
      <c r="X59" s="55">
        <v>360</v>
      </c>
      <c r="Y59" s="23"/>
      <c r="Z59" s="24"/>
      <c r="AA59" s="55"/>
      <c r="AB59" s="23"/>
      <c r="AC59" s="23"/>
      <c r="AD59" s="24"/>
      <c r="AE59" s="55">
        <v>95</v>
      </c>
      <c r="AF59" s="24">
        <v>95</v>
      </c>
      <c r="AG59" s="61"/>
      <c r="AH59" s="53">
        <v>2.9</v>
      </c>
      <c r="AI59" s="53"/>
      <c r="AJ59" s="53"/>
      <c r="AK59" s="53"/>
      <c r="AL59" s="53"/>
      <c r="AM59" s="53"/>
      <c r="AN59" s="62"/>
      <c r="AO59" s="55"/>
      <c r="AP59" s="23">
        <v>920</v>
      </c>
      <c r="AQ59" s="23">
        <v>170</v>
      </c>
      <c r="AR59" s="23">
        <v>800</v>
      </c>
      <c r="AS59" s="24"/>
      <c r="AT59" s="82"/>
      <c r="AU59" s="83"/>
    </row>
    <row r="60" spans="1:47" x14ac:dyDescent="0.15">
      <c r="A60" s="12"/>
      <c r="B60" s="9">
        <f>AVERAGE(23.7,24.1,23.9)</f>
        <v>23.899999999999995</v>
      </c>
      <c r="C60" s="9"/>
      <c r="D60" s="9"/>
      <c r="E60" s="9"/>
      <c r="F60" s="9">
        <f>AVERAGE(31.9,31.9,30.8)</f>
        <v>31.533333333333331</v>
      </c>
      <c r="G60" s="9"/>
      <c r="H60" s="9"/>
      <c r="I60" s="9"/>
      <c r="J60" s="9"/>
      <c r="K60" s="9">
        <f>AVERAGE(36.8,38.4,37.6)</f>
        <v>37.599999999999994</v>
      </c>
      <c r="L60" s="9"/>
      <c r="M60" s="9"/>
      <c r="N60" s="9"/>
      <c r="O60" s="9"/>
      <c r="P60" s="9">
        <v>45.2</v>
      </c>
      <c r="Q60" s="9"/>
      <c r="R60" s="9"/>
      <c r="S60" s="9"/>
      <c r="T60" s="9"/>
      <c r="U60" s="9"/>
      <c r="V60" s="9"/>
      <c r="W60" s="13"/>
      <c r="X60" s="55">
        <v>360</v>
      </c>
      <c r="Y60" s="23"/>
      <c r="Z60" s="24"/>
      <c r="AA60" s="55"/>
      <c r="AB60" s="23"/>
      <c r="AC60" s="23"/>
      <c r="AD60" s="24"/>
      <c r="AE60" s="55">
        <v>175</v>
      </c>
      <c r="AF60" s="24"/>
      <c r="AG60" s="61"/>
      <c r="AH60" s="53">
        <v>2.8</v>
      </c>
      <c r="AI60" s="53">
        <v>0.55000000000000004</v>
      </c>
      <c r="AJ60" s="53"/>
      <c r="AK60" s="53"/>
      <c r="AL60" s="53"/>
      <c r="AM60" s="53"/>
      <c r="AN60" s="62"/>
      <c r="AO60" s="55"/>
      <c r="AP60" s="23">
        <v>900</v>
      </c>
      <c r="AQ60" s="23">
        <v>175</v>
      </c>
      <c r="AR60" s="23">
        <v>780</v>
      </c>
      <c r="AS60" s="24"/>
      <c r="AT60" s="82"/>
      <c r="AU60" s="83"/>
    </row>
    <row r="61" spans="1:47" x14ac:dyDescent="0.15">
      <c r="A61" s="12">
        <v>6.4</v>
      </c>
      <c r="B61" s="9">
        <v>30.3</v>
      </c>
      <c r="C61" s="9">
        <v>35.1</v>
      </c>
      <c r="D61" s="9"/>
      <c r="E61" s="9"/>
      <c r="F61" s="9">
        <v>44.7</v>
      </c>
      <c r="G61" s="9"/>
      <c r="H61" s="9"/>
      <c r="I61" s="9"/>
      <c r="J61" s="9"/>
      <c r="K61" s="9">
        <v>53.6</v>
      </c>
      <c r="L61" s="9"/>
      <c r="M61" s="9"/>
      <c r="N61" s="9"/>
      <c r="O61" s="9"/>
      <c r="P61" s="9">
        <v>57.5</v>
      </c>
      <c r="Q61" s="9"/>
      <c r="R61" s="9"/>
      <c r="S61" s="9">
        <v>65.2</v>
      </c>
      <c r="T61" s="9"/>
      <c r="U61" s="9"/>
      <c r="V61" s="9"/>
      <c r="W61" s="13">
        <v>67.3</v>
      </c>
      <c r="X61" s="55">
        <v>360</v>
      </c>
      <c r="Y61" s="23"/>
      <c r="Z61" s="24"/>
      <c r="AA61" s="55">
        <v>20</v>
      </c>
      <c r="AB61" s="23"/>
      <c r="AC61" s="23"/>
      <c r="AD61" s="24"/>
      <c r="AE61" s="55">
        <v>180</v>
      </c>
      <c r="AF61" s="24"/>
      <c r="AG61" s="61">
        <v>1.9</v>
      </c>
      <c r="AH61" s="53">
        <v>2.1</v>
      </c>
      <c r="AI61" s="53"/>
      <c r="AJ61" s="53"/>
      <c r="AK61" s="53"/>
      <c r="AL61" s="53"/>
      <c r="AM61" s="53"/>
      <c r="AN61" s="62">
        <v>2</v>
      </c>
      <c r="AO61" s="55"/>
      <c r="AP61" s="23">
        <v>900</v>
      </c>
      <c r="AQ61" s="23">
        <v>200</v>
      </c>
      <c r="AR61" s="23">
        <v>330</v>
      </c>
      <c r="AS61" s="24">
        <v>330</v>
      </c>
      <c r="AT61" s="82"/>
      <c r="AU61" s="83"/>
    </row>
    <row r="62" spans="1:47" x14ac:dyDescent="0.15">
      <c r="A62" s="12">
        <v>3.4</v>
      </c>
      <c r="B62" s="9">
        <v>26.2</v>
      </c>
      <c r="C62" s="9">
        <v>33.1</v>
      </c>
      <c r="D62" s="9"/>
      <c r="E62" s="9"/>
      <c r="F62" s="9">
        <v>42.9</v>
      </c>
      <c r="G62" s="9"/>
      <c r="H62" s="9"/>
      <c r="I62" s="9"/>
      <c r="J62" s="9"/>
      <c r="K62" s="9">
        <v>53</v>
      </c>
      <c r="L62" s="9"/>
      <c r="M62" s="9"/>
      <c r="N62" s="9"/>
      <c r="O62" s="9"/>
      <c r="P62" s="9">
        <v>56.4</v>
      </c>
      <c r="Q62" s="9"/>
      <c r="R62" s="9"/>
      <c r="S62" s="9">
        <v>63.8</v>
      </c>
      <c r="T62" s="9"/>
      <c r="U62" s="9"/>
      <c r="V62" s="9"/>
      <c r="W62" s="13">
        <v>65.7</v>
      </c>
      <c r="X62" s="55">
        <v>360</v>
      </c>
      <c r="Y62" s="23"/>
      <c r="Z62" s="24"/>
      <c r="AA62" s="55">
        <v>20</v>
      </c>
      <c r="AB62" s="23"/>
      <c r="AC62" s="23"/>
      <c r="AD62" s="24"/>
      <c r="AE62" s="55">
        <v>180</v>
      </c>
      <c r="AF62" s="24"/>
      <c r="AG62" s="61">
        <v>1.9</v>
      </c>
      <c r="AH62" s="53">
        <v>2.1</v>
      </c>
      <c r="AI62" s="53"/>
      <c r="AJ62" s="53"/>
      <c r="AK62" s="53"/>
      <c r="AL62" s="53"/>
      <c r="AM62" s="53"/>
      <c r="AN62" s="62"/>
      <c r="AO62" s="55"/>
      <c r="AP62" s="23">
        <v>900</v>
      </c>
      <c r="AQ62" s="23">
        <v>200</v>
      </c>
      <c r="AR62" s="23">
        <v>330</v>
      </c>
      <c r="AS62" s="24">
        <v>330</v>
      </c>
      <c r="AT62" s="82"/>
      <c r="AU62" s="83"/>
    </row>
    <row r="63" spans="1:47" x14ac:dyDescent="0.15">
      <c r="A63" s="12"/>
      <c r="B63" s="9">
        <f>AVERAGE(24.3,26.2)</f>
        <v>25.25</v>
      </c>
      <c r="C63" s="9"/>
      <c r="D63" s="9"/>
      <c r="E63" s="9"/>
      <c r="F63" s="9">
        <f>AVERAGE(35.1,34.6)</f>
        <v>34.85</v>
      </c>
      <c r="G63" s="9"/>
      <c r="H63" s="9"/>
      <c r="I63" s="9"/>
      <c r="J63" s="9"/>
      <c r="K63" s="9">
        <f>AVERAGE(44.4,42.1)</f>
        <v>43.25</v>
      </c>
      <c r="L63" s="9"/>
      <c r="M63" s="9"/>
      <c r="N63" s="9"/>
      <c r="O63" s="9"/>
      <c r="P63" s="9">
        <f>AVERAGE(49.6,47.9,50.8,49.2)</f>
        <v>49.375</v>
      </c>
      <c r="Q63" s="8"/>
      <c r="R63" s="8"/>
      <c r="S63" s="8"/>
      <c r="T63" s="8"/>
      <c r="U63" s="8"/>
      <c r="V63" s="8"/>
      <c r="W63" s="11"/>
      <c r="X63" s="55">
        <v>350</v>
      </c>
      <c r="Y63" s="23"/>
      <c r="Z63" s="24"/>
      <c r="AA63" s="55"/>
      <c r="AB63" s="23"/>
      <c r="AC63" s="23"/>
      <c r="AD63" s="24"/>
      <c r="AE63" s="55">
        <v>180</v>
      </c>
      <c r="AF63" s="24"/>
      <c r="AG63" s="61"/>
      <c r="AH63" s="53">
        <v>2.4500000000000002</v>
      </c>
      <c r="AI63" s="53"/>
      <c r="AJ63" s="53"/>
      <c r="AK63" s="53"/>
      <c r="AL63" s="53"/>
      <c r="AM63" s="53"/>
      <c r="AN63" s="62"/>
      <c r="AO63" s="55"/>
      <c r="AP63" s="23">
        <v>910</v>
      </c>
      <c r="AQ63" s="23">
        <v>160</v>
      </c>
      <c r="AR63" s="23">
        <v>605</v>
      </c>
      <c r="AS63" s="24"/>
      <c r="AT63" s="82"/>
      <c r="AU63" s="83"/>
    </row>
    <row r="64" spans="1:47" x14ac:dyDescent="0.15">
      <c r="A64" s="12"/>
      <c r="B64" s="9">
        <f>AVERAGE(23.5,23.4)</f>
        <v>23.45</v>
      </c>
      <c r="C64" s="9"/>
      <c r="D64" s="9"/>
      <c r="E64" s="9"/>
      <c r="F64" s="9">
        <f>AVERAGE(38.4,38.6)</f>
        <v>38.5</v>
      </c>
      <c r="G64" s="9"/>
      <c r="H64" s="9"/>
      <c r="I64" s="9"/>
      <c r="J64" s="9"/>
      <c r="K64" s="9">
        <f>AVERAGE(49.5,50.5)</f>
        <v>50</v>
      </c>
      <c r="L64" s="9"/>
      <c r="M64" s="9"/>
      <c r="N64" s="9"/>
      <c r="O64" s="9"/>
      <c r="P64" s="9">
        <f>AVERAGE(57.2,58.9)</f>
        <v>58.05</v>
      </c>
      <c r="Q64" s="8"/>
      <c r="R64" s="8"/>
      <c r="S64" s="8"/>
      <c r="T64" s="8"/>
      <c r="U64" s="8"/>
      <c r="V64" s="8"/>
      <c r="W64" s="11"/>
      <c r="X64" s="55">
        <v>350</v>
      </c>
      <c r="Y64" s="23"/>
      <c r="Z64" s="24"/>
      <c r="AA64" s="55">
        <v>45</v>
      </c>
      <c r="AB64" s="23"/>
      <c r="AC64" s="23"/>
      <c r="AD64" s="24"/>
      <c r="AE64" s="55">
        <v>135</v>
      </c>
      <c r="AF64" s="24">
        <v>65</v>
      </c>
      <c r="AG64" s="61">
        <v>1.5</v>
      </c>
      <c r="AH64" s="53">
        <v>2</v>
      </c>
      <c r="AI64" s="53"/>
      <c r="AJ64" s="53"/>
      <c r="AK64" s="53"/>
      <c r="AL64" s="53"/>
      <c r="AM64" s="53"/>
      <c r="AN64" s="62"/>
      <c r="AO64" s="55"/>
      <c r="AP64" s="23">
        <v>910</v>
      </c>
      <c r="AQ64" s="23"/>
      <c r="AR64" s="23">
        <v>400</v>
      </c>
      <c r="AS64" s="24">
        <v>400</v>
      </c>
      <c r="AT64" s="82"/>
      <c r="AU64" s="83"/>
    </row>
    <row r="65" spans="1:47" x14ac:dyDescent="0.15">
      <c r="A65" s="12"/>
      <c r="B65" s="9">
        <f>AVERAGE(18.9,20.3,19.4)</f>
        <v>19.533333333333335</v>
      </c>
      <c r="C65" s="9"/>
      <c r="D65" s="9"/>
      <c r="E65" s="9"/>
      <c r="F65" s="9">
        <f>AVERAGE(28.8,29,28)</f>
        <v>28.599999999999998</v>
      </c>
      <c r="G65" s="9"/>
      <c r="H65" s="9"/>
      <c r="I65" s="9"/>
      <c r="J65" s="9"/>
      <c r="K65" s="9">
        <f>AVERAGE(40,39.3,39.9)</f>
        <v>39.733333333333327</v>
      </c>
      <c r="L65" s="9"/>
      <c r="M65" s="9"/>
      <c r="N65" s="9"/>
      <c r="O65" s="9"/>
      <c r="P65" s="9">
        <f>AVERAGE(48.4,48.3,46.1)</f>
        <v>47.599999999999994</v>
      </c>
      <c r="Q65" s="9"/>
      <c r="R65" s="9"/>
      <c r="S65" s="9"/>
      <c r="T65" s="9"/>
      <c r="U65" s="9"/>
      <c r="V65" s="9"/>
      <c r="W65" s="13"/>
      <c r="X65" s="55">
        <v>350</v>
      </c>
      <c r="Y65" s="23"/>
      <c r="Z65" s="24"/>
      <c r="AA65" s="55">
        <v>50</v>
      </c>
      <c r="AB65" s="23"/>
      <c r="AC65" s="23"/>
      <c r="AD65" s="24"/>
      <c r="AE65" s="55">
        <v>185</v>
      </c>
      <c r="AF65" s="24"/>
      <c r="AG65" s="61">
        <v>1.4</v>
      </c>
      <c r="AH65" s="53">
        <v>1.6</v>
      </c>
      <c r="AI65" s="53"/>
      <c r="AJ65" s="53"/>
      <c r="AK65" s="53"/>
      <c r="AL65" s="53"/>
      <c r="AM65" s="53"/>
      <c r="AN65" s="62"/>
      <c r="AO65" s="55"/>
      <c r="AP65" s="23">
        <v>920</v>
      </c>
      <c r="AQ65" s="23"/>
      <c r="AR65" s="23">
        <v>415</v>
      </c>
      <c r="AS65" s="24">
        <v>420</v>
      </c>
      <c r="AT65" s="82"/>
      <c r="AU65" s="83"/>
    </row>
    <row r="66" spans="1:47" x14ac:dyDescent="0.15">
      <c r="A66" s="12"/>
      <c r="B66" s="9">
        <v>28.8</v>
      </c>
      <c r="C66" s="9"/>
      <c r="D66" s="9"/>
      <c r="E66" s="9"/>
      <c r="F66" s="9"/>
      <c r="G66" s="9">
        <v>42.1</v>
      </c>
      <c r="H66" s="9"/>
      <c r="I66" s="9"/>
      <c r="J66" s="9"/>
      <c r="K66" s="9"/>
      <c r="L66" s="9">
        <f>AVERAGE(49,50.9)</f>
        <v>49.95</v>
      </c>
      <c r="M66" s="9"/>
      <c r="N66" s="9"/>
      <c r="O66" s="9"/>
      <c r="P66" s="9">
        <v>57.7</v>
      </c>
      <c r="Q66" s="9"/>
      <c r="R66" s="9"/>
      <c r="S66" s="9"/>
      <c r="T66" s="9"/>
      <c r="U66" s="9"/>
      <c r="V66" s="9"/>
      <c r="W66" s="13"/>
      <c r="X66" s="55">
        <v>345</v>
      </c>
      <c r="Y66" s="23"/>
      <c r="Z66" s="24"/>
      <c r="AA66" s="55"/>
      <c r="AB66" s="23"/>
      <c r="AC66" s="23"/>
      <c r="AD66" s="24"/>
      <c r="AE66" s="55">
        <v>170</v>
      </c>
      <c r="AF66" s="24"/>
      <c r="AG66" s="61"/>
      <c r="AH66" s="53">
        <v>2.4</v>
      </c>
      <c r="AI66" s="53"/>
      <c r="AJ66" s="53"/>
      <c r="AK66" s="53"/>
      <c r="AL66" s="53"/>
      <c r="AM66" s="53"/>
      <c r="AN66" s="62"/>
      <c r="AO66" s="55"/>
      <c r="AP66" s="23">
        <v>850</v>
      </c>
      <c r="AQ66" s="23">
        <v>170</v>
      </c>
      <c r="AR66" s="23">
        <v>465</v>
      </c>
      <c r="AS66" s="24">
        <v>340</v>
      </c>
      <c r="AT66" s="82"/>
      <c r="AU66" s="83"/>
    </row>
    <row r="67" spans="1:47" x14ac:dyDescent="0.15">
      <c r="A67" s="12"/>
      <c r="B67" s="9">
        <v>28</v>
      </c>
      <c r="C67" s="9"/>
      <c r="D67" s="9"/>
      <c r="E67" s="9"/>
      <c r="F67" s="9">
        <v>44.4</v>
      </c>
      <c r="G67" s="9"/>
      <c r="H67" s="9"/>
      <c r="I67" s="9"/>
      <c r="J67" s="9"/>
      <c r="K67" s="9">
        <f>AVERAGE(52.9,52)</f>
        <v>52.45</v>
      </c>
      <c r="L67" s="9"/>
      <c r="M67" s="9"/>
      <c r="N67" s="9"/>
      <c r="O67" s="9"/>
      <c r="P67" s="9">
        <v>62.9</v>
      </c>
      <c r="Q67" s="9"/>
      <c r="R67" s="9"/>
      <c r="S67" s="9"/>
      <c r="T67" s="9"/>
      <c r="U67" s="9"/>
      <c r="V67" s="9"/>
      <c r="W67" s="13"/>
      <c r="X67" s="55">
        <v>345</v>
      </c>
      <c r="Y67" s="23"/>
      <c r="Z67" s="24"/>
      <c r="AA67" s="55"/>
      <c r="AB67" s="23"/>
      <c r="AC67" s="23"/>
      <c r="AD67" s="24"/>
      <c r="AE67" s="55">
        <v>170</v>
      </c>
      <c r="AF67" s="24"/>
      <c r="AG67" s="61"/>
      <c r="AH67" s="53">
        <v>2.4</v>
      </c>
      <c r="AI67" s="53"/>
      <c r="AJ67" s="53"/>
      <c r="AK67" s="53"/>
      <c r="AL67" s="53"/>
      <c r="AM67" s="53"/>
      <c r="AN67" s="62"/>
      <c r="AO67" s="55"/>
      <c r="AP67" s="23">
        <v>850</v>
      </c>
      <c r="AQ67" s="23">
        <v>170</v>
      </c>
      <c r="AR67" s="23">
        <v>465</v>
      </c>
      <c r="AS67" s="24">
        <v>340</v>
      </c>
      <c r="AT67" s="82"/>
      <c r="AU67" s="83"/>
    </row>
    <row r="68" spans="1:47" x14ac:dyDescent="0.15">
      <c r="A68" s="12"/>
      <c r="B68" s="9">
        <v>25</v>
      </c>
      <c r="C68" s="9"/>
      <c r="D68" s="9"/>
      <c r="E68" s="9"/>
      <c r="F68" s="9">
        <v>39</v>
      </c>
      <c r="G68" s="9"/>
      <c r="H68" s="9"/>
      <c r="I68" s="9"/>
      <c r="J68" s="9"/>
      <c r="K68" s="9">
        <f>AVERAGE(46.9,47.1)</f>
        <v>47</v>
      </c>
      <c r="L68" s="9"/>
      <c r="M68" s="9"/>
      <c r="N68" s="9"/>
      <c r="O68" s="9"/>
      <c r="P68" s="9">
        <v>55.8</v>
      </c>
      <c r="Q68" s="9"/>
      <c r="R68" s="9"/>
      <c r="S68" s="9"/>
      <c r="T68" s="9"/>
      <c r="U68" s="9"/>
      <c r="V68" s="9"/>
      <c r="W68" s="13"/>
      <c r="X68" s="55">
        <v>345</v>
      </c>
      <c r="Y68" s="23"/>
      <c r="Z68" s="24"/>
      <c r="AA68" s="55"/>
      <c r="AB68" s="23"/>
      <c r="AC68" s="23"/>
      <c r="AD68" s="24"/>
      <c r="AE68" s="55">
        <v>170</v>
      </c>
      <c r="AF68" s="24"/>
      <c r="AG68" s="61"/>
      <c r="AH68" s="53">
        <v>2.4</v>
      </c>
      <c r="AI68" s="53"/>
      <c r="AJ68" s="53"/>
      <c r="AK68" s="53"/>
      <c r="AL68" s="53"/>
      <c r="AM68" s="53"/>
      <c r="AN68" s="62"/>
      <c r="AO68" s="55"/>
      <c r="AP68" s="23">
        <v>850</v>
      </c>
      <c r="AQ68" s="23">
        <v>170</v>
      </c>
      <c r="AR68" s="23">
        <v>465</v>
      </c>
      <c r="AS68" s="24">
        <v>340</v>
      </c>
      <c r="AT68" s="82"/>
      <c r="AU68" s="83"/>
    </row>
    <row r="69" spans="1:47" x14ac:dyDescent="0.15">
      <c r="A69" s="12">
        <v>5.4</v>
      </c>
      <c r="B69" s="9">
        <v>21</v>
      </c>
      <c r="C69" s="9"/>
      <c r="D69" s="9"/>
      <c r="E69" s="9"/>
      <c r="F69" s="9">
        <v>34</v>
      </c>
      <c r="G69" s="9"/>
      <c r="H69" s="9"/>
      <c r="I69" s="9"/>
      <c r="J69" s="9"/>
      <c r="K69" s="9">
        <v>43</v>
      </c>
      <c r="L69" s="9"/>
      <c r="M69" s="9"/>
      <c r="N69" s="9"/>
      <c r="O69" s="9"/>
      <c r="P69" s="9">
        <v>53.2</v>
      </c>
      <c r="Q69" s="9"/>
      <c r="R69" s="9"/>
      <c r="S69" s="9"/>
      <c r="T69" s="9"/>
      <c r="U69" s="9"/>
      <c r="V69" s="9"/>
      <c r="W69" s="13"/>
      <c r="X69" s="55">
        <v>340</v>
      </c>
      <c r="Y69" s="23"/>
      <c r="Z69" s="24"/>
      <c r="AA69" s="55">
        <v>50</v>
      </c>
      <c r="AB69" s="23"/>
      <c r="AC69" s="23"/>
      <c r="AD69" s="24"/>
      <c r="AE69" s="55">
        <v>160</v>
      </c>
      <c r="AF69" s="24"/>
      <c r="AG69" s="61"/>
      <c r="AH69" s="53">
        <v>2.8</v>
      </c>
      <c r="AI69" s="53"/>
      <c r="AJ69" s="53"/>
      <c r="AK69" s="53"/>
      <c r="AL69" s="53"/>
      <c r="AM69" s="53"/>
      <c r="AN69" s="62"/>
      <c r="AO69" s="55">
        <v>200</v>
      </c>
      <c r="AP69" s="23">
        <v>670</v>
      </c>
      <c r="AQ69" s="23">
        <v>350</v>
      </c>
      <c r="AR69" s="23">
        <v>560</v>
      </c>
      <c r="AS69" s="24"/>
      <c r="AT69" s="82"/>
      <c r="AU69" s="83"/>
    </row>
    <row r="70" spans="1:47" x14ac:dyDescent="0.15">
      <c r="A70" s="12"/>
      <c r="B70" s="9">
        <f>AVERAGE(25.1,23.7,24.7)</f>
        <v>24.5</v>
      </c>
      <c r="C70" s="9"/>
      <c r="D70" s="9"/>
      <c r="E70" s="9"/>
      <c r="F70" s="9">
        <f>AVERAGE(34.1,34.9,34.4)</f>
        <v>34.466666666666669</v>
      </c>
      <c r="G70" s="9"/>
      <c r="H70" s="9"/>
      <c r="I70" s="9"/>
      <c r="J70" s="9"/>
      <c r="K70" s="9">
        <f>AVERAGE(43,39.8,43.2)</f>
        <v>42</v>
      </c>
      <c r="L70" s="9"/>
      <c r="M70" s="9"/>
      <c r="N70" s="9"/>
      <c r="O70" s="9"/>
      <c r="P70" s="9">
        <f>AVERAGE(50,50.4,49.9)</f>
        <v>50.1</v>
      </c>
      <c r="Q70" s="9"/>
      <c r="R70" s="9"/>
      <c r="S70" s="9"/>
      <c r="T70" s="9"/>
      <c r="U70" s="9"/>
      <c r="V70" s="9"/>
      <c r="W70" s="13"/>
      <c r="X70" s="55">
        <v>340</v>
      </c>
      <c r="Y70" s="23"/>
      <c r="Z70" s="24"/>
      <c r="AA70" s="55"/>
      <c r="AB70" s="23"/>
      <c r="AC70" s="23"/>
      <c r="AD70" s="24"/>
      <c r="AE70" s="55">
        <v>180</v>
      </c>
      <c r="AF70" s="24"/>
      <c r="AG70" s="61"/>
      <c r="AH70" s="53">
        <v>3</v>
      </c>
      <c r="AI70" s="53">
        <v>0.28999999999999998</v>
      </c>
      <c r="AJ70" s="53"/>
      <c r="AK70" s="53"/>
      <c r="AL70" s="53"/>
      <c r="AM70" s="53"/>
      <c r="AN70" s="62"/>
      <c r="AO70" s="55"/>
      <c r="AP70" s="23">
        <v>860</v>
      </c>
      <c r="AQ70" s="23">
        <v>150</v>
      </c>
      <c r="AR70" s="23">
        <v>300</v>
      </c>
      <c r="AS70" s="24">
        <v>400</v>
      </c>
      <c r="AT70" s="82"/>
      <c r="AU70" s="83"/>
    </row>
    <row r="71" spans="1:47" x14ac:dyDescent="0.15">
      <c r="A71" s="12">
        <v>2.4</v>
      </c>
      <c r="B71" s="9"/>
      <c r="C71" s="9">
        <v>22.5</v>
      </c>
      <c r="D71" s="9"/>
      <c r="E71" s="9"/>
      <c r="F71" s="9">
        <v>33.6</v>
      </c>
      <c r="G71" s="9"/>
      <c r="H71" s="9"/>
      <c r="I71" s="9"/>
      <c r="J71" s="9"/>
      <c r="K71" s="9">
        <v>42.2</v>
      </c>
      <c r="L71" s="9"/>
      <c r="M71" s="9"/>
      <c r="N71" s="9"/>
      <c r="O71" s="9"/>
      <c r="P71" s="9">
        <v>51.7</v>
      </c>
      <c r="Q71" s="9"/>
      <c r="R71" s="9"/>
      <c r="S71" s="9"/>
      <c r="T71" s="9"/>
      <c r="U71" s="9"/>
      <c r="V71" s="9"/>
      <c r="W71" s="13"/>
      <c r="X71" s="55">
        <v>330</v>
      </c>
      <c r="Y71" s="23"/>
      <c r="Z71" s="24"/>
      <c r="AA71" s="55">
        <v>20</v>
      </c>
      <c r="AB71" s="23"/>
      <c r="AC71" s="23"/>
      <c r="AD71" s="24"/>
      <c r="AE71" s="55"/>
      <c r="AF71" s="24">
        <v>180</v>
      </c>
      <c r="AG71" s="61">
        <v>2.2999999999999998</v>
      </c>
      <c r="AH71" s="53"/>
      <c r="AI71" s="53"/>
      <c r="AJ71" s="53"/>
      <c r="AK71" s="53"/>
      <c r="AL71" s="53"/>
      <c r="AM71" s="53"/>
      <c r="AN71" s="62"/>
      <c r="AO71" s="55"/>
      <c r="AP71" s="23">
        <v>950</v>
      </c>
      <c r="AQ71" s="23"/>
      <c r="AR71" s="23">
        <v>480</v>
      </c>
      <c r="AS71" s="24">
        <v>380</v>
      </c>
      <c r="AT71" s="82"/>
      <c r="AU71" s="83"/>
    </row>
    <row r="72" spans="1:47" x14ac:dyDescent="0.15">
      <c r="A72" s="12">
        <v>1.5</v>
      </c>
      <c r="B72" s="9"/>
      <c r="C72" s="9">
        <v>18</v>
      </c>
      <c r="D72" s="9"/>
      <c r="E72" s="9"/>
      <c r="F72" s="9">
        <v>28.4</v>
      </c>
      <c r="G72" s="9"/>
      <c r="H72" s="9"/>
      <c r="I72" s="9"/>
      <c r="J72" s="9"/>
      <c r="K72" s="9">
        <v>34.799999999999997</v>
      </c>
      <c r="L72" s="9"/>
      <c r="M72" s="9"/>
      <c r="N72" s="9"/>
      <c r="O72" s="9"/>
      <c r="P72" s="9">
        <v>46.3</v>
      </c>
      <c r="Q72" s="9"/>
      <c r="R72" s="9"/>
      <c r="S72" s="9"/>
      <c r="T72" s="9"/>
      <c r="U72" s="9"/>
      <c r="V72" s="9"/>
      <c r="W72" s="13"/>
      <c r="X72" s="55">
        <v>330</v>
      </c>
      <c r="Y72" s="23"/>
      <c r="Z72" s="24"/>
      <c r="AA72" s="55">
        <v>20</v>
      </c>
      <c r="AB72" s="23"/>
      <c r="AC72" s="23"/>
      <c r="AD72" s="24"/>
      <c r="AE72" s="55"/>
      <c r="AF72" s="24">
        <v>180</v>
      </c>
      <c r="AG72" s="61">
        <v>2.2999999999999998</v>
      </c>
      <c r="AH72" s="53"/>
      <c r="AI72" s="53"/>
      <c r="AJ72" s="53"/>
      <c r="AK72" s="53"/>
      <c r="AL72" s="53"/>
      <c r="AM72" s="53"/>
      <c r="AN72" s="62"/>
      <c r="AO72" s="55"/>
      <c r="AP72" s="23">
        <v>950</v>
      </c>
      <c r="AQ72" s="23"/>
      <c r="AR72" s="23">
        <v>480</v>
      </c>
      <c r="AS72" s="24">
        <v>380</v>
      </c>
      <c r="AT72" s="82"/>
      <c r="AU72" s="83"/>
    </row>
    <row r="73" spans="1:47" x14ac:dyDescent="0.15">
      <c r="A73" s="12"/>
      <c r="B73" s="9">
        <f>AVERAGE(16.5,17.1,16.9)</f>
        <v>16.833333333333332</v>
      </c>
      <c r="C73" s="9"/>
      <c r="D73" s="9"/>
      <c r="E73" s="9"/>
      <c r="F73" s="9">
        <f>AVERAGE(28.1,28.5,27.3)</f>
        <v>27.966666666666669</v>
      </c>
      <c r="G73" s="9"/>
      <c r="H73" s="9"/>
      <c r="I73" s="9"/>
      <c r="J73" s="9"/>
      <c r="K73" s="9">
        <f>AVERAGE(36,35.9,35.3)</f>
        <v>35.733333333333334</v>
      </c>
      <c r="L73" s="9"/>
      <c r="M73" s="9"/>
      <c r="N73" s="9"/>
      <c r="O73" s="9"/>
      <c r="P73" s="9">
        <v>46.7</v>
      </c>
      <c r="Q73" s="9"/>
      <c r="R73" s="9"/>
      <c r="S73" s="9"/>
      <c r="T73" s="9"/>
      <c r="U73" s="9"/>
      <c r="V73" s="9"/>
      <c r="W73" s="13"/>
      <c r="X73" s="55">
        <v>330</v>
      </c>
      <c r="Y73" s="23"/>
      <c r="Z73" s="24"/>
      <c r="AA73" s="55"/>
      <c r="AB73" s="23"/>
      <c r="AC73" s="23"/>
      <c r="AD73" s="24"/>
      <c r="AE73" s="55">
        <v>130</v>
      </c>
      <c r="AF73" s="24">
        <v>50</v>
      </c>
      <c r="AG73" s="61">
        <v>2.1</v>
      </c>
      <c r="AH73" s="53"/>
      <c r="AI73" s="53"/>
      <c r="AJ73" s="53"/>
      <c r="AK73" s="53"/>
      <c r="AL73" s="53"/>
      <c r="AM73" s="53"/>
      <c r="AN73" s="62"/>
      <c r="AO73" s="55"/>
      <c r="AP73" s="23">
        <v>925</v>
      </c>
      <c r="AQ73" s="23">
        <v>180</v>
      </c>
      <c r="AR73" s="23">
        <v>800</v>
      </c>
      <c r="AS73" s="24"/>
      <c r="AT73" s="82"/>
      <c r="AU73" s="83"/>
    </row>
    <row r="74" spans="1:47" x14ac:dyDescent="0.15">
      <c r="A74" s="12">
        <v>6.2</v>
      </c>
      <c r="B74" s="9">
        <v>21</v>
      </c>
      <c r="C74" s="9"/>
      <c r="D74" s="9"/>
      <c r="E74" s="9"/>
      <c r="F74" s="9">
        <v>37.6</v>
      </c>
      <c r="G74" s="9"/>
      <c r="H74" s="9"/>
      <c r="I74" s="9"/>
      <c r="J74" s="9"/>
      <c r="K74" s="9">
        <v>46.8</v>
      </c>
      <c r="L74" s="9"/>
      <c r="M74" s="9"/>
      <c r="N74" s="9"/>
      <c r="O74" s="9"/>
      <c r="P74" s="9">
        <v>62.6</v>
      </c>
      <c r="Q74" s="9"/>
      <c r="R74" s="9"/>
      <c r="S74" s="9"/>
      <c r="T74" s="9"/>
      <c r="U74" s="9"/>
      <c r="V74" s="9"/>
      <c r="W74" s="13"/>
      <c r="X74" s="55">
        <v>330</v>
      </c>
      <c r="Y74" s="23"/>
      <c r="Z74" s="24"/>
      <c r="AA74" s="55">
        <v>50</v>
      </c>
      <c r="AB74" s="23">
        <v>150</v>
      </c>
      <c r="AC74" s="23"/>
      <c r="AD74" s="24"/>
      <c r="AE74" s="55">
        <v>195</v>
      </c>
      <c r="AF74" s="24"/>
      <c r="AG74" s="61"/>
      <c r="AH74" s="53">
        <v>2.5</v>
      </c>
      <c r="AI74" s="53"/>
      <c r="AJ74" s="53"/>
      <c r="AK74" s="53"/>
      <c r="AL74" s="53"/>
      <c r="AM74" s="53"/>
      <c r="AN74" s="62"/>
      <c r="AO74" s="55"/>
      <c r="AP74" s="23">
        <v>830</v>
      </c>
      <c r="AQ74" s="23">
        <v>300</v>
      </c>
      <c r="AR74" s="23">
        <v>470</v>
      </c>
      <c r="AS74" s="24"/>
      <c r="AT74" s="82"/>
      <c r="AU74" s="83"/>
    </row>
    <row r="75" spans="1:47" x14ac:dyDescent="0.15">
      <c r="A75" s="12"/>
      <c r="B75" s="9">
        <f>AVERAGE(15.2,15.3,16.8)</f>
        <v>15.766666666666666</v>
      </c>
      <c r="C75" s="9"/>
      <c r="D75" s="9"/>
      <c r="E75" s="9"/>
      <c r="F75" s="9"/>
      <c r="G75" s="9">
        <f>AVERAGE(18,23.3,24.6)</f>
        <v>21.966666666666669</v>
      </c>
      <c r="H75" s="9"/>
      <c r="I75" s="9"/>
      <c r="J75" s="9"/>
      <c r="K75" s="9">
        <f>AVERAGE(32.9,33.9,33.5)</f>
        <v>33.43333333333333</v>
      </c>
      <c r="L75" s="9"/>
      <c r="M75" s="9"/>
      <c r="N75" s="9"/>
      <c r="O75" s="9"/>
      <c r="P75" s="9">
        <f>AVERAGE(43.1,42.4,41.6)</f>
        <v>42.366666666666667</v>
      </c>
      <c r="Q75" s="9"/>
      <c r="R75" s="9"/>
      <c r="S75" s="9"/>
      <c r="T75" s="9"/>
      <c r="U75" s="9"/>
      <c r="V75" s="9"/>
      <c r="W75" s="13"/>
      <c r="X75" s="55">
        <v>330</v>
      </c>
      <c r="Y75" s="23"/>
      <c r="Z75" s="24"/>
      <c r="AA75" s="55">
        <v>70</v>
      </c>
      <c r="AB75" s="23"/>
      <c r="AC75" s="23"/>
      <c r="AD75" s="24"/>
      <c r="AE75" s="55">
        <v>180</v>
      </c>
      <c r="AF75" s="24"/>
      <c r="AG75" s="61">
        <v>3</v>
      </c>
      <c r="AH75" s="53"/>
      <c r="AI75" s="53"/>
      <c r="AJ75" s="53"/>
      <c r="AK75" s="53"/>
      <c r="AL75" s="53"/>
      <c r="AM75" s="53"/>
      <c r="AN75" s="62"/>
      <c r="AO75" s="55"/>
      <c r="AP75" s="23">
        <v>950</v>
      </c>
      <c r="AQ75" s="23"/>
      <c r="AR75" s="23">
        <v>400</v>
      </c>
      <c r="AS75" s="24">
        <v>410</v>
      </c>
      <c r="AT75" s="82"/>
      <c r="AU75" s="83"/>
    </row>
    <row r="76" spans="1:47" x14ac:dyDescent="0.15">
      <c r="A76" s="12"/>
      <c r="B76" s="9">
        <f>AVERAGE(18.9,19.4,17.1)</f>
        <v>18.466666666666665</v>
      </c>
      <c r="C76" s="9"/>
      <c r="D76" s="9"/>
      <c r="E76" s="9"/>
      <c r="F76" s="9"/>
      <c r="G76" s="9">
        <f>AVERAGE(29.3,29.8,29.7)</f>
        <v>29.599999999999998</v>
      </c>
      <c r="H76" s="9"/>
      <c r="I76" s="9"/>
      <c r="J76" s="9"/>
      <c r="K76" s="9">
        <f>AVERAGE(37.5,38.3,37.7)</f>
        <v>37.833333333333336</v>
      </c>
      <c r="L76" s="9"/>
      <c r="M76" s="9"/>
      <c r="N76" s="9"/>
      <c r="O76" s="9"/>
      <c r="P76" s="9">
        <f>AVERAGE(47.6,47.6,47.6)</f>
        <v>47.6</v>
      </c>
      <c r="Q76" s="9"/>
      <c r="R76" s="9"/>
      <c r="S76" s="9"/>
      <c r="T76" s="9"/>
      <c r="U76" s="9"/>
      <c r="V76" s="9"/>
      <c r="W76" s="13"/>
      <c r="X76" s="55">
        <v>330</v>
      </c>
      <c r="Y76" s="23"/>
      <c r="Z76" s="24"/>
      <c r="AA76" s="55">
        <v>30</v>
      </c>
      <c r="AB76" s="23"/>
      <c r="AC76" s="23"/>
      <c r="AD76" s="24"/>
      <c r="AE76" s="55">
        <v>175</v>
      </c>
      <c r="AF76" s="24"/>
      <c r="AG76" s="61">
        <v>1.5</v>
      </c>
      <c r="AH76" s="53">
        <v>2</v>
      </c>
      <c r="AI76" s="53"/>
      <c r="AJ76" s="53"/>
      <c r="AK76" s="53"/>
      <c r="AL76" s="53"/>
      <c r="AM76" s="53"/>
      <c r="AN76" s="62"/>
      <c r="AO76" s="55"/>
      <c r="AP76" s="23">
        <v>910</v>
      </c>
      <c r="AQ76" s="23">
        <v>100</v>
      </c>
      <c r="AR76" s="23">
        <v>360</v>
      </c>
      <c r="AS76" s="24">
        <v>410</v>
      </c>
      <c r="AT76" s="82"/>
      <c r="AU76" s="83"/>
    </row>
    <row r="77" spans="1:47" x14ac:dyDescent="0.15">
      <c r="A77" s="12"/>
      <c r="B77" s="9">
        <f>AVERAGE(15.7,14.1)</f>
        <v>14.899999999999999</v>
      </c>
      <c r="C77" s="9"/>
      <c r="D77" s="9"/>
      <c r="E77" s="9"/>
      <c r="F77" s="9">
        <f>AVERAGE(28.9,26.7)</f>
        <v>27.799999999999997</v>
      </c>
      <c r="G77" s="9"/>
      <c r="H77" s="9"/>
      <c r="I77" s="9"/>
      <c r="J77" s="9"/>
      <c r="K77" s="9">
        <f>AVERAGE(44.3,45.7)</f>
        <v>45</v>
      </c>
      <c r="L77" s="9"/>
      <c r="M77" s="9"/>
      <c r="N77" s="9"/>
      <c r="O77" s="9"/>
      <c r="P77" s="9">
        <f>AVERAGE(59.1,54.9)</f>
        <v>57</v>
      </c>
      <c r="Q77" s="8"/>
      <c r="R77" s="8"/>
      <c r="S77" s="8"/>
      <c r="T77" s="8"/>
      <c r="U77" s="8"/>
      <c r="V77" s="8"/>
      <c r="W77" s="11"/>
      <c r="X77" s="55">
        <v>320</v>
      </c>
      <c r="Y77" s="23"/>
      <c r="Z77" s="24"/>
      <c r="AA77" s="55"/>
      <c r="AB77" s="23"/>
      <c r="AC77" s="23"/>
      <c r="AD77" s="24"/>
      <c r="AE77" s="55">
        <v>180</v>
      </c>
      <c r="AF77" s="24"/>
      <c r="AG77" s="61"/>
      <c r="AH77" s="53">
        <v>2.2000000000000002</v>
      </c>
      <c r="AI77" s="53"/>
      <c r="AJ77" s="53"/>
      <c r="AK77" s="53"/>
      <c r="AL77" s="53"/>
      <c r="AM77" s="53"/>
      <c r="AN77" s="62"/>
      <c r="AO77" s="55"/>
      <c r="AP77" s="23">
        <v>1050</v>
      </c>
      <c r="AQ77" s="23"/>
      <c r="AR77" s="23">
        <v>850</v>
      </c>
      <c r="AS77" s="24"/>
      <c r="AT77" s="82"/>
      <c r="AU77" s="83"/>
    </row>
    <row r="78" spans="1:47" x14ac:dyDescent="0.15">
      <c r="A78" s="12"/>
      <c r="B78" s="9">
        <v>14.8</v>
      </c>
      <c r="C78" s="9">
        <v>16.8</v>
      </c>
      <c r="D78" s="9"/>
      <c r="E78" s="9"/>
      <c r="F78" s="9">
        <v>27.9</v>
      </c>
      <c r="G78" s="9"/>
      <c r="H78" s="9"/>
      <c r="I78" s="9"/>
      <c r="J78" s="9"/>
      <c r="K78" s="9">
        <f>AVERAGE(32.9,33.2,33)</f>
        <v>33.033333333333331</v>
      </c>
      <c r="L78" s="9"/>
      <c r="M78" s="9"/>
      <c r="N78" s="9"/>
      <c r="O78" s="9"/>
      <c r="P78" s="9">
        <v>40.200000000000003</v>
      </c>
      <c r="Q78" s="9"/>
      <c r="R78" s="9"/>
      <c r="S78" s="9"/>
      <c r="T78" s="9"/>
      <c r="U78" s="9"/>
      <c r="V78" s="9"/>
      <c r="W78" s="13"/>
      <c r="X78" s="55">
        <v>320</v>
      </c>
      <c r="Y78" s="23"/>
      <c r="Z78" s="24"/>
      <c r="AA78" s="55"/>
      <c r="AB78" s="23"/>
      <c r="AC78" s="23"/>
      <c r="AD78" s="24"/>
      <c r="AE78" s="55">
        <v>90</v>
      </c>
      <c r="AF78" s="24">
        <v>80</v>
      </c>
      <c r="AG78" s="61">
        <v>1.9</v>
      </c>
      <c r="AH78" s="53"/>
      <c r="AI78" s="53"/>
      <c r="AJ78" s="53"/>
      <c r="AK78" s="53"/>
      <c r="AL78" s="53"/>
      <c r="AM78" s="53"/>
      <c r="AN78" s="62"/>
      <c r="AO78" s="55"/>
      <c r="AP78" s="23">
        <v>900</v>
      </c>
      <c r="AQ78" s="23"/>
      <c r="AR78" s="23">
        <v>480</v>
      </c>
      <c r="AS78" s="24">
        <v>520</v>
      </c>
      <c r="AT78" s="82"/>
      <c r="AU78" s="83"/>
    </row>
    <row r="79" spans="1:47" x14ac:dyDescent="0.15">
      <c r="A79" s="12"/>
      <c r="B79" s="9">
        <v>12.9</v>
      </c>
      <c r="C79" s="9">
        <v>17.600000000000001</v>
      </c>
      <c r="D79" s="9"/>
      <c r="E79" s="9"/>
      <c r="F79" s="9">
        <v>23.2</v>
      </c>
      <c r="G79" s="9"/>
      <c r="H79" s="9"/>
      <c r="I79" s="9"/>
      <c r="J79" s="9"/>
      <c r="K79" s="9">
        <f>AVERAGE(29.4,31.3,29.1)</f>
        <v>29.933333333333337</v>
      </c>
      <c r="L79" s="9"/>
      <c r="M79" s="9"/>
      <c r="N79" s="9"/>
      <c r="O79" s="9"/>
      <c r="P79" s="9">
        <v>31.7</v>
      </c>
      <c r="Q79" s="9"/>
      <c r="R79" s="9"/>
      <c r="S79" s="9"/>
      <c r="T79" s="9"/>
      <c r="U79" s="9"/>
      <c r="V79" s="9"/>
      <c r="W79" s="13"/>
      <c r="X79" s="55">
        <v>320</v>
      </c>
      <c r="Y79" s="23"/>
      <c r="Z79" s="24"/>
      <c r="AA79" s="55"/>
      <c r="AB79" s="23"/>
      <c r="AC79" s="23"/>
      <c r="AD79" s="24"/>
      <c r="AE79" s="55">
        <v>90</v>
      </c>
      <c r="AF79" s="24">
        <v>80</v>
      </c>
      <c r="AG79" s="61">
        <v>1.9</v>
      </c>
      <c r="AH79" s="53"/>
      <c r="AI79" s="53"/>
      <c r="AJ79" s="53"/>
      <c r="AK79" s="53"/>
      <c r="AL79" s="53"/>
      <c r="AM79" s="53"/>
      <c r="AN79" s="62"/>
      <c r="AO79" s="55"/>
      <c r="AP79" s="23">
        <v>900</v>
      </c>
      <c r="AQ79" s="23"/>
      <c r="AR79" s="23">
        <v>480</v>
      </c>
      <c r="AS79" s="24">
        <v>520</v>
      </c>
      <c r="AT79" s="82">
        <v>1</v>
      </c>
      <c r="AU79" s="83"/>
    </row>
    <row r="80" spans="1:47" x14ac:dyDescent="0.15">
      <c r="A80" s="12"/>
      <c r="B80" s="9"/>
      <c r="C80" s="9">
        <v>19.899999999999999</v>
      </c>
      <c r="D80" s="9"/>
      <c r="E80" s="9"/>
      <c r="F80" s="9">
        <f>AVERAGE(26.2,26.2)</f>
        <v>26.2</v>
      </c>
      <c r="G80" s="9"/>
      <c r="H80" s="9"/>
      <c r="I80" s="9"/>
      <c r="J80" s="9"/>
      <c r="K80" s="9">
        <f>AVERAGE(31.9,32.4,31.9)</f>
        <v>32.066666666666663</v>
      </c>
      <c r="L80" s="9"/>
      <c r="M80" s="9"/>
      <c r="N80" s="9"/>
      <c r="O80" s="9"/>
      <c r="P80" s="9">
        <v>39.299999999999997</v>
      </c>
      <c r="Q80" s="9"/>
      <c r="R80" s="9"/>
      <c r="S80" s="9"/>
      <c r="T80" s="9"/>
      <c r="U80" s="9"/>
      <c r="V80" s="9"/>
      <c r="W80" s="13"/>
      <c r="X80" s="55">
        <v>320</v>
      </c>
      <c r="Y80" s="23"/>
      <c r="Z80" s="24"/>
      <c r="AA80" s="55"/>
      <c r="AB80" s="23"/>
      <c r="AC80" s="23"/>
      <c r="AD80" s="24"/>
      <c r="AE80" s="55">
        <v>90</v>
      </c>
      <c r="AF80" s="24">
        <v>80</v>
      </c>
      <c r="AG80" s="61">
        <v>1.9</v>
      </c>
      <c r="AH80" s="53"/>
      <c r="AI80" s="53"/>
      <c r="AJ80" s="53"/>
      <c r="AK80" s="53"/>
      <c r="AL80" s="53"/>
      <c r="AM80" s="53"/>
      <c r="AN80" s="62"/>
      <c r="AO80" s="55"/>
      <c r="AP80" s="23">
        <v>900</v>
      </c>
      <c r="AQ80" s="23"/>
      <c r="AR80" s="23">
        <v>480</v>
      </c>
      <c r="AS80" s="24">
        <v>520</v>
      </c>
      <c r="AT80" s="82">
        <v>1</v>
      </c>
      <c r="AU80" s="83"/>
    </row>
    <row r="81" spans="1:47" x14ac:dyDescent="0.15">
      <c r="A81" s="12"/>
      <c r="B81" s="9">
        <v>16.399999999999999</v>
      </c>
      <c r="C81" s="9"/>
      <c r="D81" s="9"/>
      <c r="E81" s="9"/>
      <c r="F81" s="9">
        <f>AVERAGE(28.8,27)</f>
        <v>27.9</v>
      </c>
      <c r="G81" s="9"/>
      <c r="H81" s="9"/>
      <c r="I81" s="9"/>
      <c r="J81" s="9"/>
      <c r="K81" s="9">
        <f>AVERAGE(30.9,33,32.7)</f>
        <v>32.199999999999996</v>
      </c>
      <c r="L81" s="9"/>
      <c r="M81" s="9"/>
      <c r="N81" s="9"/>
      <c r="O81" s="9"/>
      <c r="P81" s="9">
        <v>40.4</v>
      </c>
      <c r="Q81" s="9"/>
      <c r="R81" s="9"/>
      <c r="S81" s="9"/>
      <c r="T81" s="9"/>
      <c r="U81" s="9"/>
      <c r="V81" s="9"/>
      <c r="W81" s="13"/>
      <c r="X81" s="55">
        <v>320</v>
      </c>
      <c r="Y81" s="23"/>
      <c r="Z81" s="24"/>
      <c r="AA81" s="55"/>
      <c r="AB81" s="23"/>
      <c r="AC81" s="23"/>
      <c r="AD81" s="24"/>
      <c r="AE81" s="55">
        <v>90</v>
      </c>
      <c r="AF81" s="24">
        <v>80</v>
      </c>
      <c r="AG81" s="61">
        <v>1.9</v>
      </c>
      <c r="AH81" s="53"/>
      <c r="AI81" s="53"/>
      <c r="AJ81" s="53"/>
      <c r="AK81" s="53"/>
      <c r="AL81" s="53"/>
      <c r="AM81" s="53"/>
      <c r="AN81" s="62"/>
      <c r="AO81" s="55"/>
      <c r="AP81" s="23">
        <v>900</v>
      </c>
      <c r="AQ81" s="23"/>
      <c r="AR81" s="23">
        <v>480</v>
      </c>
      <c r="AS81" s="24">
        <v>520</v>
      </c>
      <c r="AT81" s="82">
        <v>1</v>
      </c>
      <c r="AU81" s="83"/>
    </row>
    <row r="82" spans="1:47" x14ac:dyDescent="0.15">
      <c r="A82" s="12"/>
      <c r="B82" s="9">
        <v>18.5</v>
      </c>
      <c r="C82" s="9">
        <v>22</v>
      </c>
      <c r="D82" s="9"/>
      <c r="E82" s="9"/>
      <c r="F82" s="9">
        <v>28.8</v>
      </c>
      <c r="G82" s="9"/>
      <c r="H82" s="9"/>
      <c r="I82" s="9"/>
      <c r="J82" s="9"/>
      <c r="K82" s="9">
        <f>AVERAGE(36.5,35.4,36)</f>
        <v>35.966666666666669</v>
      </c>
      <c r="L82" s="9"/>
      <c r="M82" s="9"/>
      <c r="N82" s="9"/>
      <c r="O82" s="9"/>
      <c r="P82" s="9">
        <v>41.1</v>
      </c>
      <c r="Q82" s="9"/>
      <c r="R82" s="9"/>
      <c r="S82" s="9"/>
      <c r="T82" s="9"/>
      <c r="U82" s="9"/>
      <c r="V82" s="9"/>
      <c r="W82" s="13"/>
      <c r="X82" s="55">
        <v>320</v>
      </c>
      <c r="Y82" s="23"/>
      <c r="Z82" s="24"/>
      <c r="AA82" s="55"/>
      <c r="AB82" s="23"/>
      <c r="AC82" s="23"/>
      <c r="AD82" s="24"/>
      <c r="AE82" s="55">
        <v>90</v>
      </c>
      <c r="AF82" s="24">
        <v>80</v>
      </c>
      <c r="AG82" s="61">
        <v>1.9</v>
      </c>
      <c r="AH82" s="53"/>
      <c r="AI82" s="53"/>
      <c r="AJ82" s="53"/>
      <c r="AK82" s="53"/>
      <c r="AL82" s="53"/>
      <c r="AM82" s="53"/>
      <c r="AN82" s="62"/>
      <c r="AO82" s="55"/>
      <c r="AP82" s="23">
        <v>900</v>
      </c>
      <c r="AQ82" s="23"/>
      <c r="AR82" s="23">
        <v>480</v>
      </c>
      <c r="AS82" s="24">
        <v>520</v>
      </c>
      <c r="AT82" s="82"/>
      <c r="AU82" s="83">
        <v>1</v>
      </c>
    </row>
    <row r="83" spans="1:47" x14ac:dyDescent="0.15">
      <c r="A83" s="12"/>
      <c r="B83" s="9">
        <f>AVERAGE(21.9,22)</f>
        <v>21.95</v>
      </c>
      <c r="C83" s="9"/>
      <c r="D83" s="9"/>
      <c r="E83" s="9"/>
      <c r="F83" s="9">
        <f>AVERAGE(32.9,32.7)</f>
        <v>32.799999999999997</v>
      </c>
      <c r="G83" s="9"/>
      <c r="H83" s="9"/>
      <c r="I83" s="9"/>
      <c r="J83" s="9"/>
      <c r="K83" s="9">
        <f>AVERAGE(40,42.1)</f>
        <v>41.05</v>
      </c>
      <c r="L83" s="9"/>
      <c r="M83" s="9"/>
      <c r="N83" s="9"/>
      <c r="O83" s="9">
        <f>AVERAGE(45.6,46.7)</f>
        <v>46.150000000000006</v>
      </c>
      <c r="P83" s="9">
        <f>AVERAGE(44.7,44,46.4,43.7)</f>
        <v>44.7</v>
      </c>
      <c r="Q83" s="8"/>
      <c r="R83" s="8"/>
      <c r="S83" s="8"/>
      <c r="T83" s="8"/>
      <c r="U83" s="8"/>
      <c r="V83" s="8"/>
      <c r="W83" s="11"/>
      <c r="X83" s="55">
        <v>315</v>
      </c>
      <c r="Y83" s="23"/>
      <c r="Z83" s="24"/>
      <c r="AA83" s="55"/>
      <c r="AB83" s="23">
        <v>35</v>
      </c>
      <c r="AC83" s="23"/>
      <c r="AD83" s="24"/>
      <c r="AE83" s="55">
        <v>180</v>
      </c>
      <c r="AF83" s="24"/>
      <c r="AG83" s="61"/>
      <c r="AH83" s="53">
        <v>3.68</v>
      </c>
      <c r="AI83" s="53"/>
      <c r="AJ83" s="53"/>
      <c r="AK83" s="53"/>
      <c r="AL83" s="53"/>
      <c r="AM83" s="53"/>
      <c r="AN83" s="62"/>
      <c r="AO83" s="55"/>
      <c r="AP83" s="23">
        <v>910</v>
      </c>
      <c r="AQ83" s="23">
        <v>160</v>
      </c>
      <c r="AR83" s="23">
        <v>605</v>
      </c>
      <c r="AS83" s="24"/>
      <c r="AT83" s="82"/>
      <c r="AU83" s="83"/>
    </row>
    <row r="84" spans="1:47" x14ac:dyDescent="0.15">
      <c r="A84" s="12"/>
      <c r="B84" s="9">
        <f>AVERAGE(24,23.4)</f>
        <v>23.7</v>
      </c>
      <c r="C84" s="9"/>
      <c r="D84" s="9"/>
      <c r="E84" s="9"/>
      <c r="F84" s="9">
        <f>AVERAGE(36.7,37.5)</f>
        <v>37.1</v>
      </c>
      <c r="G84" s="9"/>
      <c r="H84" s="9"/>
      <c r="I84" s="9"/>
      <c r="J84" s="9"/>
      <c r="K84" s="9">
        <f>AVERAGE(46.5,46.9)</f>
        <v>46.7</v>
      </c>
      <c r="L84" s="9"/>
      <c r="M84" s="9"/>
      <c r="N84" s="9"/>
      <c r="O84" s="9"/>
      <c r="P84" s="9">
        <f>AVERAGE(59.2,55.9)</f>
        <v>57.55</v>
      </c>
      <c r="Q84" s="8"/>
      <c r="R84" s="8"/>
      <c r="S84" s="8"/>
      <c r="T84" s="8"/>
      <c r="U84" s="8"/>
      <c r="V84" s="8"/>
      <c r="W84" s="11"/>
      <c r="X84" s="55">
        <v>300</v>
      </c>
      <c r="Y84" s="23"/>
      <c r="Z84" s="24"/>
      <c r="AA84" s="55">
        <v>55</v>
      </c>
      <c r="AB84" s="23"/>
      <c r="AC84" s="23"/>
      <c r="AD84" s="24"/>
      <c r="AE84" s="55">
        <v>135</v>
      </c>
      <c r="AF84" s="24">
        <v>60</v>
      </c>
      <c r="AG84" s="61">
        <v>1.5</v>
      </c>
      <c r="AH84" s="53">
        <v>1.7</v>
      </c>
      <c r="AI84" s="53"/>
      <c r="AJ84" s="53"/>
      <c r="AK84" s="53"/>
      <c r="AL84" s="53"/>
      <c r="AM84" s="53"/>
      <c r="AN84" s="62"/>
      <c r="AO84" s="55"/>
      <c r="AP84" s="23">
        <v>920</v>
      </c>
      <c r="AQ84" s="23">
        <v>415</v>
      </c>
      <c r="AR84" s="23">
        <v>420</v>
      </c>
      <c r="AS84" s="24"/>
      <c r="AT84" s="82"/>
      <c r="AU84" s="83"/>
    </row>
    <row r="85" spans="1:47" x14ac:dyDescent="0.15">
      <c r="A85" s="12"/>
      <c r="B85" s="9">
        <f>AVERAGE(16,16.7,16.5)</f>
        <v>16.400000000000002</v>
      </c>
      <c r="C85" s="9"/>
      <c r="D85" s="9"/>
      <c r="E85" s="9"/>
      <c r="F85" s="9">
        <f>AVERAGE(23.8,25.2,24.1)</f>
        <v>24.366666666666664</v>
      </c>
      <c r="G85" s="9"/>
      <c r="H85" s="9"/>
      <c r="I85" s="9"/>
      <c r="J85" s="9"/>
      <c r="K85" s="9">
        <f>AVERAGE(35.7,34.7,35.5)</f>
        <v>35.300000000000004</v>
      </c>
      <c r="L85" s="9"/>
      <c r="M85" s="9"/>
      <c r="N85" s="9"/>
      <c r="O85" s="9"/>
      <c r="P85" s="9">
        <f>AVERAGE(42.6,43.9,42.6)</f>
        <v>43.033333333333331</v>
      </c>
      <c r="Q85" s="9"/>
      <c r="R85" s="9"/>
      <c r="S85" s="9"/>
      <c r="T85" s="9"/>
      <c r="U85" s="9"/>
      <c r="V85" s="9"/>
      <c r="W85" s="13"/>
      <c r="X85" s="55">
        <v>300</v>
      </c>
      <c r="Y85" s="23"/>
      <c r="Z85" s="24"/>
      <c r="AA85" s="55">
        <v>50</v>
      </c>
      <c r="AB85" s="23"/>
      <c r="AC85" s="23"/>
      <c r="AD85" s="24"/>
      <c r="AE85" s="55">
        <v>190</v>
      </c>
      <c r="AF85" s="24"/>
      <c r="AG85" s="61">
        <v>1.8</v>
      </c>
      <c r="AH85" s="53">
        <v>1.8</v>
      </c>
      <c r="AI85" s="53"/>
      <c r="AJ85" s="53"/>
      <c r="AK85" s="53"/>
      <c r="AL85" s="53"/>
      <c r="AM85" s="53"/>
      <c r="AN85" s="62"/>
      <c r="AO85" s="55"/>
      <c r="AP85" s="23">
        <v>930</v>
      </c>
      <c r="AQ85" s="23"/>
      <c r="AR85" s="23">
        <v>400</v>
      </c>
      <c r="AS85" s="24">
        <v>410</v>
      </c>
      <c r="AT85" s="82"/>
      <c r="AU85" s="83"/>
    </row>
    <row r="86" spans="1:47" x14ac:dyDescent="0.15">
      <c r="A86" s="12">
        <v>19.100000000000001</v>
      </c>
      <c r="B86" s="9">
        <f>AVERAGE(26.2,23.2,24.2)</f>
        <v>24.533333333333331</v>
      </c>
      <c r="C86" s="9"/>
      <c r="D86" s="9"/>
      <c r="E86" s="9"/>
      <c r="F86" s="9">
        <v>29.2</v>
      </c>
      <c r="G86" s="9"/>
      <c r="H86" s="9"/>
      <c r="I86" s="9"/>
      <c r="J86" s="9"/>
      <c r="K86" s="9">
        <v>39.6</v>
      </c>
      <c r="L86" s="9"/>
      <c r="M86" s="9"/>
      <c r="N86" s="9"/>
      <c r="O86" s="9"/>
      <c r="P86" s="9">
        <v>44.9</v>
      </c>
      <c r="Q86" s="8"/>
      <c r="R86" s="8"/>
      <c r="S86" s="8"/>
      <c r="T86" s="8"/>
      <c r="U86" s="8"/>
      <c r="V86" s="8"/>
      <c r="W86" s="11"/>
      <c r="X86" s="55">
        <v>290</v>
      </c>
      <c r="Y86" s="23"/>
      <c r="Z86" s="24"/>
      <c r="AA86" s="55">
        <v>85</v>
      </c>
      <c r="AB86" s="23"/>
      <c r="AC86" s="23"/>
      <c r="AD86" s="24"/>
      <c r="AE86" s="55">
        <v>185</v>
      </c>
      <c r="AF86" s="24"/>
      <c r="AG86" s="61">
        <v>1.5</v>
      </c>
      <c r="AH86" s="53">
        <v>1.75</v>
      </c>
      <c r="AI86" s="53"/>
      <c r="AJ86" s="53">
        <v>0.4</v>
      </c>
      <c r="AK86" s="53"/>
      <c r="AL86" s="53"/>
      <c r="AM86" s="53"/>
      <c r="AN86" s="62"/>
      <c r="AO86" s="55"/>
      <c r="AP86" s="23">
        <v>950</v>
      </c>
      <c r="AQ86" s="23"/>
      <c r="AR86" s="23">
        <v>420</v>
      </c>
      <c r="AS86" s="24">
        <v>360</v>
      </c>
      <c r="AT86" s="82"/>
      <c r="AU86" s="83"/>
    </row>
    <row r="87" spans="1:47" x14ac:dyDescent="0.15">
      <c r="A87" s="12"/>
      <c r="B87" s="9">
        <f>AVERAGE(20.5,20.1)</f>
        <v>20.3</v>
      </c>
      <c r="C87" s="9"/>
      <c r="D87" s="9"/>
      <c r="E87" s="9"/>
      <c r="F87" s="9">
        <f>AVERAGE(33.6,32.8)</f>
        <v>33.200000000000003</v>
      </c>
      <c r="G87" s="9"/>
      <c r="H87" s="9"/>
      <c r="I87" s="9"/>
      <c r="J87" s="9"/>
      <c r="K87" s="9">
        <f>AVERAGE(42.4,42.7)</f>
        <v>42.55</v>
      </c>
      <c r="L87" s="9"/>
      <c r="M87" s="9"/>
      <c r="N87" s="9"/>
      <c r="O87" s="9">
        <f>AVERAGE(46.9,42.3)</f>
        <v>44.599999999999994</v>
      </c>
      <c r="P87" s="9">
        <f>AVERAGE(45,46.4,47,46.3)</f>
        <v>46.174999999999997</v>
      </c>
      <c r="Q87" s="8"/>
      <c r="R87" s="8"/>
      <c r="S87" s="8"/>
      <c r="T87" s="8"/>
      <c r="U87" s="8"/>
      <c r="V87" s="8"/>
      <c r="W87" s="11"/>
      <c r="X87" s="55">
        <v>290</v>
      </c>
      <c r="Y87" s="23"/>
      <c r="Z87" s="24"/>
      <c r="AA87" s="55"/>
      <c r="AB87" s="23">
        <v>70</v>
      </c>
      <c r="AC87" s="23"/>
      <c r="AD87" s="24"/>
      <c r="AE87" s="55">
        <v>180</v>
      </c>
      <c r="AF87" s="24"/>
      <c r="AG87" s="61"/>
      <c r="AH87" s="53">
        <v>4.9000000000000004</v>
      </c>
      <c r="AI87" s="53"/>
      <c r="AJ87" s="53"/>
      <c r="AK87" s="53"/>
      <c r="AL87" s="53"/>
      <c r="AM87" s="53"/>
      <c r="AN87" s="62"/>
      <c r="AO87" s="55"/>
      <c r="AP87" s="23">
        <v>910</v>
      </c>
      <c r="AQ87" s="23">
        <v>160</v>
      </c>
      <c r="AR87" s="23">
        <v>605</v>
      </c>
      <c r="AS87" s="24"/>
      <c r="AT87" s="82"/>
      <c r="AU87" s="83"/>
    </row>
    <row r="88" spans="1:47" x14ac:dyDescent="0.15">
      <c r="A88" s="12"/>
      <c r="B88" s="9">
        <f>AVERAGE(8.8,9,9)</f>
        <v>8.9333333333333336</v>
      </c>
      <c r="C88" s="9"/>
      <c r="D88" s="9"/>
      <c r="E88" s="9"/>
      <c r="F88" s="9">
        <f>AVERAGE(13.3,13.5,12.9)</f>
        <v>13.233333333333334</v>
      </c>
      <c r="G88" s="9"/>
      <c r="H88" s="9"/>
      <c r="I88" s="9"/>
      <c r="J88" s="9"/>
      <c r="K88" s="9">
        <f>AVERAGE(21.2,21.2,20.5)</f>
        <v>20.966666666666665</v>
      </c>
      <c r="L88" s="9"/>
      <c r="M88" s="9"/>
      <c r="N88" s="9"/>
      <c r="O88" s="9"/>
      <c r="P88" s="9">
        <f>AVERAGE(27.5,26.1,26.6)</f>
        <v>26.733333333333334</v>
      </c>
      <c r="Q88" s="9"/>
      <c r="R88" s="9"/>
      <c r="S88" s="9"/>
      <c r="T88" s="9"/>
      <c r="U88" s="9"/>
      <c r="V88" s="9"/>
      <c r="W88" s="13"/>
      <c r="X88" s="55">
        <v>280</v>
      </c>
      <c r="Y88" s="23"/>
      <c r="Z88" s="24"/>
      <c r="AA88" s="55">
        <v>70</v>
      </c>
      <c r="AB88" s="23"/>
      <c r="AC88" s="23"/>
      <c r="AD88" s="24"/>
      <c r="AE88" s="55">
        <v>180</v>
      </c>
      <c r="AF88" s="24"/>
      <c r="AG88" s="61">
        <v>1.8</v>
      </c>
      <c r="AH88" s="53"/>
      <c r="AI88" s="53"/>
      <c r="AJ88" s="53"/>
      <c r="AK88" s="53"/>
      <c r="AL88" s="53"/>
      <c r="AM88" s="53"/>
      <c r="AN88" s="62"/>
      <c r="AO88" s="55"/>
      <c r="AP88" s="23">
        <v>1005</v>
      </c>
      <c r="AQ88" s="23"/>
      <c r="AR88" s="23">
        <v>400</v>
      </c>
      <c r="AS88" s="24">
        <v>410</v>
      </c>
      <c r="AT88" s="82"/>
      <c r="AU88" s="83"/>
    </row>
    <row r="89" spans="1:47" x14ac:dyDescent="0.15">
      <c r="A89" s="12"/>
      <c r="B89" s="9">
        <f>AVERAGE(9.6,9.2,9.4)</f>
        <v>9.3999999999999986</v>
      </c>
      <c r="C89" s="9"/>
      <c r="D89" s="9"/>
      <c r="E89" s="9"/>
      <c r="F89" s="9">
        <f>AVERAGE(14.9,14.8,14.4)</f>
        <v>14.700000000000001</v>
      </c>
      <c r="G89" s="9"/>
      <c r="H89" s="9"/>
      <c r="I89" s="9"/>
      <c r="J89" s="9"/>
      <c r="K89" s="9">
        <f>AVERAGE(23.7,22.8,23.2)</f>
        <v>23.233333333333334</v>
      </c>
      <c r="L89" s="9"/>
      <c r="M89" s="9"/>
      <c r="N89" s="9"/>
      <c r="O89" s="9"/>
      <c r="P89" s="9">
        <f>AVERAGE(30.4,30.7,31.2)</f>
        <v>30.766666666666666</v>
      </c>
      <c r="Q89" s="9"/>
      <c r="R89" s="9"/>
      <c r="S89" s="9"/>
      <c r="T89" s="9"/>
      <c r="U89" s="9"/>
      <c r="V89" s="9"/>
      <c r="W89" s="13"/>
      <c r="X89" s="55">
        <v>240</v>
      </c>
      <c r="Y89" s="23"/>
      <c r="Z89" s="24"/>
      <c r="AA89" s="55">
        <v>60</v>
      </c>
      <c r="AB89" s="23"/>
      <c r="AC89" s="23"/>
      <c r="AD89" s="24"/>
      <c r="AE89" s="55">
        <v>175</v>
      </c>
      <c r="AF89" s="24"/>
      <c r="AG89" s="61">
        <v>2.2000000000000002</v>
      </c>
      <c r="AH89" s="53"/>
      <c r="AI89" s="53"/>
      <c r="AJ89" s="53"/>
      <c r="AK89" s="53"/>
      <c r="AL89" s="53"/>
      <c r="AM89" s="53"/>
      <c r="AN89" s="62"/>
      <c r="AO89" s="55"/>
      <c r="AP89" s="23">
        <v>970</v>
      </c>
      <c r="AQ89" s="23"/>
      <c r="AR89" s="23">
        <v>400</v>
      </c>
      <c r="AS89" s="24">
        <v>410</v>
      </c>
      <c r="AT89" s="82"/>
      <c r="AU89" s="83"/>
    </row>
    <row r="90" spans="1:47" x14ac:dyDescent="0.15">
      <c r="A90" s="12"/>
      <c r="B90" s="9">
        <f>AVERAGE(5,4.9,5.1)</f>
        <v>5</v>
      </c>
      <c r="C90" s="9"/>
      <c r="D90" s="9"/>
      <c r="E90" s="9"/>
      <c r="F90" s="9">
        <f>AVERAGE(9.3,9.4,9.2)</f>
        <v>9.3000000000000007</v>
      </c>
      <c r="G90" s="9"/>
      <c r="H90" s="9"/>
      <c r="I90" s="9"/>
      <c r="J90" s="9"/>
      <c r="K90" s="9">
        <f>AVERAGE(16.4,16.2,16.6)</f>
        <v>16.399999999999999</v>
      </c>
      <c r="L90" s="9"/>
      <c r="M90" s="9"/>
      <c r="N90" s="9"/>
      <c r="O90" s="9"/>
      <c r="P90" s="9">
        <f>AVERAGE(24.8,24,23.6)</f>
        <v>24.133333333333336</v>
      </c>
      <c r="Q90" s="9"/>
      <c r="R90" s="9"/>
      <c r="S90" s="9"/>
      <c r="T90" s="9"/>
      <c r="U90" s="9"/>
      <c r="V90" s="9"/>
      <c r="W90" s="13"/>
      <c r="X90" s="55">
        <v>180</v>
      </c>
      <c r="Y90" s="23"/>
      <c r="Z90" s="24"/>
      <c r="AA90" s="55">
        <v>120</v>
      </c>
      <c r="AB90" s="23"/>
      <c r="AC90" s="23"/>
      <c r="AD90" s="24"/>
      <c r="AE90" s="55">
        <v>200</v>
      </c>
      <c r="AF90" s="24"/>
      <c r="AG90" s="61">
        <v>1.7</v>
      </c>
      <c r="AH90" s="53"/>
      <c r="AI90" s="53"/>
      <c r="AJ90" s="53"/>
      <c r="AK90" s="53"/>
      <c r="AL90" s="53"/>
      <c r="AM90" s="53"/>
      <c r="AN90" s="62"/>
      <c r="AO90" s="55"/>
      <c r="AP90" s="23">
        <v>980</v>
      </c>
      <c r="AQ90" s="23"/>
      <c r="AR90" s="23">
        <v>400</v>
      </c>
      <c r="AS90" s="24">
        <v>410</v>
      </c>
      <c r="AT90" s="82"/>
      <c r="AU90" s="83"/>
    </row>
    <row r="91" spans="1:47" x14ac:dyDescent="0.15">
      <c r="A91" s="12">
        <v>12.7</v>
      </c>
      <c r="B91" s="9">
        <v>19.100000000000001</v>
      </c>
      <c r="C91" s="9"/>
      <c r="D91" s="9"/>
      <c r="E91" s="9"/>
      <c r="F91" s="9"/>
      <c r="G91" s="9">
        <v>28</v>
      </c>
      <c r="H91" s="9"/>
      <c r="I91" s="9"/>
      <c r="J91" s="9"/>
      <c r="K91" s="9"/>
      <c r="L91" s="9">
        <v>36.6</v>
      </c>
      <c r="M91" s="9"/>
      <c r="N91" s="9"/>
      <c r="O91" s="9"/>
      <c r="P91" s="9">
        <v>45.5</v>
      </c>
      <c r="Q91" s="9"/>
      <c r="R91" s="9"/>
      <c r="S91" s="9"/>
      <c r="T91" s="9"/>
      <c r="U91" s="9"/>
      <c r="V91" s="9"/>
      <c r="W91" s="13"/>
      <c r="X91" s="55"/>
      <c r="Y91" s="23">
        <v>300</v>
      </c>
      <c r="Z91" s="24"/>
      <c r="AA91" s="55">
        <v>50</v>
      </c>
      <c r="AB91" s="23"/>
      <c r="AC91" s="23"/>
      <c r="AD91" s="24"/>
      <c r="AE91" s="55">
        <v>130</v>
      </c>
      <c r="AF91" s="24">
        <v>55</v>
      </c>
      <c r="AG91" s="61">
        <v>1.5</v>
      </c>
      <c r="AH91" s="53">
        <v>1.5</v>
      </c>
      <c r="AI91" s="53"/>
      <c r="AJ91" s="53"/>
      <c r="AK91" s="53"/>
      <c r="AL91" s="53"/>
      <c r="AM91" s="53"/>
      <c r="AN91" s="62"/>
      <c r="AO91" s="55"/>
      <c r="AP91" s="23">
        <v>940</v>
      </c>
      <c r="AQ91" s="23">
        <v>100</v>
      </c>
      <c r="AR91" s="23">
        <v>370</v>
      </c>
      <c r="AS91" s="24">
        <v>370</v>
      </c>
      <c r="AT91" s="82"/>
      <c r="AU91" s="83"/>
    </row>
    <row r="92" spans="1:47" x14ac:dyDescent="0.15">
      <c r="A92" s="12"/>
      <c r="B92" s="9">
        <f>AVERAGE(15.1,14.9)</f>
        <v>15</v>
      </c>
      <c r="C92" s="9"/>
      <c r="D92" s="9"/>
      <c r="E92" s="9"/>
      <c r="F92" s="9">
        <f>AVERAGE(25.7,25.2)</f>
        <v>25.45</v>
      </c>
      <c r="G92" s="9"/>
      <c r="H92" s="9"/>
      <c r="I92" s="9"/>
      <c r="J92" s="9"/>
      <c r="K92" s="9">
        <f>AVERAGE(31.5,31.9)</f>
        <v>31.7</v>
      </c>
      <c r="L92" s="9"/>
      <c r="M92" s="9"/>
      <c r="N92" s="9"/>
      <c r="O92" s="9"/>
      <c r="P92" s="9">
        <f>AVERAGE(40.7,40.1)</f>
        <v>40.400000000000006</v>
      </c>
      <c r="Q92" s="9"/>
      <c r="R92" s="9"/>
      <c r="S92" s="9"/>
      <c r="T92" s="9"/>
      <c r="U92" s="9"/>
      <c r="V92" s="9"/>
      <c r="W92" s="13"/>
      <c r="X92" s="55"/>
      <c r="Y92" s="23"/>
      <c r="Z92" s="24">
        <v>300</v>
      </c>
      <c r="AA92" s="55">
        <v>50</v>
      </c>
      <c r="AB92" s="23">
        <v>180</v>
      </c>
      <c r="AC92" s="23"/>
      <c r="AD92" s="24"/>
      <c r="AE92" s="55">
        <v>200</v>
      </c>
      <c r="AF92" s="24"/>
      <c r="AG92" s="61"/>
      <c r="AH92" s="53">
        <v>3.2</v>
      </c>
      <c r="AI92" s="53"/>
      <c r="AJ92" s="53">
        <v>0.5</v>
      </c>
      <c r="AK92" s="53"/>
      <c r="AL92" s="53"/>
      <c r="AM92" s="53">
        <v>0.3</v>
      </c>
      <c r="AN92" s="62"/>
      <c r="AO92" s="55"/>
      <c r="AP92" s="23">
        <v>885</v>
      </c>
      <c r="AQ92" s="23">
        <v>300</v>
      </c>
      <c r="AR92" s="23">
        <v>528</v>
      </c>
      <c r="AS92" s="24"/>
      <c r="AT92" s="82"/>
      <c r="AU92" s="83"/>
    </row>
    <row r="93" spans="1:47" x14ac:dyDescent="0.15">
      <c r="A93" s="12"/>
      <c r="B93" s="9">
        <f>AVERAGE(15,15)</f>
        <v>15</v>
      </c>
      <c r="C93" s="9"/>
      <c r="D93" s="9"/>
      <c r="E93" s="9"/>
      <c r="F93" s="9">
        <f>AVERAGE(25.1,25.6)</f>
        <v>25.35</v>
      </c>
      <c r="G93" s="9"/>
      <c r="H93" s="9"/>
      <c r="I93" s="9"/>
      <c r="J93" s="9"/>
      <c r="K93" s="9">
        <f>AVERAGE(31.6,33.2)</f>
        <v>32.400000000000006</v>
      </c>
      <c r="L93" s="9"/>
      <c r="M93" s="9"/>
      <c r="N93" s="9"/>
      <c r="O93" s="9"/>
      <c r="P93" s="9">
        <f>AVERAGE(41.4,39.7)</f>
        <v>40.549999999999997</v>
      </c>
      <c r="Q93" s="9"/>
      <c r="R93" s="9"/>
      <c r="S93" s="9"/>
      <c r="T93" s="9"/>
      <c r="U93" s="9"/>
      <c r="V93" s="9"/>
      <c r="W93" s="13"/>
      <c r="X93" s="55"/>
      <c r="Y93" s="23"/>
      <c r="Z93" s="24">
        <v>300</v>
      </c>
      <c r="AA93" s="55">
        <v>50</v>
      </c>
      <c r="AB93" s="23">
        <v>180</v>
      </c>
      <c r="AC93" s="23"/>
      <c r="AD93" s="24"/>
      <c r="AE93" s="55">
        <v>200</v>
      </c>
      <c r="AF93" s="24"/>
      <c r="AG93" s="61"/>
      <c r="AH93" s="53">
        <v>3</v>
      </c>
      <c r="AI93" s="53"/>
      <c r="AJ93" s="53"/>
      <c r="AK93" s="53"/>
      <c r="AL93" s="53"/>
      <c r="AM93" s="53"/>
      <c r="AN93" s="62"/>
      <c r="AO93" s="55"/>
      <c r="AP93" s="23">
        <v>885</v>
      </c>
      <c r="AQ93" s="23">
        <v>300</v>
      </c>
      <c r="AR93" s="23">
        <v>528</v>
      </c>
      <c r="AS93" s="24"/>
      <c r="AT93" s="82"/>
      <c r="AU93" s="83"/>
    </row>
    <row r="94" spans="1:47" ht="14" thickBot="1" x14ac:dyDescent="0.2">
      <c r="A94" s="14"/>
      <c r="B94" s="15">
        <v>19.8</v>
      </c>
      <c r="C94" s="15"/>
      <c r="D94" s="15"/>
      <c r="E94" s="15"/>
      <c r="F94" s="15">
        <v>34.200000000000003</v>
      </c>
      <c r="G94" s="15"/>
      <c r="H94" s="15"/>
      <c r="I94" s="15">
        <v>40</v>
      </c>
      <c r="J94" s="15"/>
      <c r="K94" s="15"/>
      <c r="L94" s="15"/>
      <c r="M94" s="15">
        <v>46.6</v>
      </c>
      <c r="N94" s="15"/>
      <c r="O94" s="15">
        <v>52</v>
      </c>
      <c r="P94" s="15">
        <v>57.4</v>
      </c>
      <c r="Q94" s="15"/>
      <c r="R94" s="15"/>
      <c r="S94" s="15">
        <v>59.2</v>
      </c>
      <c r="T94" s="15"/>
      <c r="U94" s="15"/>
      <c r="V94" s="15"/>
      <c r="W94" s="16"/>
      <c r="X94" s="56"/>
      <c r="Y94" s="26"/>
      <c r="Z94" s="27">
        <v>270</v>
      </c>
      <c r="AA94" s="56">
        <v>75</v>
      </c>
      <c r="AB94" s="26">
        <v>40</v>
      </c>
      <c r="AC94" s="26"/>
      <c r="AD94" s="27"/>
      <c r="AE94" s="56">
        <v>165</v>
      </c>
      <c r="AF94" s="27"/>
      <c r="AG94" s="64">
        <v>2</v>
      </c>
      <c r="AH94" s="54">
        <v>1.8</v>
      </c>
      <c r="AI94" s="54"/>
      <c r="AJ94" s="54"/>
      <c r="AK94" s="54"/>
      <c r="AL94" s="54"/>
      <c r="AM94" s="54"/>
      <c r="AN94" s="65"/>
      <c r="AO94" s="56"/>
      <c r="AP94" s="26">
        <v>900</v>
      </c>
      <c r="AQ94" s="26">
        <v>150</v>
      </c>
      <c r="AR94" s="26">
        <v>760</v>
      </c>
      <c r="AS94" s="27"/>
      <c r="AT94" s="84"/>
      <c r="AU94" s="85"/>
    </row>
    <row r="95" spans="1:47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47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2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2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2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2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2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2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2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2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2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2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2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2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2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2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2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</sheetData>
  <mergeCells count="32">
    <mergeCell ref="AL2:AL3"/>
    <mergeCell ref="AD2:AD3"/>
    <mergeCell ref="AC2:AC3"/>
    <mergeCell ref="AB2:AB3"/>
    <mergeCell ref="AA2:AA3"/>
    <mergeCell ref="AK2:AK3"/>
    <mergeCell ref="AJ2:AJ3"/>
    <mergeCell ref="AI2:AI3"/>
    <mergeCell ref="AH2:AH3"/>
    <mergeCell ref="AG2:AG3"/>
    <mergeCell ref="AF2:AF3"/>
    <mergeCell ref="AP2:AP3"/>
    <mergeCell ref="AO2:AO3"/>
    <mergeCell ref="AN2:AN3"/>
    <mergeCell ref="AM2:AM3"/>
    <mergeCell ref="AO1:AS1"/>
    <mergeCell ref="AT1:AU1"/>
    <mergeCell ref="A2:W2"/>
    <mergeCell ref="X2:X3"/>
    <mergeCell ref="Y2:Y3"/>
    <mergeCell ref="Z2:Z3"/>
    <mergeCell ref="AE2:AE3"/>
    <mergeCell ref="AU2:AU3"/>
    <mergeCell ref="AT2:AT3"/>
    <mergeCell ref="AS2:AS3"/>
    <mergeCell ref="AR2:AR3"/>
    <mergeCell ref="A1:W1"/>
    <mergeCell ref="X1:Z1"/>
    <mergeCell ref="AA1:AD1"/>
    <mergeCell ref="AE1:AF1"/>
    <mergeCell ref="AG1:AN1"/>
    <mergeCell ref="AQ2:AQ3"/>
  </mergeCells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5CC0-0806-4B32-BF97-71C475FBC0EA}">
  <dimension ref="A1:AJ41"/>
  <sheetViews>
    <sheetView workbookViewId="0">
      <selection activeCell="V33" sqref="V33"/>
    </sheetView>
  </sheetViews>
  <sheetFormatPr baseColWidth="10" defaultColWidth="8.83203125" defaultRowHeight="13" x14ac:dyDescent="0.15"/>
  <cols>
    <col min="1" max="23" width="5" style="1" customWidth="1"/>
    <col min="24" max="24" width="12.5" style="6" customWidth="1"/>
    <col min="25" max="25" width="10" style="6" customWidth="1"/>
    <col min="26" max="27" width="7.1640625" style="6" customWidth="1"/>
    <col min="28" max="31" width="11.5" style="6" customWidth="1"/>
    <col min="32" max="36" width="5.6640625" style="6" customWidth="1"/>
  </cols>
  <sheetData>
    <row r="1" spans="1:36" ht="12.75" customHeight="1" thickBot="1" x14ac:dyDescent="0.2">
      <c r="A1" s="154" t="s">
        <v>24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75"/>
      <c r="X1" s="74" t="s">
        <v>26</v>
      </c>
      <c r="Y1" s="75" t="s">
        <v>27</v>
      </c>
      <c r="Z1" s="163" t="s">
        <v>28</v>
      </c>
      <c r="AA1" s="164"/>
      <c r="AB1" s="165" t="s">
        <v>29</v>
      </c>
      <c r="AC1" s="166"/>
      <c r="AD1" s="166"/>
      <c r="AE1" s="167"/>
      <c r="AF1" s="170" t="s">
        <v>30</v>
      </c>
      <c r="AG1" s="112"/>
      <c r="AH1" s="112"/>
      <c r="AI1" s="112"/>
      <c r="AJ1" s="113"/>
    </row>
    <row r="2" spans="1:36" x14ac:dyDescent="0.15">
      <c r="A2" s="139" t="s">
        <v>25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  <c r="X2" s="125" t="s">
        <v>22</v>
      </c>
      <c r="Y2" s="176" t="s">
        <v>2</v>
      </c>
      <c r="Z2" s="148" t="s">
        <v>19</v>
      </c>
      <c r="AA2" s="173" t="s">
        <v>4</v>
      </c>
      <c r="AB2" s="117" t="s">
        <v>5</v>
      </c>
      <c r="AC2" s="119" t="s">
        <v>36</v>
      </c>
      <c r="AD2" s="119" t="s">
        <v>33</v>
      </c>
      <c r="AE2" s="121" t="s">
        <v>12</v>
      </c>
      <c r="AF2" s="168" t="s">
        <v>16</v>
      </c>
      <c r="AG2" s="107" t="s">
        <v>6</v>
      </c>
      <c r="AH2" s="107" t="s">
        <v>7</v>
      </c>
      <c r="AI2" s="107" t="s">
        <v>8</v>
      </c>
      <c r="AJ2" s="109" t="s">
        <v>9</v>
      </c>
    </row>
    <row r="3" spans="1:36" ht="12.75" customHeight="1" thickBot="1" x14ac:dyDescent="0.2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26"/>
      <c r="Y3" s="177"/>
      <c r="Z3" s="149"/>
      <c r="AA3" s="174"/>
      <c r="AB3" s="118"/>
      <c r="AC3" s="120"/>
      <c r="AD3" s="120"/>
      <c r="AE3" s="122"/>
      <c r="AF3" s="169"/>
      <c r="AG3" s="108"/>
      <c r="AH3" s="108"/>
      <c r="AI3" s="108"/>
      <c r="AJ3" s="110"/>
    </row>
    <row r="4" spans="1:36" x14ac:dyDescent="0.15">
      <c r="A4" s="17"/>
      <c r="B4" s="18">
        <v>12.5</v>
      </c>
      <c r="C4" s="18"/>
      <c r="D4" s="18"/>
      <c r="E4" s="18"/>
      <c r="F4" s="18">
        <v>24.6</v>
      </c>
      <c r="G4" s="18"/>
      <c r="H4" s="18"/>
      <c r="I4" s="18"/>
      <c r="J4" s="18"/>
      <c r="K4" s="18">
        <f>AVERAGE(41.8,41.3)</f>
        <v>41.55</v>
      </c>
      <c r="L4" s="18"/>
      <c r="M4" s="18"/>
      <c r="N4" s="18"/>
      <c r="O4" s="18"/>
      <c r="P4" s="18">
        <v>50.7</v>
      </c>
      <c r="Q4" s="66"/>
      <c r="R4" s="66"/>
      <c r="S4" s="66"/>
      <c r="T4" s="66"/>
      <c r="U4" s="66"/>
      <c r="V4" s="66"/>
      <c r="W4" s="70"/>
      <c r="X4" s="67">
        <v>430</v>
      </c>
      <c r="Y4" s="67">
        <v>50</v>
      </c>
      <c r="Z4" s="57">
        <v>195</v>
      </c>
      <c r="AA4" s="47"/>
      <c r="AB4" s="59"/>
      <c r="AC4" s="58">
        <v>3.3</v>
      </c>
      <c r="AD4" s="58"/>
      <c r="AE4" s="60"/>
      <c r="AF4" s="57"/>
      <c r="AG4" s="46">
        <v>900</v>
      </c>
      <c r="AH4" s="46">
        <v>690</v>
      </c>
      <c r="AI4" s="46"/>
      <c r="AJ4" s="47"/>
    </row>
    <row r="5" spans="1:36" x14ac:dyDescent="0.15">
      <c r="A5" s="12"/>
      <c r="B5" s="9">
        <v>15.4</v>
      </c>
      <c r="C5" s="9"/>
      <c r="D5" s="9"/>
      <c r="E5" s="9"/>
      <c r="F5" s="9">
        <f>AVERAGE(26.1,26.2,25.4)</f>
        <v>25.899999999999995</v>
      </c>
      <c r="G5" s="9"/>
      <c r="H5" s="9"/>
      <c r="I5" s="9"/>
      <c r="J5" s="9"/>
      <c r="K5" s="9">
        <f>AVERAGE(36.4,37.7,36.6)</f>
        <v>36.9</v>
      </c>
      <c r="L5" s="9"/>
      <c r="M5" s="9"/>
      <c r="N5" s="9"/>
      <c r="O5" s="9"/>
      <c r="P5" s="9">
        <f>AVERAGE(43.2,46.7)</f>
        <v>44.95</v>
      </c>
      <c r="Q5" s="8"/>
      <c r="R5" s="8"/>
      <c r="S5" s="8"/>
      <c r="T5" s="8"/>
      <c r="U5" s="8"/>
      <c r="V5" s="8"/>
      <c r="W5" s="71"/>
      <c r="X5" s="68">
        <v>400</v>
      </c>
      <c r="Y5" s="68">
        <v>40</v>
      </c>
      <c r="Z5" s="55">
        <v>205</v>
      </c>
      <c r="AA5" s="24"/>
      <c r="AB5" s="61">
        <v>2.5</v>
      </c>
      <c r="AC5" s="53"/>
      <c r="AD5" s="53"/>
      <c r="AE5" s="62"/>
      <c r="AF5" s="55"/>
      <c r="AG5" s="23">
        <v>830</v>
      </c>
      <c r="AH5" s="23">
        <v>120</v>
      </c>
      <c r="AI5" s="23">
        <v>440</v>
      </c>
      <c r="AJ5" s="24">
        <v>380</v>
      </c>
    </row>
    <row r="6" spans="1:36" x14ac:dyDescent="0.15">
      <c r="A6" s="12"/>
      <c r="B6" s="9">
        <v>16.600000000000001</v>
      </c>
      <c r="C6" s="9"/>
      <c r="D6" s="9"/>
      <c r="E6" s="9"/>
      <c r="F6" s="9">
        <v>31.1</v>
      </c>
      <c r="G6" s="9"/>
      <c r="H6" s="9"/>
      <c r="I6" s="9"/>
      <c r="J6" s="9"/>
      <c r="K6" s="9">
        <v>44.8</v>
      </c>
      <c r="L6" s="9"/>
      <c r="M6" s="9"/>
      <c r="N6" s="9"/>
      <c r="O6" s="9"/>
      <c r="P6" s="9">
        <v>52.4</v>
      </c>
      <c r="Q6" s="9"/>
      <c r="R6" s="9"/>
      <c r="S6" s="9"/>
      <c r="T6" s="9"/>
      <c r="U6" s="9">
        <v>56.1</v>
      </c>
      <c r="V6" s="9"/>
      <c r="W6" s="72"/>
      <c r="X6" s="68">
        <v>390</v>
      </c>
      <c r="Y6" s="68">
        <v>40</v>
      </c>
      <c r="Z6" s="55">
        <v>100</v>
      </c>
      <c r="AA6" s="24">
        <v>90</v>
      </c>
      <c r="AB6" s="61">
        <v>2.7</v>
      </c>
      <c r="AC6" s="53"/>
      <c r="AD6" s="53"/>
      <c r="AE6" s="62">
        <v>2</v>
      </c>
      <c r="AF6" s="55"/>
      <c r="AG6" s="23">
        <v>850</v>
      </c>
      <c r="AH6" s="23">
        <v>150</v>
      </c>
      <c r="AI6" s="23">
        <v>390</v>
      </c>
      <c r="AJ6" s="24">
        <v>330</v>
      </c>
    </row>
    <row r="7" spans="1:36" x14ac:dyDescent="0.15">
      <c r="A7" s="12"/>
      <c r="B7" s="9">
        <v>15.5</v>
      </c>
      <c r="C7" s="9"/>
      <c r="D7" s="9"/>
      <c r="E7" s="9"/>
      <c r="F7" s="9">
        <v>28.8</v>
      </c>
      <c r="G7" s="9"/>
      <c r="H7" s="9"/>
      <c r="I7" s="9"/>
      <c r="J7" s="9"/>
      <c r="K7" s="9">
        <v>39.9</v>
      </c>
      <c r="L7" s="9"/>
      <c r="M7" s="9"/>
      <c r="N7" s="9"/>
      <c r="O7" s="9"/>
      <c r="P7" s="9">
        <v>50.1</v>
      </c>
      <c r="Q7" s="9"/>
      <c r="R7" s="9"/>
      <c r="S7" s="9"/>
      <c r="T7" s="9"/>
      <c r="U7" s="9">
        <v>52.8</v>
      </c>
      <c r="V7" s="9"/>
      <c r="W7" s="72"/>
      <c r="X7" s="68">
        <v>390</v>
      </c>
      <c r="Y7" s="68">
        <v>40</v>
      </c>
      <c r="Z7" s="55">
        <v>100</v>
      </c>
      <c r="AA7" s="24">
        <v>90</v>
      </c>
      <c r="AB7" s="61">
        <v>2.7</v>
      </c>
      <c r="AC7" s="53"/>
      <c r="AD7" s="53"/>
      <c r="AE7" s="62"/>
      <c r="AF7" s="55"/>
      <c r="AG7" s="23">
        <v>850</v>
      </c>
      <c r="AH7" s="23">
        <v>150</v>
      </c>
      <c r="AI7" s="23">
        <v>390</v>
      </c>
      <c r="AJ7" s="24">
        <v>330</v>
      </c>
    </row>
    <row r="8" spans="1:36" x14ac:dyDescent="0.15">
      <c r="A8" s="12"/>
      <c r="B8" s="9"/>
      <c r="C8" s="9">
        <v>21.8</v>
      </c>
      <c r="D8" s="9"/>
      <c r="E8" s="9"/>
      <c r="F8" s="9">
        <v>28.9</v>
      </c>
      <c r="G8" s="9"/>
      <c r="H8" s="9"/>
      <c r="I8" s="9"/>
      <c r="J8" s="9"/>
      <c r="K8" s="9">
        <f>AVERAGE(43,44.1)</f>
        <v>43.55</v>
      </c>
      <c r="L8" s="9"/>
      <c r="M8" s="9"/>
      <c r="N8" s="9"/>
      <c r="O8" s="9"/>
      <c r="P8" s="9">
        <v>58.9</v>
      </c>
      <c r="Q8" s="9"/>
      <c r="R8" s="9"/>
      <c r="S8" s="9"/>
      <c r="T8" s="9"/>
      <c r="U8" s="9"/>
      <c r="V8" s="9"/>
      <c r="W8" s="72"/>
      <c r="X8" s="68">
        <v>370</v>
      </c>
      <c r="Y8" s="68">
        <v>70</v>
      </c>
      <c r="Z8" s="55">
        <v>175</v>
      </c>
      <c r="AA8" s="24"/>
      <c r="AB8" s="61">
        <v>1.7</v>
      </c>
      <c r="AC8" s="53">
        <v>2.2000000000000002</v>
      </c>
      <c r="AD8" s="53"/>
      <c r="AE8" s="62"/>
      <c r="AF8" s="55"/>
      <c r="AG8" s="23">
        <v>800</v>
      </c>
      <c r="AH8" s="23">
        <v>370</v>
      </c>
      <c r="AI8" s="23">
        <v>450</v>
      </c>
      <c r="AJ8" s="24"/>
    </row>
    <row r="9" spans="1:36" x14ac:dyDescent="0.15">
      <c r="A9" s="12">
        <v>7.2</v>
      </c>
      <c r="B9" s="9">
        <v>16.2</v>
      </c>
      <c r="C9" s="9"/>
      <c r="D9" s="9"/>
      <c r="E9" s="9"/>
      <c r="F9" s="9">
        <v>29.6</v>
      </c>
      <c r="G9" s="9"/>
      <c r="H9" s="9"/>
      <c r="I9" s="9"/>
      <c r="J9" s="9"/>
      <c r="K9" s="9">
        <f>AVERAGE(44.2,43.2)</f>
        <v>43.7</v>
      </c>
      <c r="L9" s="9"/>
      <c r="M9" s="9"/>
      <c r="N9" s="9"/>
      <c r="O9" s="9"/>
      <c r="P9" s="9">
        <v>54</v>
      </c>
      <c r="Q9" s="9"/>
      <c r="R9" s="9"/>
      <c r="S9" s="9"/>
      <c r="T9" s="9"/>
      <c r="U9" s="9"/>
      <c r="V9" s="9"/>
      <c r="W9" s="72"/>
      <c r="X9" s="68">
        <v>370</v>
      </c>
      <c r="Y9" s="68">
        <v>45</v>
      </c>
      <c r="Z9" s="55">
        <v>100</v>
      </c>
      <c r="AA9" s="24">
        <v>90</v>
      </c>
      <c r="AB9" s="61">
        <v>2.6</v>
      </c>
      <c r="AC9" s="53">
        <v>1</v>
      </c>
      <c r="AD9" s="53"/>
      <c r="AE9" s="62"/>
      <c r="AF9" s="55"/>
      <c r="AG9" s="23">
        <v>870</v>
      </c>
      <c r="AH9" s="23">
        <v>300</v>
      </c>
      <c r="AI9" s="23">
        <v>560</v>
      </c>
      <c r="AJ9" s="24"/>
    </row>
    <row r="10" spans="1:36" x14ac:dyDescent="0.15">
      <c r="A10" s="12">
        <v>6.3</v>
      </c>
      <c r="B10" s="9">
        <v>14.8</v>
      </c>
      <c r="C10" s="9"/>
      <c r="D10" s="9"/>
      <c r="E10" s="9"/>
      <c r="F10" s="9">
        <v>26.4</v>
      </c>
      <c r="G10" s="9"/>
      <c r="H10" s="9"/>
      <c r="I10" s="9"/>
      <c r="J10" s="9"/>
      <c r="K10" s="9">
        <f>AVERAGE(41.1,40.2)</f>
        <v>40.650000000000006</v>
      </c>
      <c r="L10" s="9"/>
      <c r="M10" s="9"/>
      <c r="N10" s="9"/>
      <c r="O10" s="9"/>
      <c r="P10" s="9">
        <v>54.6</v>
      </c>
      <c r="Q10" s="9"/>
      <c r="R10" s="9"/>
      <c r="S10" s="9"/>
      <c r="T10" s="9"/>
      <c r="U10" s="9"/>
      <c r="V10" s="9"/>
      <c r="W10" s="72"/>
      <c r="X10" s="68">
        <v>370</v>
      </c>
      <c r="Y10" s="68">
        <v>45</v>
      </c>
      <c r="Z10" s="55">
        <v>100</v>
      </c>
      <c r="AA10" s="24">
        <v>90</v>
      </c>
      <c r="AB10" s="61">
        <v>2.6</v>
      </c>
      <c r="AC10" s="53">
        <v>1</v>
      </c>
      <c r="AD10" s="53"/>
      <c r="AE10" s="62"/>
      <c r="AF10" s="55"/>
      <c r="AG10" s="23">
        <v>870</v>
      </c>
      <c r="AH10" s="23">
        <v>300</v>
      </c>
      <c r="AI10" s="23">
        <v>560</v>
      </c>
      <c r="AJ10" s="24"/>
    </row>
    <row r="11" spans="1:36" x14ac:dyDescent="0.15">
      <c r="A11" s="12"/>
      <c r="B11" s="9">
        <f>AVERAGE(16.4,16.2)</f>
        <v>16.299999999999997</v>
      </c>
      <c r="C11" s="9"/>
      <c r="D11" s="9"/>
      <c r="E11" s="9"/>
      <c r="F11" s="9">
        <f>AVERAGE(29.1,27.6)</f>
        <v>28.35</v>
      </c>
      <c r="G11" s="9"/>
      <c r="H11" s="9"/>
      <c r="I11" s="9"/>
      <c r="J11" s="9"/>
      <c r="K11" s="9">
        <f>AVERAGE(45.6,47.2)</f>
        <v>46.400000000000006</v>
      </c>
      <c r="L11" s="9"/>
      <c r="M11" s="9"/>
      <c r="N11" s="9"/>
      <c r="O11" s="9"/>
      <c r="P11" s="9">
        <f>AVERAGE(59.5,54)</f>
        <v>56.75</v>
      </c>
      <c r="Q11" s="8"/>
      <c r="R11" s="8"/>
      <c r="S11" s="8"/>
      <c r="T11" s="8"/>
      <c r="U11" s="8"/>
      <c r="V11" s="8"/>
      <c r="W11" s="71"/>
      <c r="X11" s="68">
        <v>365</v>
      </c>
      <c r="Y11" s="68">
        <v>30</v>
      </c>
      <c r="Z11" s="55"/>
      <c r="AA11" s="24">
        <v>185</v>
      </c>
      <c r="AB11" s="61"/>
      <c r="AC11" s="53">
        <v>1.5</v>
      </c>
      <c r="AD11" s="53"/>
      <c r="AE11" s="62"/>
      <c r="AF11" s="55"/>
      <c r="AG11" s="23">
        <v>860</v>
      </c>
      <c r="AH11" s="23">
        <v>200</v>
      </c>
      <c r="AI11" s="23">
        <v>415</v>
      </c>
      <c r="AJ11" s="24">
        <v>340</v>
      </c>
    </row>
    <row r="12" spans="1:36" x14ac:dyDescent="0.15">
      <c r="A12" s="12">
        <v>1.1000000000000001</v>
      </c>
      <c r="B12" s="9">
        <v>18.399999999999999</v>
      </c>
      <c r="C12" s="9">
        <v>24.1</v>
      </c>
      <c r="D12" s="9"/>
      <c r="E12" s="9"/>
      <c r="F12" s="9">
        <v>33.5</v>
      </c>
      <c r="G12" s="9"/>
      <c r="H12" s="9"/>
      <c r="I12" s="9">
        <v>40.4</v>
      </c>
      <c r="J12" s="9"/>
      <c r="K12" s="9">
        <v>49.3</v>
      </c>
      <c r="L12" s="9"/>
      <c r="M12" s="9"/>
      <c r="N12" s="9"/>
      <c r="O12" s="9"/>
      <c r="P12" s="9">
        <v>62.6</v>
      </c>
      <c r="Q12" s="9"/>
      <c r="R12" s="9"/>
      <c r="S12" s="9"/>
      <c r="T12" s="9"/>
      <c r="U12" s="9"/>
      <c r="V12" s="9"/>
      <c r="W12" s="72"/>
      <c r="X12" s="68">
        <v>365</v>
      </c>
      <c r="Y12" s="68">
        <v>50</v>
      </c>
      <c r="Z12" s="55">
        <v>190</v>
      </c>
      <c r="AA12" s="24"/>
      <c r="AB12" s="61">
        <v>1.8</v>
      </c>
      <c r="AC12" s="53">
        <v>2.2000000000000002</v>
      </c>
      <c r="AD12" s="53"/>
      <c r="AE12" s="62">
        <v>2</v>
      </c>
      <c r="AF12" s="55"/>
      <c r="AG12" s="23">
        <v>880</v>
      </c>
      <c r="AH12" s="23">
        <v>185</v>
      </c>
      <c r="AI12" s="23">
        <v>660</v>
      </c>
      <c r="AJ12" s="24"/>
    </row>
    <row r="13" spans="1:36" x14ac:dyDescent="0.15">
      <c r="A13" s="12">
        <v>2.7</v>
      </c>
      <c r="B13" s="9">
        <v>17.100000000000001</v>
      </c>
      <c r="C13" s="9">
        <v>22</v>
      </c>
      <c r="D13" s="9"/>
      <c r="E13" s="9"/>
      <c r="F13" s="9">
        <v>30.7</v>
      </c>
      <c r="G13" s="9"/>
      <c r="H13" s="9"/>
      <c r="I13" s="9">
        <v>38.9</v>
      </c>
      <c r="J13" s="9"/>
      <c r="K13" s="9">
        <v>47.9</v>
      </c>
      <c r="L13" s="9"/>
      <c r="M13" s="9"/>
      <c r="N13" s="9"/>
      <c r="O13" s="9"/>
      <c r="P13" s="9">
        <v>62.6</v>
      </c>
      <c r="Q13" s="9"/>
      <c r="R13" s="9"/>
      <c r="S13" s="9"/>
      <c r="T13" s="9"/>
      <c r="U13" s="9"/>
      <c r="V13" s="9"/>
      <c r="W13" s="72"/>
      <c r="X13" s="68">
        <v>365</v>
      </c>
      <c r="Y13" s="68">
        <v>50</v>
      </c>
      <c r="Z13" s="55">
        <v>190</v>
      </c>
      <c r="AA13" s="24"/>
      <c r="AB13" s="61">
        <v>1.8</v>
      </c>
      <c r="AC13" s="53">
        <v>2.2000000000000002</v>
      </c>
      <c r="AD13" s="53"/>
      <c r="AE13" s="62"/>
      <c r="AF13" s="55"/>
      <c r="AG13" s="23">
        <v>880</v>
      </c>
      <c r="AH13" s="23">
        <v>185</v>
      </c>
      <c r="AI13" s="23">
        <v>660</v>
      </c>
      <c r="AJ13" s="24"/>
    </row>
    <row r="14" spans="1:36" x14ac:dyDescent="0.15">
      <c r="A14" s="12"/>
      <c r="B14" s="9">
        <f>AVERAGE(11.4,11.8)</f>
        <v>11.600000000000001</v>
      </c>
      <c r="C14" s="9"/>
      <c r="D14" s="9"/>
      <c r="E14" s="9"/>
      <c r="F14" s="9"/>
      <c r="G14" s="9">
        <f>AVERAGE(28.7,29.6)</f>
        <v>29.15</v>
      </c>
      <c r="H14" s="9"/>
      <c r="I14" s="9"/>
      <c r="J14" s="9"/>
      <c r="K14" s="9">
        <f>AVERAGE(44.9,46)</f>
        <v>45.45</v>
      </c>
      <c r="L14" s="9"/>
      <c r="M14" s="9"/>
      <c r="N14" s="9"/>
      <c r="O14" s="9"/>
      <c r="P14" s="9">
        <f>AVERAGE(55.3,56.6)</f>
        <v>55.95</v>
      </c>
      <c r="Q14" s="8"/>
      <c r="R14" s="8"/>
      <c r="S14" s="8"/>
      <c r="T14" s="8"/>
      <c r="U14" s="8"/>
      <c r="V14" s="8"/>
      <c r="W14" s="71"/>
      <c r="X14" s="68">
        <v>360</v>
      </c>
      <c r="Y14" s="68">
        <v>50</v>
      </c>
      <c r="Z14" s="55">
        <v>130</v>
      </c>
      <c r="AA14" s="24">
        <v>50</v>
      </c>
      <c r="AB14" s="61">
        <v>1.2</v>
      </c>
      <c r="AC14" s="53">
        <v>1.7</v>
      </c>
      <c r="AD14" s="53"/>
      <c r="AE14" s="62"/>
      <c r="AF14" s="55"/>
      <c r="AG14" s="23">
        <v>940</v>
      </c>
      <c r="AH14" s="23"/>
      <c r="AI14" s="23">
        <v>525</v>
      </c>
      <c r="AJ14" s="24">
        <v>300</v>
      </c>
    </row>
    <row r="15" spans="1:36" x14ac:dyDescent="0.15">
      <c r="A15" s="12"/>
      <c r="B15" s="9">
        <f>AVERAGE(17.3,17.6)</f>
        <v>17.450000000000003</v>
      </c>
      <c r="C15" s="9"/>
      <c r="D15" s="9"/>
      <c r="E15" s="9"/>
      <c r="F15" s="9">
        <f>AVERAGE(31.9,31.1)</f>
        <v>31.5</v>
      </c>
      <c r="G15" s="9"/>
      <c r="H15" s="9"/>
      <c r="I15" s="9"/>
      <c r="J15" s="9"/>
      <c r="K15" s="9">
        <f>AVERAGE(48.8,48.2)</f>
        <v>48.5</v>
      </c>
      <c r="L15" s="9"/>
      <c r="M15" s="9"/>
      <c r="N15" s="9"/>
      <c r="O15" s="9"/>
      <c r="P15" s="9">
        <f>AVERAGE(63,61.9)</f>
        <v>62.45</v>
      </c>
      <c r="Q15" s="8"/>
      <c r="R15" s="8"/>
      <c r="S15" s="8"/>
      <c r="T15" s="8"/>
      <c r="U15" s="8"/>
      <c r="V15" s="8"/>
      <c r="W15" s="71"/>
      <c r="X15" s="68">
        <v>360</v>
      </c>
      <c r="Y15" s="68">
        <v>50</v>
      </c>
      <c r="Z15" s="55">
        <v>125</v>
      </c>
      <c r="AA15" s="24">
        <v>65</v>
      </c>
      <c r="AB15" s="61"/>
      <c r="AC15" s="53">
        <v>2.25</v>
      </c>
      <c r="AD15" s="53"/>
      <c r="AE15" s="62"/>
      <c r="AF15" s="55"/>
      <c r="AG15" s="23">
        <v>885</v>
      </c>
      <c r="AH15" s="23"/>
      <c r="AI15" s="23">
        <v>480</v>
      </c>
      <c r="AJ15" s="24">
        <v>360</v>
      </c>
    </row>
    <row r="16" spans="1:36" x14ac:dyDescent="0.15">
      <c r="A16" s="12"/>
      <c r="B16" s="9">
        <f>AVERAGE(17.7,17.2)</f>
        <v>17.45</v>
      </c>
      <c r="C16" s="9"/>
      <c r="D16" s="9"/>
      <c r="E16" s="9"/>
      <c r="F16" s="9"/>
      <c r="G16" s="9">
        <f>AVERAGE(37.6,37.8)</f>
        <v>37.700000000000003</v>
      </c>
      <c r="H16" s="9"/>
      <c r="I16" s="9"/>
      <c r="J16" s="9"/>
      <c r="K16" s="9">
        <f>AVERAGE(48.2,48.3)</f>
        <v>48.25</v>
      </c>
      <c r="L16" s="9"/>
      <c r="M16" s="9"/>
      <c r="N16" s="9"/>
      <c r="O16" s="9"/>
      <c r="P16" s="9">
        <f>AVERAGE(59.4,60.2)</f>
        <v>59.8</v>
      </c>
      <c r="Q16" s="8"/>
      <c r="R16" s="8"/>
      <c r="S16" s="8"/>
      <c r="T16" s="8"/>
      <c r="U16" s="8"/>
      <c r="V16" s="8"/>
      <c r="W16" s="71"/>
      <c r="X16" s="68">
        <v>360</v>
      </c>
      <c r="Y16" s="68">
        <v>50</v>
      </c>
      <c r="Z16" s="55">
        <v>130</v>
      </c>
      <c r="AA16" s="24">
        <v>50</v>
      </c>
      <c r="AB16" s="61">
        <v>1.2</v>
      </c>
      <c r="AC16" s="53">
        <v>1.7</v>
      </c>
      <c r="AD16" s="53"/>
      <c r="AE16" s="62"/>
      <c r="AF16" s="55"/>
      <c r="AG16" s="23">
        <v>940</v>
      </c>
      <c r="AH16" s="23"/>
      <c r="AI16" s="23">
        <v>525</v>
      </c>
      <c r="AJ16" s="24">
        <v>300</v>
      </c>
    </row>
    <row r="17" spans="1:36" x14ac:dyDescent="0.15">
      <c r="A17" s="12"/>
      <c r="B17" s="9">
        <f>AVERAGE(15.2,15.6)</f>
        <v>15.399999999999999</v>
      </c>
      <c r="C17" s="9"/>
      <c r="D17" s="9"/>
      <c r="E17" s="9"/>
      <c r="F17" s="9">
        <f>AVERAGE(25.6,24.7)</f>
        <v>25.15</v>
      </c>
      <c r="G17" s="9"/>
      <c r="H17" s="9"/>
      <c r="I17" s="9"/>
      <c r="J17" s="9"/>
      <c r="K17" s="9">
        <f>AVERAGE(36.4,38.1)</f>
        <v>37.25</v>
      </c>
      <c r="L17" s="9"/>
      <c r="M17" s="9"/>
      <c r="N17" s="9"/>
      <c r="O17" s="9"/>
      <c r="P17" s="9">
        <f>AVERAGE(49,47.3)</f>
        <v>48.15</v>
      </c>
      <c r="Q17" s="9"/>
      <c r="R17" s="9"/>
      <c r="S17" s="9"/>
      <c r="T17" s="9"/>
      <c r="U17" s="9"/>
      <c r="V17" s="9"/>
      <c r="W17" s="72"/>
      <c r="X17" s="68">
        <v>355</v>
      </c>
      <c r="Y17" s="68">
        <v>55</v>
      </c>
      <c r="Z17" s="55">
        <v>100</v>
      </c>
      <c r="AA17" s="24">
        <v>100</v>
      </c>
      <c r="AB17" s="61">
        <v>2.2999999999999998</v>
      </c>
      <c r="AC17" s="53"/>
      <c r="AD17" s="53"/>
      <c r="AE17" s="62"/>
      <c r="AF17" s="55"/>
      <c r="AG17" s="23">
        <v>840</v>
      </c>
      <c r="AH17" s="23">
        <v>160</v>
      </c>
      <c r="AI17" s="23">
        <v>420</v>
      </c>
      <c r="AJ17" s="24">
        <v>340</v>
      </c>
    </row>
    <row r="18" spans="1:36" x14ac:dyDescent="0.15">
      <c r="A18" s="12"/>
      <c r="B18" s="9">
        <v>14.1</v>
      </c>
      <c r="C18" s="9"/>
      <c r="D18" s="9"/>
      <c r="E18" s="9"/>
      <c r="F18" s="9">
        <v>23.8</v>
      </c>
      <c r="G18" s="9"/>
      <c r="H18" s="9"/>
      <c r="I18" s="9"/>
      <c r="J18" s="9"/>
      <c r="K18" s="9">
        <f>AVERAGE(36.9,29.9)</f>
        <v>33.4</v>
      </c>
      <c r="L18" s="9"/>
      <c r="M18" s="9"/>
      <c r="N18" s="9"/>
      <c r="O18" s="9"/>
      <c r="P18" s="9">
        <f>AVERAGE(49.4,46.1)</f>
        <v>47.75</v>
      </c>
      <c r="Q18" s="9"/>
      <c r="R18" s="9"/>
      <c r="S18" s="9"/>
      <c r="T18" s="9"/>
      <c r="U18" s="9"/>
      <c r="V18" s="9"/>
      <c r="W18" s="72"/>
      <c r="X18" s="68">
        <v>355</v>
      </c>
      <c r="Y18" s="68">
        <v>55</v>
      </c>
      <c r="Z18" s="55">
        <v>100</v>
      </c>
      <c r="AA18" s="24">
        <v>100</v>
      </c>
      <c r="AB18" s="61">
        <v>2.2999999999999998</v>
      </c>
      <c r="AC18" s="53"/>
      <c r="AD18" s="53"/>
      <c r="AE18" s="62"/>
      <c r="AF18" s="55"/>
      <c r="AG18" s="23">
        <v>840</v>
      </c>
      <c r="AH18" s="23">
        <v>300</v>
      </c>
      <c r="AI18" s="23">
        <v>620</v>
      </c>
      <c r="AJ18" s="24"/>
    </row>
    <row r="19" spans="1:36" x14ac:dyDescent="0.15">
      <c r="A19" s="10"/>
      <c r="B19" s="9">
        <v>11.7</v>
      </c>
      <c r="C19" s="9"/>
      <c r="D19" s="9"/>
      <c r="E19" s="9"/>
      <c r="F19" s="9">
        <v>21</v>
      </c>
      <c r="G19" s="9"/>
      <c r="H19" s="9"/>
      <c r="I19" s="9"/>
      <c r="J19" s="9"/>
      <c r="K19" s="9">
        <f>AVERAGE(37.2,37.7,37.3)</f>
        <v>37.4</v>
      </c>
      <c r="L19" s="9"/>
      <c r="M19" s="9"/>
      <c r="N19" s="9"/>
      <c r="O19" s="9"/>
      <c r="P19" s="9">
        <v>62.4</v>
      </c>
      <c r="Q19" s="8"/>
      <c r="R19" s="8"/>
      <c r="S19" s="8"/>
      <c r="T19" s="8"/>
      <c r="U19" s="8"/>
      <c r="V19" s="8"/>
      <c r="W19" s="71"/>
      <c r="X19" s="68">
        <v>350</v>
      </c>
      <c r="Y19" s="68">
        <v>42</v>
      </c>
      <c r="Z19" s="55">
        <v>195</v>
      </c>
      <c r="AA19" s="24"/>
      <c r="AB19" s="61">
        <v>1.9</v>
      </c>
      <c r="AC19" s="53"/>
      <c r="AD19" s="53"/>
      <c r="AE19" s="62"/>
      <c r="AF19" s="55"/>
      <c r="AG19" s="23">
        <v>820</v>
      </c>
      <c r="AH19" s="23">
        <v>130</v>
      </c>
      <c r="AI19" s="23">
        <v>810</v>
      </c>
      <c r="AJ19" s="24"/>
    </row>
    <row r="20" spans="1:36" x14ac:dyDescent="0.15">
      <c r="A20" s="12">
        <v>6.4</v>
      </c>
      <c r="B20" s="9">
        <f>AVERAGE(12.1,15.8)</f>
        <v>13.95</v>
      </c>
      <c r="C20" s="9"/>
      <c r="D20" s="9"/>
      <c r="E20" s="9"/>
      <c r="F20" s="9">
        <f>AVERAGE(28.2,28.3,28.4)</f>
        <v>28.3</v>
      </c>
      <c r="G20" s="9"/>
      <c r="H20" s="9"/>
      <c r="I20" s="9"/>
      <c r="J20" s="9"/>
      <c r="K20" s="9">
        <f>AVERAGE(41.6,41.8,40.8)</f>
        <v>41.4</v>
      </c>
      <c r="L20" s="9"/>
      <c r="M20" s="9"/>
      <c r="N20" s="9"/>
      <c r="O20" s="9"/>
      <c r="P20" s="9">
        <v>56.8</v>
      </c>
      <c r="Q20" s="8"/>
      <c r="R20" s="8"/>
      <c r="S20" s="8"/>
      <c r="T20" s="8"/>
      <c r="U20" s="8"/>
      <c r="V20" s="8"/>
      <c r="W20" s="71"/>
      <c r="X20" s="68">
        <v>350</v>
      </c>
      <c r="Y20" s="68">
        <v>70</v>
      </c>
      <c r="Z20" s="55">
        <v>180</v>
      </c>
      <c r="AA20" s="24"/>
      <c r="AB20" s="61"/>
      <c r="AC20" s="53"/>
      <c r="AD20" s="53"/>
      <c r="AE20" s="62"/>
      <c r="AF20" s="55"/>
      <c r="AG20" s="23">
        <v>810</v>
      </c>
      <c r="AH20" s="23"/>
      <c r="AI20" s="23">
        <v>540</v>
      </c>
      <c r="AJ20" s="24">
        <v>370</v>
      </c>
    </row>
    <row r="21" spans="1:36" x14ac:dyDescent="0.15">
      <c r="A21" s="12">
        <v>4.9000000000000004</v>
      </c>
      <c r="B21" s="9">
        <v>11.1</v>
      </c>
      <c r="C21" s="9">
        <v>14.1</v>
      </c>
      <c r="D21" s="9">
        <v>16.899999999999999</v>
      </c>
      <c r="E21" s="9"/>
      <c r="F21" s="9">
        <v>20.399999999999999</v>
      </c>
      <c r="G21" s="9"/>
      <c r="H21" s="9"/>
      <c r="I21" s="9"/>
      <c r="J21" s="9"/>
      <c r="K21" s="9">
        <f>AVERAGE(35.7,37.3)</f>
        <v>36.5</v>
      </c>
      <c r="L21" s="9"/>
      <c r="M21" s="9"/>
      <c r="N21" s="9"/>
      <c r="O21" s="9"/>
      <c r="P21" s="9">
        <v>53.3</v>
      </c>
      <c r="Q21" s="8"/>
      <c r="R21" s="8"/>
      <c r="S21" s="8"/>
      <c r="T21" s="8"/>
      <c r="U21" s="8"/>
      <c r="V21" s="8"/>
      <c r="W21" s="71"/>
      <c r="X21" s="68">
        <v>350</v>
      </c>
      <c r="Y21" s="68">
        <v>60</v>
      </c>
      <c r="Z21" s="55">
        <v>145</v>
      </c>
      <c r="AA21" s="24">
        <v>45</v>
      </c>
      <c r="AB21" s="61">
        <v>1.5</v>
      </c>
      <c r="AC21" s="53">
        <v>2.1</v>
      </c>
      <c r="AD21" s="53"/>
      <c r="AE21" s="62"/>
      <c r="AF21" s="55"/>
      <c r="AG21" s="23">
        <v>900</v>
      </c>
      <c r="AH21" s="23"/>
      <c r="AI21" s="23">
        <v>500</v>
      </c>
      <c r="AJ21" s="24">
        <v>350</v>
      </c>
    </row>
    <row r="22" spans="1:36" x14ac:dyDescent="0.15">
      <c r="A22" s="12"/>
      <c r="B22" s="9">
        <f>AVERAGE(13.1,13.6)</f>
        <v>13.35</v>
      </c>
      <c r="C22" s="9"/>
      <c r="D22" s="9"/>
      <c r="E22" s="9"/>
      <c r="F22" s="9">
        <f>AVERAGE(23.6,22.8)</f>
        <v>23.200000000000003</v>
      </c>
      <c r="G22" s="9"/>
      <c r="H22" s="9"/>
      <c r="I22" s="9"/>
      <c r="J22" s="9"/>
      <c r="K22" s="9">
        <f>AVERAGE(35.8,32.9)</f>
        <v>34.349999999999994</v>
      </c>
      <c r="L22" s="9"/>
      <c r="M22" s="9"/>
      <c r="N22" s="9"/>
      <c r="O22" s="9"/>
      <c r="P22" s="9">
        <v>45.6</v>
      </c>
      <c r="Q22" s="9"/>
      <c r="R22" s="9"/>
      <c r="S22" s="9"/>
      <c r="T22" s="9"/>
      <c r="U22" s="9"/>
      <c r="V22" s="9"/>
      <c r="W22" s="72"/>
      <c r="X22" s="68">
        <v>350</v>
      </c>
      <c r="Y22" s="68"/>
      <c r="Z22" s="55">
        <v>170</v>
      </c>
      <c r="AA22" s="24"/>
      <c r="AB22" s="61"/>
      <c r="AC22" s="53">
        <v>1.55</v>
      </c>
      <c r="AD22" s="53"/>
      <c r="AE22" s="62"/>
      <c r="AF22" s="55"/>
      <c r="AG22" s="23">
        <v>890</v>
      </c>
      <c r="AH22" s="23">
        <v>300</v>
      </c>
      <c r="AI22" s="23">
        <v>660</v>
      </c>
      <c r="AJ22" s="24"/>
    </row>
    <row r="23" spans="1:36" x14ac:dyDescent="0.15">
      <c r="A23" s="12"/>
      <c r="B23" s="9">
        <f>AVERAGE(16.5,16.1)</f>
        <v>16.3</v>
      </c>
      <c r="C23" s="9"/>
      <c r="D23" s="9"/>
      <c r="E23" s="9"/>
      <c r="F23" s="9">
        <f>AVERAGE(26.4,26.2)</f>
        <v>26.299999999999997</v>
      </c>
      <c r="G23" s="9"/>
      <c r="H23" s="9"/>
      <c r="I23" s="9"/>
      <c r="J23" s="9"/>
      <c r="K23" s="9">
        <f>AVERAGE(39.3,39.5)</f>
        <v>39.4</v>
      </c>
      <c r="L23" s="9"/>
      <c r="M23" s="9"/>
      <c r="N23" s="9"/>
      <c r="O23" s="9"/>
      <c r="P23" s="9">
        <v>47.7</v>
      </c>
      <c r="Q23" s="9"/>
      <c r="R23" s="9"/>
      <c r="S23" s="9"/>
      <c r="T23" s="9"/>
      <c r="U23" s="9"/>
      <c r="V23" s="9"/>
      <c r="W23" s="72"/>
      <c r="X23" s="68">
        <v>350</v>
      </c>
      <c r="Y23" s="68"/>
      <c r="Z23" s="55">
        <v>170</v>
      </c>
      <c r="AA23" s="24"/>
      <c r="AB23" s="61"/>
      <c r="AC23" s="53">
        <v>1.55</v>
      </c>
      <c r="AD23" s="53"/>
      <c r="AE23" s="62"/>
      <c r="AF23" s="55"/>
      <c r="AG23" s="23">
        <v>890</v>
      </c>
      <c r="AH23" s="23">
        <v>300</v>
      </c>
      <c r="AI23" s="23">
        <v>660</v>
      </c>
      <c r="AJ23" s="24"/>
    </row>
    <row r="24" spans="1:36" x14ac:dyDescent="0.15">
      <c r="A24" s="12"/>
      <c r="B24" s="9">
        <f>AVERAGE(15.1,14.5)</f>
        <v>14.8</v>
      </c>
      <c r="C24" s="9"/>
      <c r="D24" s="9"/>
      <c r="E24" s="9"/>
      <c r="F24" s="9">
        <f>AVERAGE(24.6,23.6)</f>
        <v>24.1</v>
      </c>
      <c r="G24" s="9"/>
      <c r="H24" s="9"/>
      <c r="I24" s="9"/>
      <c r="J24" s="9"/>
      <c r="K24" s="9">
        <f>AVERAGE(36,35.8)</f>
        <v>35.9</v>
      </c>
      <c r="L24" s="9"/>
      <c r="M24" s="9"/>
      <c r="N24" s="9"/>
      <c r="O24" s="9"/>
      <c r="P24" s="9">
        <v>43.8</v>
      </c>
      <c r="Q24" s="9"/>
      <c r="R24" s="9"/>
      <c r="S24" s="9"/>
      <c r="T24" s="9"/>
      <c r="U24" s="9"/>
      <c r="V24" s="9"/>
      <c r="W24" s="72"/>
      <c r="X24" s="68">
        <v>350</v>
      </c>
      <c r="Y24" s="68"/>
      <c r="Z24" s="55">
        <v>170</v>
      </c>
      <c r="AA24" s="24"/>
      <c r="AB24" s="61"/>
      <c r="AC24" s="53">
        <v>1.55</v>
      </c>
      <c r="AD24" s="53"/>
      <c r="AE24" s="62"/>
      <c r="AF24" s="55"/>
      <c r="AG24" s="23">
        <v>890</v>
      </c>
      <c r="AH24" s="23">
        <v>300</v>
      </c>
      <c r="AI24" s="23">
        <v>660</v>
      </c>
      <c r="AJ24" s="24"/>
    </row>
    <row r="25" spans="1:36" x14ac:dyDescent="0.15">
      <c r="A25" s="12"/>
      <c r="B25" s="9">
        <f>AVERAGE(16,16.1)</f>
        <v>16.05</v>
      </c>
      <c r="C25" s="9"/>
      <c r="D25" s="9"/>
      <c r="E25" s="9"/>
      <c r="F25" s="9">
        <f>AVERAGE(26.4,26.6)</f>
        <v>26.5</v>
      </c>
      <c r="G25" s="9"/>
      <c r="H25" s="9"/>
      <c r="I25" s="9"/>
      <c r="J25" s="9"/>
      <c r="K25" s="9">
        <f>AVERAGE(40.4,40.2)</f>
        <v>40.299999999999997</v>
      </c>
      <c r="L25" s="9"/>
      <c r="M25" s="9"/>
      <c r="N25" s="9"/>
      <c r="O25" s="9"/>
      <c r="P25" s="9">
        <v>48.7</v>
      </c>
      <c r="Q25" s="9"/>
      <c r="R25" s="9"/>
      <c r="S25" s="9"/>
      <c r="T25" s="9"/>
      <c r="U25" s="9"/>
      <c r="V25" s="9"/>
      <c r="W25" s="72"/>
      <c r="X25" s="68">
        <v>350</v>
      </c>
      <c r="Y25" s="68"/>
      <c r="Z25" s="55">
        <v>170</v>
      </c>
      <c r="AA25" s="24"/>
      <c r="AB25" s="61"/>
      <c r="AC25" s="53">
        <v>1.55</v>
      </c>
      <c r="AD25" s="53"/>
      <c r="AE25" s="62"/>
      <c r="AF25" s="55"/>
      <c r="AG25" s="23">
        <v>890</v>
      </c>
      <c r="AH25" s="23">
        <v>300</v>
      </c>
      <c r="AI25" s="23">
        <v>660</v>
      </c>
      <c r="AJ25" s="24"/>
    </row>
    <row r="26" spans="1:36" x14ac:dyDescent="0.15">
      <c r="A26" s="12">
        <v>3.4</v>
      </c>
      <c r="B26" s="9">
        <v>9.5</v>
      </c>
      <c r="C26" s="9">
        <v>13.5</v>
      </c>
      <c r="D26" s="9"/>
      <c r="E26" s="9"/>
      <c r="F26" s="9">
        <v>18.600000000000001</v>
      </c>
      <c r="G26" s="9"/>
      <c r="H26" s="9"/>
      <c r="I26" s="9">
        <v>25.3</v>
      </c>
      <c r="J26" s="9"/>
      <c r="K26" s="9">
        <v>33.299999999999997</v>
      </c>
      <c r="L26" s="9"/>
      <c r="M26" s="9"/>
      <c r="N26" s="9">
        <v>39.1</v>
      </c>
      <c r="O26" s="9"/>
      <c r="P26" s="9">
        <v>44.8</v>
      </c>
      <c r="Q26" s="9"/>
      <c r="R26" s="9"/>
      <c r="S26" s="9"/>
      <c r="T26" s="9"/>
      <c r="U26" s="9"/>
      <c r="V26" s="9"/>
      <c r="W26" s="72"/>
      <c r="X26" s="68">
        <v>350</v>
      </c>
      <c r="Y26" s="68">
        <v>70</v>
      </c>
      <c r="Z26" s="55">
        <v>100</v>
      </c>
      <c r="AA26" s="24">
        <v>100</v>
      </c>
      <c r="AB26" s="61">
        <v>3</v>
      </c>
      <c r="AC26" s="53"/>
      <c r="AD26" s="53"/>
      <c r="AE26" s="62"/>
      <c r="AF26" s="55"/>
      <c r="AG26" s="23">
        <v>850</v>
      </c>
      <c r="AH26" s="23">
        <v>300</v>
      </c>
      <c r="AI26" s="23">
        <v>560</v>
      </c>
      <c r="AJ26" s="24"/>
    </row>
    <row r="27" spans="1:36" x14ac:dyDescent="0.15">
      <c r="A27" s="12">
        <v>4.4000000000000004</v>
      </c>
      <c r="B27" s="9">
        <v>10.8</v>
      </c>
      <c r="C27" s="9">
        <v>14.6</v>
      </c>
      <c r="D27" s="9"/>
      <c r="E27" s="9"/>
      <c r="F27" s="9">
        <v>22.3</v>
      </c>
      <c r="G27" s="9"/>
      <c r="H27" s="9"/>
      <c r="I27" s="9">
        <v>26.5</v>
      </c>
      <c r="J27" s="9"/>
      <c r="K27" s="9">
        <v>34.1</v>
      </c>
      <c r="L27" s="9"/>
      <c r="M27" s="9"/>
      <c r="N27" s="9">
        <v>40</v>
      </c>
      <c r="O27" s="9"/>
      <c r="P27" s="9">
        <v>42.9</v>
      </c>
      <c r="Q27" s="9"/>
      <c r="R27" s="9"/>
      <c r="S27" s="9"/>
      <c r="T27" s="9"/>
      <c r="U27" s="9"/>
      <c r="V27" s="9"/>
      <c r="W27" s="72"/>
      <c r="X27" s="68">
        <v>350</v>
      </c>
      <c r="Y27" s="68">
        <v>70</v>
      </c>
      <c r="Z27" s="55">
        <v>100</v>
      </c>
      <c r="AA27" s="24">
        <v>100</v>
      </c>
      <c r="AB27" s="61">
        <v>3</v>
      </c>
      <c r="AC27" s="53"/>
      <c r="AD27" s="53"/>
      <c r="AE27" s="62"/>
      <c r="AF27" s="55"/>
      <c r="AG27" s="23">
        <v>850</v>
      </c>
      <c r="AH27" s="23">
        <v>300</v>
      </c>
      <c r="AI27" s="23">
        <v>560</v>
      </c>
      <c r="AJ27" s="24"/>
    </row>
    <row r="28" spans="1:36" x14ac:dyDescent="0.15">
      <c r="A28" s="12"/>
      <c r="B28" s="9">
        <f>AVERAGE(15.1,15.7)</f>
        <v>15.399999999999999</v>
      </c>
      <c r="C28" s="9"/>
      <c r="D28" s="9"/>
      <c r="E28" s="9"/>
      <c r="F28" s="9">
        <f>AVERAGE(26.7,27.1)</f>
        <v>26.9</v>
      </c>
      <c r="G28" s="9"/>
      <c r="H28" s="9"/>
      <c r="I28" s="9"/>
      <c r="J28" s="9"/>
      <c r="K28" s="9">
        <f>AVERAGE(45.5,43.6)</f>
        <v>44.55</v>
      </c>
      <c r="L28" s="9"/>
      <c r="M28" s="9"/>
      <c r="N28" s="9"/>
      <c r="O28" s="9"/>
      <c r="P28" s="9">
        <f>AVERAGE(60.5,52.9)</f>
        <v>56.7</v>
      </c>
      <c r="Q28" s="8"/>
      <c r="R28" s="8"/>
      <c r="S28" s="8"/>
      <c r="T28" s="8"/>
      <c r="U28" s="8"/>
      <c r="V28" s="8"/>
      <c r="W28" s="71"/>
      <c r="X28" s="68">
        <v>345</v>
      </c>
      <c r="Y28" s="68">
        <v>40</v>
      </c>
      <c r="Z28" s="55"/>
      <c r="AA28" s="24">
        <v>185</v>
      </c>
      <c r="AB28" s="61"/>
      <c r="AC28" s="53">
        <v>1.4</v>
      </c>
      <c r="AD28" s="53"/>
      <c r="AE28" s="62"/>
      <c r="AF28" s="55"/>
      <c r="AG28" s="23">
        <v>865</v>
      </c>
      <c r="AH28" s="23">
        <v>200</v>
      </c>
      <c r="AI28" s="23">
        <v>420</v>
      </c>
      <c r="AJ28" s="24">
        <v>340</v>
      </c>
    </row>
    <row r="29" spans="1:36" x14ac:dyDescent="0.15">
      <c r="A29" s="12"/>
      <c r="B29" s="9">
        <f>AVERAGE(15.5,16)</f>
        <v>15.75</v>
      </c>
      <c r="C29" s="9"/>
      <c r="D29" s="9"/>
      <c r="E29" s="9"/>
      <c r="F29" s="9">
        <f>AVERAGE(26.5,26.2)</f>
        <v>26.35</v>
      </c>
      <c r="G29" s="9"/>
      <c r="H29" s="9"/>
      <c r="I29" s="9"/>
      <c r="J29" s="9"/>
      <c r="K29" s="9">
        <f>AVERAGE(40.4,40.4)</f>
        <v>40.4</v>
      </c>
      <c r="L29" s="9"/>
      <c r="M29" s="9"/>
      <c r="N29" s="9"/>
      <c r="O29" s="9"/>
      <c r="P29" s="9">
        <v>49.1</v>
      </c>
      <c r="Q29" s="9"/>
      <c r="R29" s="9"/>
      <c r="S29" s="9"/>
      <c r="T29" s="9"/>
      <c r="U29" s="9"/>
      <c r="V29" s="9"/>
      <c r="W29" s="72"/>
      <c r="X29" s="68">
        <v>340</v>
      </c>
      <c r="Y29" s="68">
        <v>45</v>
      </c>
      <c r="Z29" s="55">
        <v>175</v>
      </c>
      <c r="AA29" s="24"/>
      <c r="AB29" s="61"/>
      <c r="AC29" s="53">
        <v>1.55</v>
      </c>
      <c r="AD29" s="53"/>
      <c r="AE29" s="62"/>
      <c r="AF29" s="55"/>
      <c r="AG29" s="23">
        <v>870</v>
      </c>
      <c r="AH29" s="23">
        <v>290</v>
      </c>
      <c r="AI29" s="23">
        <v>650</v>
      </c>
      <c r="AJ29" s="24"/>
    </row>
    <row r="30" spans="1:36" x14ac:dyDescent="0.15">
      <c r="A30" s="12"/>
      <c r="B30" s="9">
        <f>AVERAGE(14.3,14.9)</f>
        <v>14.600000000000001</v>
      </c>
      <c r="C30" s="9"/>
      <c r="D30" s="9"/>
      <c r="E30" s="9"/>
      <c r="F30" s="9">
        <f>AVERAGE(25.4,26)</f>
        <v>25.7</v>
      </c>
      <c r="G30" s="9"/>
      <c r="H30" s="9"/>
      <c r="I30" s="9"/>
      <c r="J30" s="9"/>
      <c r="K30" s="9">
        <f>AVERAGE(38,40)</f>
        <v>39</v>
      </c>
      <c r="L30" s="9"/>
      <c r="M30" s="9"/>
      <c r="N30" s="9"/>
      <c r="O30" s="9"/>
      <c r="P30" s="9">
        <v>46.4</v>
      </c>
      <c r="Q30" s="9"/>
      <c r="R30" s="9"/>
      <c r="S30" s="9"/>
      <c r="T30" s="9"/>
      <c r="U30" s="9"/>
      <c r="V30" s="9"/>
      <c r="W30" s="72"/>
      <c r="X30" s="68">
        <v>340</v>
      </c>
      <c r="Y30" s="68">
        <v>45</v>
      </c>
      <c r="Z30" s="55">
        <v>175</v>
      </c>
      <c r="AA30" s="24"/>
      <c r="AB30" s="61"/>
      <c r="AC30" s="53">
        <v>1.55</v>
      </c>
      <c r="AD30" s="53"/>
      <c r="AE30" s="62"/>
      <c r="AF30" s="55"/>
      <c r="AG30" s="23">
        <v>870</v>
      </c>
      <c r="AH30" s="23">
        <v>290</v>
      </c>
      <c r="AI30" s="23">
        <v>650</v>
      </c>
      <c r="AJ30" s="24"/>
    </row>
    <row r="31" spans="1:36" x14ac:dyDescent="0.15">
      <c r="A31" s="12"/>
      <c r="B31" s="9">
        <f>AVERAGE(16.3,16.1)</f>
        <v>16.200000000000003</v>
      </c>
      <c r="C31" s="9"/>
      <c r="D31" s="9"/>
      <c r="E31" s="9"/>
      <c r="F31" s="9">
        <f>AVERAGE(25.8,25.2)</f>
        <v>25.5</v>
      </c>
      <c r="G31" s="9"/>
      <c r="H31" s="9"/>
      <c r="I31" s="9"/>
      <c r="J31" s="9"/>
      <c r="K31" s="9">
        <f>AVERAGE(38.9,39.1)</f>
        <v>39</v>
      </c>
      <c r="L31" s="9"/>
      <c r="M31" s="9"/>
      <c r="N31" s="9"/>
      <c r="O31" s="9"/>
      <c r="P31" s="9">
        <v>43.6</v>
      </c>
      <c r="Q31" s="9"/>
      <c r="R31" s="9"/>
      <c r="S31" s="9"/>
      <c r="T31" s="9"/>
      <c r="U31" s="9"/>
      <c r="V31" s="9"/>
      <c r="W31" s="72"/>
      <c r="X31" s="68">
        <v>340</v>
      </c>
      <c r="Y31" s="68">
        <v>45</v>
      </c>
      <c r="Z31" s="55">
        <v>175</v>
      </c>
      <c r="AA31" s="24"/>
      <c r="AB31" s="61"/>
      <c r="AC31" s="53">
        <v>1.55</v>
      </c>
      <c r="AD31" s="53"/>
      <c r="AE31" s="62"/>
      <c r="AF31" s="55"/>
      <c r="AG31" s="23">
        <v>870</v>
      </c>
      <c r="AH31" s="23">
        <v>290</v>
      </c>
      <c r="AI31" s="23">
        <v>650</v>
      </c>
      <c r="AJ31" s="24"/>
    </row>
    <row r="32" spans="1:36" x14ac:dyDescent="0.15">
      <c r="A32" s="12"/>
      <c r="B32" s="9">
        <f>AVERAGE(14.9,14.4)</f>
        <v>14.65</v>
      </c>
      <c r="C32" s="9"/>
      <c r="D32" s="9"/>
      <c r="E32" s="9"/>
      <c r="F32" s="9">
        <f>AVERAGE(26.6,26.9)</f>
        <v>26.75</v>
      </c>
      <c r="G32" s="9"/>
      <c r="H32" s="9"/>
      <c r="I32" s="9"/>
      <c r="J32" s="9"/>
      <c r="K32" s="9">
        <f>AVERAGE(42.4,41.1)</f>
        <v>41.75</v>
      </c>
      <c r="L32" s="9"/>
      <c r="M32" s="9"/>
      <c r="N32" s="9"/>
      <c r="O32" s="9"/>
      <c r="P32" s="9">
        <v>44.5</v>
      </c>
      <c r="Q32" s="9"/>
      <c r="R32" s="9"/>
      <c r="S32" s="9"/>
      <c r="T32" s="9"/>
      <c r="U32" s="9"/>
      <c r="V32" s="9"/>
      <c r="W32" s="72"/>
      <c r="X32" s="68">
        <v>340</v>
      </c>
      <c r="Y32" s="68">
        <v>45</v>
      </c>
      <c r="Z32" s="55">
        <v>175</v>
      </c>
      <c r="AA32" s="24"/>
      <c r="AB32" s="61"/>
      <c r="AC32" s="53">
        <v>1.55</v>
      </c>
      <c r="AD32" s="53"/>
      <c r="AE32" s="62"/>
      <c r="AF32" s="55"/>
      <c r="AG32" s="23">
        <v>870</v>
      </c>
      <c r="AH32" s="23">
        <v>290</v>
      </c>
      <c r="AI32" s="23">
        <v>650</v>
      </c>
      <c r="AJ32" s="24"/>
    </row>
    <row r="33" spans="1:36" x14ac:dyDescent="0.15">
      <c r="A33" s="12"/>
      <c r="B33" s="9">
        <f>AVERAGE(16.9,16.1)</f>
        <v>16.5</v>
      </c>
      <c r="C33" s="9"/>
      <c r="D33" s="9"/>
      <c r="E33" s="9"/>
      <c r="F33" s="9">
        <f>AVERAGE(27.2,24.4)</f>
        <v>25.799999999999997</v>
      </c>
      <c r="G33" s="9"/>
      <c r="H33" s="9"/>
      <c r="I33" s="9"/>
      <c r="J33" s="9"/>
      <c r="K33" s="9">
        <f>AVERAGE(39.8,41.2)</f>
        <v>40.5</v>
      </c>
      <c r="L33" s="9"/>
      <c r="M33" s="9"/>
      <c r="N33" s="9"/>
      <c r="O33" s="9"/>
      <c r="P33" s="9">
        <v>49</v>
      </c>
      <c r="Q33" s="9"/>
      <c r="R33" s="9"/>
      <c r="S33" s="9"/>
      <c r="T33" s="9"/>
      <c r="U33" s="9"/>
      <c r="V33" s="9"/>
      <c r="W33" s="72"/>
      <c r="X33" s="68">
        <v>340</v>
      </c>
      <c r="Y33" s="68">
        <v>45</v>
      </c>
      <c r="Z33" s="55">
        <v>175</v>
      </c>
      <c r="AA33" s="24"/>
      <c r="AB33" s="61"/>
      <c r="AC33" s="53">
        <v>1.55</v>
      </c>
      <c r="AD33" s="53"/>
      <c r="AE33" s="62"/>
      <c r="AF33" s="55"/>
      <c r="AG33" s="23">
        <v>870</v>
      </c>
      <c r="AH33" s="23">
        <v>290</v>
      </c>
      <c r="AI33" s="23">
        <v>650</v>
      </c>
      <c r="AJ33" s="24"/>
    </row>
    <row r="34" spans="1:36" x14ac:dyDescent="0.15">
      <c r="A34" s="12">
        <v>3</v>
      </c>
      <c r="B34" s="9">
        <v>11.8</v>
      </c>
      <c r="C34" s="9">
        <v>15.6</v>
      </c>
      <c r="D34" s="9"/>
      <c r="E34" s="9"/>
      <c r="F34" s="9">
        <v>21.7</v>
      </c>
      <c r="G34" s="9"/>
      <c r="H34" s="9"/>
      <c r="I34" s="9"/>
      <c r="J34" s="9"/>
      <c r="K34" s="9">
        <v>33.5</v>
      </c>
      <c r="L34" s="9"/>
      <c r="M34" s="9"/>
      <c r="N34" s="9"/>
      <c r="O34" s="9"/>
      <c r="P34" s="9">
        <v>43.2</v>
      </c>
      <c r="Q34" s="9"/>
      <c r="R34" s="9">
        <v>47</v>
      </c>
      <c r="S34" s="9"/>
      <c r="T34" s="9"/>
      <c r="U34" s="9"/>
      <c r="V34" s="9"/>
      <c r="W34" s="72">
        <v>55.4</v>
      </c>
      <c r="X34" s="68">
        <v>325</v>
      </c>
      <c r="Y34" s="68">
        <v>40</v>
      </c>
      <c r="Z34" s="55">
        <v>200</v>
      </c>
      <c r="AA34" s="24"/>
      <c r="AB34" s="61">
        <v>2.1</v>
      </c>
      <c r="AC34" s="53"/>
      <c r="AD34" s="53"/>
      <c r="AE34" s="62"/>
      <c r="AF34" s="55"/>
      <c r="AG34" s="23">
        <v>860</v>
      </c>
      <c r="AH34" s="23">
        <v>120</v>
      </c>
      <c r="AI34" s="23">
        <v>370</v>
      </c>
      <c r="AJ34" s="24">
        <v>400</v>
      </c>
    </row>
    <row r="35" spans="1:36" x14ac:dyDescent="0.15">
      <c r="A35" s="12">
        <v>3.7</v>
      </c>
      <c r="B35" s="9">
        <v>7.2</v>
      </c>
      <c r="C35" s="9">
        <v>10.8</v>
      </c>
      <c r="D35" s="9"/>
      <c r="E35" s="9"/>
      <c r="F35" s="9">
        <v>15.3</v>
      </c>
      <c r="G35" s="9"/>
      <c r="H35" s="9"/>
      <c r="I35" s="9">
        <v>20.8</v>
      </c>
      <c r="J35" s="9"/>
      <c r="K35" s="9">
        <v>30.4</v>
      </c>
      <c r="L35" s="9"/>
      <c r="M35" s="9"/>
      <c r="N35" s="9">
        <v>33.799999999999997</v>
      </c>
      <c r="O35" s="9"/>
      <c r="P35" s="9">
        <v>39.299999999999997</v>
      </c>
      <c r="Q35" s="9"/>
      <c r="R35" s="9"/>
      <c r="S35" s="9"/>
      <c r="T35" s="9"/>
      <c r="U35" s="9"/>
      <c r="V35" s="9"/>
      <c r="W35" s="72"/>
      <c r="X35" s="68">
        <v>320</v>
      </c>
      <c r="Y35" s="68">
        <v>100</v>
      </c>
      <c r="Z35" s="55">
        <v>100</v>
      </c>
      <c r="AA35" s="24">
        <v>100</v>
      </c>
      <c r="AB35" s="61">
        <v>3</v>
      </c>
      <c r="AC35" s="53"/>
      <c r="AD35" s="53"/>
      <c r="AE35" s="62"/>
      <c r="AF35" s="55"/>
      <c r="AG35" s="23">
        <v>850</v>
      </c>
      <c r="AH35" s="23">
        <v>300</v>
      </c>
      <c r="AI35" s="23">
        <v>560</v>
      </c>
      <c r="AJ35" s="24"/>
    </row>
    <row r="36" spans="1:36" x14ac:dyDescent="0.15">
      <c r="A36" s="12">
        <v>2.8</v>
      </c>
      <c r="B36" s="9">
        <v>8.3000000000000007</v>
      </c>
      <c r="C36" s="9">
        <v>11.6</v>
      </c>
      <c r="D36" s="9"/>
      <c r="E36" s="9"/>
      <c r="F36" s="9">
        <v>18.100000000000001</v>
      </c>
      <c r="G36" s="9"/>
      <c r="H36" s="9"/>
      <c r="I36" s="9">
        <v>23.4</v>
      </c>
      <c r="J36" s="9"/>
      <c r="K36" s="9">
        <v>30.3</v>
      </c>
      <c r="L36" s="9"/>
      <c r="M36" s="9"/>
      <c r="N36" s="9">
        <v>36.299999999999997</v>
      </c>
      <c r="O36" s="9"/>
      <c r="P36" s="9">
        <v>41.4</v>
      </c>
      <c r="Q36" s="9"/>
      <c r="R36" s="9"/>
      <c r="S36" s="9"/>
      <c r="T36" s="9"/>
      <c r="U36" s="9"/>
      <c r="V36" s="9"/>
      <c r="W36" s="72"/>
      <c r="X36" s="68">
        <v>320</v>
      </c>
      <c r="Y36" s="68">
        <v>100</v>
      </c>
      <c r="Z36" s="55">
        <v>100</v>
      </c>
      <c r="AA36" s="24">
        <v>100</v>
      </c>
      <c r="AB36" s="61">
        <v>3</v>
      </c>
      <c r="AC36" s="53"/>
      <c r="AD36" s="53"/>
      <c r="AE36" s="62"/>
      <c r="AF36" s="55"/>
      <c r="AG36" s="23">
        <v>850</v>
      </c>
      <c r="AH36" s="23">
        <v>300</v>
      </c>
      <c r="AI36" s="23">
        <v>560</v>
      </c>
      <c r="AJ36" s="24"/>
    </row>
    <row r="37" spans="1:36" x14ac:dyDescent="0.15">
      <c r="A37" s="12">
        <v>1</v>
      </c>
      <c r="B37" s="9">
        <v>10.7</v>
      </c>
      <c r="C37" s="9">
        <v>13.8</v>
      </c>
      <c r="D37" s="9"/>
      <c r="E37" s="9"/>
      <c r="F37" s="9">
        <v>21.1</v>
      </c>
      <c r="G37" s="9"/>
      <c r="H37" s="9"/>
      <c r="I37" s="9"/>
      <c r="J37" s="9"/>
      <c r="K37" s="9">
        <v>35.1</v>
      </c>
      <c r="L37" s="9"/>
      <c r="M37" s="9"/>
      <c r="N37" s="9"/>
      <c r="O37" s="9"/>
      <c r="P37" s="9">
        <v>44</v>
      </c>
      <c r="Q37" s="9"/>
      <c r="R37" s="9">
        <v>48.9</v>
      </c>
      <c r="S37" s="9"/>
      <c r="T37" s="9"/>
      <c r="U37" s="9"/>
      <c r="V37" s="9"/>
      <c r="W37" s="72">
        <v>55.1</v>
      </c>
      <c r="X37" s="68">
        <v>320</v>
      </c>
      <c r="Y37" s="68">
        <v>70</v>
      </c>
      <c r="Z37" s="55">
        <v>200</v>
      </c>
      <c r="AA37" s="24"/>
      <c r="AB37" s="61">
        <v>2.9</v>
      </c>
      <c r="AC37" s="53"/>
      <c r="AD37" s="53"/>
      <c r="AE37" s="62"/>
      <c r="AF37" s="55"/>
      <c r="AG37" s="23">
        <v>860</v>
      </c>
      <c r="AH37" s="23">
        <v>120</v>
      </c>
      <c r="AI37" s="23">
        <v>370</v>
      </c>
      <c r="AJ37" s="24">
        <v>400</v>
      </c>
    </row>
    <row r="38" spans="1:36" x14ac:dyDescent="0.15">
      <c r="A38" s="12"/>
      <c r="B38" s="9">
        <v>9.6</v>
      </c>
      <c r="C38" s="9"/>
      <c r="D38" s="9"/>
      <c r="E38" s="9"/>
      <c r="F38" s="9">
        <v>17.399999999999999</v>
      </c>
      <c r="G38" s="9"/>
      <c r="H38" s="9"/>
      <c r="I38" s="9"/>
      <c r="J38" s="9"/>
      <c r="K38" s="9">
        <v>33.700000000000003</v>
      </c>
      <c r="L38" s="9"/>
      <c r="M38" s="9"/>
      <c r="N38" s="9"/>
      <c r="O38" s="9"/>
      <c r="P38" s="9">
        <v>48.6</v>
      </c>
      <c r="Q38" s="9"/>
      <c r="R38" s="9"/>
      <c r="S38" s="9"/>
      <c r="T38" s="9"/>
      <c r="U38" s="9"/>
      <c r="V38" s="9"/>
      <c r="W38" s="72"/>
      <c r="X38" s="68">
        <v>320</v>
      </c>
      <c r="Y38" s="68">
        <v>120</v>
      </c>
      <c r="Z38" s="55">
        <v>180</v>
      </c>
      <c r="AA38" s="24"/>
      <c r="AB38" s="61">
        <v>1.8</v>
      </c>
      <c r="AC38" s="53">
        <v>3</v>
      </c>
      <c r="AD38" s="53"/>
      <c r="AE38" s="62"/>
      <c r="AF38" s="55"/>
      <c r="AG38" s="23">
        <v>950</v>
      </c>
      <c r="AH38" s="23">
        <v>200</v>
      </c>
      <c r="AI38" s="23">
        <v>600</v>
      </c>
      <c r="AJ38" s="24"/>
    </row>
    <row r="39" spans="1:36" x14ac:dyDescent="0.15">
      <c r="A39" s="12"/>
      <c r="B39" s="9"/>
      <c r="C39" s="9">
        <f>AVERAGE(13.5,13.5)</f>
        <v>13.5</v>
      </c>
      <c r="D39" s="9"/>
      <c r="E39" s="9"/>
      <c r="F39" s="9">
        <f>AVERAGE(26.4,25.5)</f>
        <v>25.95</v>
      </c>
      <c r="G39" s="9"/>
      <c r="H39" s="9"/>
      <c r="I39" s="9"/>
      <c r="J39" s="9"/>
      <c r="K39" s="9">
        <f>AVERAGE(43.7,44.6)</f>
        <v>44.150000000000006</v>
      </c>
      <c r="L39" s="9"/>
      <c r="M39" s="9"/>
      <c r="N39" s="9"/>
      <c r="O39" s="9"/>
      <c r="P39" s="9">
        <v>62.4</v>
      </c>
      <c r="Q39" s="9"/>
      <c r="R39" s="9"/>
      <c r="S39" s="9"/>
      <c r="T39" s="9"/>
      <c r="U39" s="9"/>
      <c r="V39" s="9"/>
      <c r="W39" s="72"/>
      <c r="X39" s="68">
        <v>300</v>
      </c>
      <c r="Y39" s="68">
        <v>100</v>
      </c>
      <c r="Z39" s="55">
        <v>160</v>
      </c>
      <c r="AA39" s="24"/>
      <c r="AB39" s="61">
        <v>2.2000000000000002</v>
      </c>
      <c r="AC39" s="53">
        <v>1.5</v>
      </c>
      <c r="AD39" s="53">
        <v>2</v>
      </c>
      <c r="AE39" s="62"/>
      <c r="AF39" s="55">
        <v>300</v>
      </c>
      <c r="AG39" s="23">
        <v>700</v>
      </c>
      <c r="AH39" s="23">
        <v>840</v>
      </c>
      <c r="AI39" s="23"/>
      <c r="AJ39" s="24"/>
    </row>
    <row r="40" spans="1:36" x14ac:dyDescent="0.15">
      <c r="A40" s="12">
        <v>2.5</v>
      </c>
      <c r="B40" s="9">
        <v>6.6</v>
      </c>
      <c r="C40" s="9">
        <v>10.5</v>
      </c>
      <c r="D40" s="9"/>
      <c r="E40" s="9"/>
      <c r="F40" s="9">
        <v>15.6</v>
      </c>
      <c r="G40" s="9"/>
      <c r="H40" s="9"/>
      <c r="I40" s="9">
        <v>22.5</v>
      </c>
      <c r="J40" s="9"/>
      <c r="K40" s="9">
        <v>32.5</v>
      </c>
      <c r="L40" s="9"/>
      <c r="M40" s="9"/>
      <c r="N40" s="9">
        <v>36.799999999999997</v>
      </c>
      <c r="O40" s="9"/>
      <c r="P40" s="9">
        <v>40.700000000000003</v>
      </c>
      <c r="Q40" s="9"/>
      <c r="R40" s="9"/>
      <c r="S40" s="9"/>
      <c r="T40" s="9"/>
      <c r="U40" s="9"/>
      <c r="V40" s="9"/>
      <c r="W40" s="72"/>
      <c r="X40" s="68">
        <v>290</v>
      </c>
      <c r="Y40" s="68">
        <v>140</v>
      </c>
      <c r="Z40" s="55">
        <v>100</v>
      </c>
      <c r="AA40" s="24">
        <v>100</v>
      </c>
      <c r="AB40" s="61">
        <v>2.6</v>
      </c>
      <c r="AC40" s="53">
        <v>1.4</v>
      </c>
      <c r="AD40" s="53">
        <v>0.2</v>
      </c>
      <c r="AE40" s="62"/>
      <c r="AF40" s="55">
        <v>200</v>
      </c>
      <c r="AG40" s="23">
        <v>650</v>
      </c>
      <c r="AH40" s="23">
        <v>370</v>
      </c>
      <c r="AI40" s="23">
        <v>550</v>
      </c>
      <c r="AJ40" s="24"/>
    </row>
    <row r="41" spans="1:36" ht="14" thickBot="1" x14ac:dyDescent="0.2">
      <c r="A41" s="14"/>
      <c r="B41" s="15">
        <v>11.6</v>
      </c>
      <c r="C41" s="15"/>
      <c r="D41" s="15"/>
      <c r="E41" s="15"/>
      <c r="F41" s="15">
        <v>20.399999999999999</v>
      </c>
      <c r="G41" s="15"/>
      <c r="H41" s="15"/>
      <c r="I41" s="15"/>
      <c r="J41" s="15"/>
      <c r="K41" s="15">
        <v>31</v>
      </c>
      <c r="L41" s="15"/>
      <c r="M41" s="15"/>
      <c r="N41" s="15"/>
      <c r="O41" s="15"/>
      <c r="P41" s="15">
        <v>42.6</v>
      </c>
      <c r="Q41" s="15"/>
      <c r="R41" s="15"/>
      <c r="S41" s="15"/>
      <c r="T41" s="15"/>
      <c r="U41" s="15"/>
      <c r="V41" s="15"/>
      <c r="W41" s="73"/>
      <c r="X41" s="69">
        <v>235</v>
      </c>
      <c r="Y41" s="69">
        <v>75</v>
      </c>
      <c r="Z41" s="56"/>
      <c r="AA41" s="27">
        <v>170</v>
      </c>
      <c r="AB41" s="64">
        <v>1.2</v>
      </c>
      <c r="AC41" s="54"/>
      <c r="AD41" s="54">
        <v>0.25</v>
      </c>
      <c r="AE41" s="65">
        <v>3</v>
      </c>
      <c r="AF41" s="56"/>
      <c r="AG41" s="26">
        <v>915</v>
      </c>
      <c r="AH41" s="26">
        <v>245</v>
      </c>
      <c r="AI41" s="26">
        <v>400</v>
      </c>
      <c r="AJ41" s="27">
        <v>200</v>
      </c>
    </row>
  </sheetData>
  <mergeCells count="18">
    <mergeCell ref="Y2:Y3"/>
    <mergeCell ref="AJ2:AJ3"/>
    <mergeCell ref="AI2:AI3"/>
    <mergeCell ref="AH2:AH3"/>
    <mergeCell ref="AG2:AG3"/>
    <mergeCell ref="AF2:AF3"/>
    <mergeCell ref="A1:W1"/>
    <mergeCell ref="Z1:AA1"/>
    <mergeCell ref="AB1:AE1"/>
    <mergeCell ref="AF1:AJ1"/>
    <mergeCell ref="A2:W2"/>
    <mergeCell ref="X2:X3"/>
    <mergeCell ref="Z2:Z3"/>
    <mergeCell ref="AA2:AA3"/>
    <mergeCell ref="AB2:AB3"/>
    <mergeCell ref="AC2:AC3"/>
    <mergeCell ref="AD2:AD3"/>
    <mergeCell ref="AE2:AE3"/>
  </mergeCell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BDC0-BA95-4909-801A-C5B7E23BC431}">
  <dimension ref="A1:AK22"/>
  <sheetViews>
    <sheetView workbookViewId="0">
      <selection activeCell="A3" sqref="A3:W18"/>
    </sheetView>
  </sheetViews>
  <sheetFormatPr baseColWidth="10" defaultColWidth="8.83203125" defaultRowHeight="13" x14ac:dyDescent="0.15"/>
  <cols>
    <col min="1" max="23" width="5" style="1" customWidth="1"/>
    <col min="24" max="25" width="12.1640625" style="6" customWidth="1"/>
    <col min="26" max="26" width="10" style="6" customWidth="1"/>
    <col min="27" max="28" width="7.1640625" style="6" customWidth="1"/>
    <col min="29" max="31" width="11.5" style="6" customWidth="1"/>
    <col min="32" max="36" width="5.6640625" style="6" customWidth="1"/>
    <col min="37" max="37" width="9.33203125" style="6" customWidth="1"/>
  </cols>
  <sheetData>
    <row r="1" spans="1:37" ht="15" thickBot="1" x14ac:dyDescent="0.2">
      <c r="A1" s="154" t="s">
        <v>24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6"/>
      <c r="X1" s="157" t="s">
        <v>26</v>
      </c>
      <c r="Y1" s="159"/>
      <c r="Z1" s="75" t="s">
        <v>27</v>
      </c>
      <c r="AA1" s="163" t="s">
        <v>28</v>
      </c>
      <c r="AB1" s="164"/>
      <c r="AC1" s="165" t="s">
        <v>29</v>
      </c>
      <c r="AD1" s="166"/>
      <c r="AE1" s="167"/>
      <c r="AF1" s="170" t="s">
        <v>30</v>
      </c>
      <c r="AG1" s="112"/>
      <c r="AH1" s="112"/>
      <c r="AI1" s="112"/>
      <c r="AJ1" s="113"/>
      <c r="AK1" s="79" t="s">
        <v>31</v>
      </c>
    </row>
    <row r="2" spans="1:37" x14ac:dyDescent="0.15">
      <c r="A2" s="139" t="s">
        <v>25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  <c r="X2" s="142" t="s">
        <v>21</v>
      </c>
      <c r="Y2" s="146" t="s">
        <v>14</v>
      </c>
      <c r="Z2" s="176" t="s">
        <v>2</v>
      </c>
      <c r="AA2" s="148" t="s">
        <v>19</v>
      </c>
      <c r="AB2" s="173" t="s">
        <v>4</v>
      </c>
      <c r="AC2" s="117" t="s">
        <v>5</v>
      </c>
      <c r="AD2" s="119" t="s">
        <v>36</v>
      </c>
      <c r="AE2" s="121" t="s">
        <v>37</v>
      </c>
      <c r="AF2" s="168" t="s">
        <v>11</v>
      </c>
      <c r="AG2" s="107" t="s">
        <v>6</v>
      </c>
      <c r="AH2" s="107" t="s">
        <v>7</v>
      </c>
      <c r="AI2" s="107" t="s">
        <v>8</v>
      </c>
      <c r="AJ2" s="109" t="s">
        <v>9</v>
      </c>
      <c r="AK2" s="178" t="s">
        <v>35</v>
      </c>
    </row>
    <row r="3" spans="1:37" ht="12.75" customHeight="1" thickBot="1" x14ac:dyDescent="0.2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43"/>
      <c r="Y3" s="147"/>
      <c r="Z3" s="177"/>
      <c r="AA3" s="149"/>
      <c r="AB3" s="174"/>
      <c r="AC3" s="118"/>
      <c r="AD3" s="120"/>
      <c r="AE3" s="122"/>
      <c r="AF3" s="169"/>
      <c r="AG3" s="108"/>
      <c r="AH3" s="108"/>
      <c r="AI3" s="108"/>
      <c r="AJ3" s="110"/>
      <c r="AK3" s="179"/>
    </row>
    <row r="4" spans="1:37" x14ac:dyDescent="0.15">
      <c r="A4" s="17">
        <v>4.5</v>
      </c>
      <c r="B4" s="18">
        <v>10.8</v>
      </c>
      <c r="C4" s="18"/>
      <c r="D4" s="18"/>
      <c r="E4" s="18"/>
      <c r="F4" s="18">
        <v>29.9</v>
      </c>
      <c r="G4" s="18"/>
      <c r="H4" s="18"/>
      <c r="I4" s="18"/>
      <c r="J4" s="18"/>
      <c r="K4" s="18">
        <v>46.4</v>
      </c>
      <c r="L4" s="18"/>
      <c r="M4" s="18"/>
      <c r="N4" s="18"/>
      <c r="O4" s="18"/>
      <c r="P4" s="18">
        <v>53.4</v>
      </c>
      <c r="Q4" s="18"/>
      <c r="R4" s="18"/>
      <c r="S4" s="18"/>
      <c r="T4" s="18"/>
      <c r="U4" s="18"/>
      <c r="V4" s="18"/>
      <c r="W4" s="19"/>
      <c r="X4" s="57">
        <v>440</v>
      </c>
      <c r="Y4" s="47"/>
      <c r="Z4" s="67">
        <v>40</v>
      </c>
      <c r="AA4" s="57">
        <v>110</v>
      </c>
      <c r="AB4" s="47">
        <v>100</v>
      </c>
      <c r="AC4" s="59">
        <v>2.85</v>
      </c>
      <c r="AD4" s="58"/>
      <c r="AE4" s="60"/>
      <c r="AF4" s="57"/>
      <c r="AG4" s="46">
        <v>850</v>
      </c>
      <c r="AH4" s="46"/>
      <c r="AI4" s="46">
        <v>465</v>
      </c>
      <c r="AJ4" s="47">
        <v>380</v>
      </c>
      <c r="AK4" s="78"/>
    </row>
    <row r="5" spans="1:37" x14ac:dyDescent="0.15">
      <c r="A5" s="12">
        <f>AVERAGE(4.4,4.5)</f>
        <v>4.45</v>
      </c>
      <c r="B5" s="9">
        <f>AVERAGE(8.4,8.2)</f>
        <v>8.3000000000000007</v>
      </c>
      <c r="C5" s="9">
        <f>AVERAGE(10.3,10.6)</f>
        <v>10.45</v>
      </c>
      <c r="D5" s="9"/>
      <c r="E5" s="9"/>
      <c r="F5" s="9">
        <f>AVERAGE(20.4,20.6)</f>
        <v>20.5</v>
      </c>
      <c r="G5" s="9"/>
      <c r="H5" s="9"/>
      <c r="I5" s="9"/>
      <c r="J5" s="9"/>
      <c r="K5" s="9">
        <f>AVERAGE(38.1,37.1)</f>
        <v>37.6</v>
      </c>
      <c r="L5" s="9"/>
      <c r="M5" s="9"/>
      <c r="N5" s="9"/>
      <c r="O5" s="9"/>
      <c r="P5" s="9">
        <f>AVERAGE(49,46)</f>
        <v>47.5</v>
      </c>
      <c r="Q5" s="8"/>
      <c r="R5" s="8"/>
      <c r="S5" s="8"/>
      <c r="T5" s="8"/>
      <c r="U5" s="8"/>
      <c r="V5" s="8"/>
      <c r="W5" s="11"/>
      <c r="X5" s="55">
        <v>410</v>
      </c>
      <c r="Y5" s="24"/>
      <c r="Z5" s="68">
        <v>40</v>
      </c>
      <c r="AA5" s="55">
        <v>140</v>
      </c>
      <c r="AB5" s="24">
        <v>50</v>
      </c>
      <c r="AC5" s="61">
        <v>2.8</v>
      </c>
      <c r="AD5" s="53"/>
      <c r="AE5" s="62"/>
      <c r="AF5" s="55"/>
      <c r="AG5" s="23">
        <v>850</v>
      </c>
      <c r="AH5" s="23"/>
      <c r="AI5" s="23">
        <v>480</v>
      </c>
      <c r="AJ5" s="24">
        <v>370</v>
      </c>
      <c r="AK5" s="76">
        <v>0.6</v>
      </c>
    </row>
    <row r="6" spans="1:37" x14ac:dyDescent="0.15">
      <c r="A6" s="12">
        <f>AVERAGE(4.6,4.4)</f>
        <v>4.5</v>
      </c>
      <c r="B6" s="9">
        <f>AVERAGE(8.5,9.2)</f>
        <v>8.85</v>
      </c>
      <c r="C6" s="9">
        <f>AVERAGE(11.9,11.3)</f>
        <v>11.600000000000001</v>
      </c>
      <c r="D6" s="9"/>
      <c r="E6" s="9"/>
      <c r="F6" s="9">
        <f>AVERAGE(20.1,21.5)</f>
        <v>20.8</v>
      </c>
      <c r="G6" s="9"/>
      <c r="H6" s="9"/>
      <c r="I6" s="9"/>
      <c r="J6" s="9"/>
      <c r="K6" s="9">
        <f>AVERAGE(40.4,40.4)</f>
        <v>40.4</v>
      </c>
      <c r="L6" s="9"/>
      <c r="M6" s="9"/>
      <c r="N6" s="9"/>
      <c r="O6" s="9"/>
      <c r="P6" s="9">
        <f>AVERAGE(52.3,49.8)</f>
        <v>51.05</v>
      </c>
      <c r="Q6" s="8"/>
      <c r="R6" s="8"/>
      <c r="S6" s="8"/>
      <c r="T6" s="8"/>
      <c r="U6" s="8"/>
      <c r="V6" s="8"/>
      <c r="W6" s="11"/>
      <c r="X6" s="55">
        <v>410</v>
      </c>
      <c r="Y6" s="24"/>
      <c r="Z6" s="68">
        <v>40</v>
      </c>
      <c r="AA6" s="55">
        <v>140</v>
      </c>
      <c r="AB6" s="24">
        <v>50</v>
      </c>
      <c r="AC6" s="61">
        <v>2.8</v>
      </c>
      <c r="AD6" s="53"/>
      <c r="AE6" s="62"/>
      <c r="AF6" s="55"/>
      <c r="AG6" s="23">
        <v>850</v>
      </c>
      <c r="AH6" s="23"/>
      <c r="AI6" s="23">
        <v>480</v>
      </c>
      <c r="AJ6" s="24">
        <v>370</v>
      </c>
      <c r="AK6" s="76">
        <v>0.6</v>
      </c>
    </row>
    <row r="7" spans="1:37" x14ac:dyDescent="0.15">
      <c r="A7" s="12"/>
      <c r="B7" s="9"/>
      <c r="C7" s="9">
        <v>4.8</v>
      </c>
      <c r="D7" s="9">
        <v>7</v>
      </c>
      <c r="E7" s="9"/>
      <c r="F7" s="9">
        <v>11.4</v>
      </c>
      <c r="G7" s="9"/>
      <c r="H7" s="9"/>
      <c r="I7" s="9"/>
      <c r="J7" s="9"/>
      <c r="K7" s="9">
        <v>31.3</v>
      </c>
      <c r="L7" s="9"/>
      <c r="M7" s="9"/>
      <c r="N7" s="9"/>
      <c r="O7" s="9"/>
      <c r="P7" s="9">
        <v>39.799999999999997</v>
      </c>
      <c r="Q7" s="9"/>
      <c r="R7" s="9"/>
      <c r="S7" s="9"/>
      <c r="T7" s="9"/>
      <c r="U7" s="9"/>
      <c r="V7" s="9"/>
      <c r="W7" s="13"/>
      <c r="X7" s="55">
        <v>395</v>
      </c>
      <c r="Y7" s="24"/>
      <c r="Z7" s="68">
        <v>21</v>
      </c>
      <c r="AA7" s="55"/>
      <c r="AB7" s="24">
        <v>210</v>
      </c>
      <c r="AC7" s="61">
        <v>2.9</v>
      </c>
      <c r="AD7" s="53"/>
      <c r="AE7" s="62"/>
      <c r="AF7" s="55"/>
      <c r="AG7" s="23">
        <v>880</v>
      </c>
      <c r="AH7" s="23">
        <v>100</v>
      </c>
      <c r="AI7" s="23">
        <v>350</v>
      </c>
      <c r="AJ7" s="24">
        <v>350</v>
      </c>
      <c r="AK7" s="76"/>
    </row>
    <row r="8" spans="1:37" x14ac:dyDescent="0.15">
      <c r="A8" s="12"/>
      <c r="B8" s="9"/>
      <c r="C8" s="9">
        <v>4.8</v>
      </c>
      <c r="D8" s="9"/>
      <c r="E8" s="9"/>
      <c r="F8" s="9">
        <v>13.2</v>
      </c>
      <c r="G8" s="9"/>
      <c r="H8" s="9"/>
      <c r="I8" s="9"/>
      <c r="J8" s="9"/>
      <c r="K8" s="9">
        <v>32</v>
      </c>
      <c r="L8" s="9"/>
      <c r="M8" s="9"/>
      <c r="N8" s="9"/>
      <c r="O8" s="9"/>
      <c r="P8" s="9">
        <v>45.2</v>
      </c>
      <c r="Q8" s="9"/>
      <c r="R8" s="9"/>
      <c r="S8" s="9"/>
      <c r="T8" s="9"/>
      <c r="U8" s="9"/>
      <c r="V8" s="9"/>
      <c r="W8" s="13"/>
      <c r="X8" s="55">
        <v>395</v>
      </c>
      <c r="Y8" s="24"/>
      <c r="Z8" s="68">
        <v>21</v>
      </c>
      <c r="AA8" s="55"/>
      <c r="AB8" s="24">
        <v>210</v>
      </c>
      <c r="AC8" s="61">
        <v>2.9</v>
      </c>
      <c r="AD8" s="53"/>
      <c r="AE8" s="62"/>
      <c r="AF8" s="55"/>
      <c r="AG8" s="23">
        <v>880</v>
      </c>
      <c r="AH8" s="23">
        <v>100</v>
      </c>
      <c r="AI8" s="23">
        <v>350</v>
      </c>
      <c r="AJ8" s="24">
        <v>350</v>
      </c>
      <c r="AK8" s="76"/>
    </row>
    <row r="9" spans="1:37" x14ac:dyDescent="0.15">
      <c r="A9" s="12"/>
      <c r="B9" s="9">
        <f>AVERAGE(14.7,14.8)</f>
        <v>14.75</v>
      </c>
      <c r="C9" s="9"/>
      <c r="D9" s="9"/>
      <c r="E9" s="9"/>
      <c r="F9" s="9">
        <f>AVERAGE(21.9,22.2)</f>
        <v>22.049999999999997</v>
      </c>
      <c r="G9" s="9"/>
      <c r="H9" s="9"/>
      <c r="I9" s="9"/>
      <c r="J9" s="9"/>
      <c r="K9" s="9">
        <f>AVERAGE(47.6,48.7,46.8)</f>
        <v>47.70000000000001</v>
      </c>
      <c r="L9" s="9"/>
      <c r="M9" s="9"/>
      <c r="N9" s="9"/>
      <c r="O9" s="9"/>
      <c r="P9" s="9">
        <f>AVERAGE(58.7,59.8,61.3)</f>
        <v>59.933333333333337</v>
      </c>
      <c r="Q9" s="8"/>
      <c r="R9" s="8"/>
      <c r="S9" s="8"/>
      <c r="T9" s="8"/>
      <c r="U9" s="8"/>
      <c r="V9" s="8"/>
      <c r="W9" s="11"/>
      <c r="X9" s="55">
        <v>380</v>
      </c>
      <c r="Y9" s="24"/>
      <c r="Z9" s="68"/>
      <c r="AA9" s="55">
        <v>174</v>
      </c>
      <c r="AB9" s="24"/>
      <c r="AC9" s="61"/>
      <c r="AD9" s="53">
        <v>3.2</v>
      </c>
      <c r="AE9" s="62">
        <v>0.6</v>
      </c>
      <c r="AF9" s="55"/>
      <c r="AG9" s="23">
        <v>880</v>
      </c>
      <c r="AH9" s="23"/>
      <c r="AI9" s="23">
        <v>590</v>
      </c>
      <c r="AJ9" s="24">
        <v>355</v>
      </c>
      <c r="AK9" s="76"/>
    </row>
    <row r="10" spans="1:37" x14ac:dyDescent="0.15">
      <c r="A10" s="12"/>
      <c r="B10" s="9">
        <f>AVERAGE(12.3,12.7)</f>
        <v>12.5</v>
      </c>
      <c r="C10" s="9"/>
      <c r="D10" s="9"/>
      <c r="E10" s="9"/>
      <c r="F10" s="9">
        <f>AVERAGE(22.1,22.2)</f>
        <v>22.15</v>
      </c>
      <c r="G10" s="9"/>
      <c r="H10" s="9"/>
      <c r="I10" s="9"/>
      <c r="J10" s="9"/>
      <c r="K10" s="9">
        <f>AVERAGE(46.4,49.9,45.9)</f>
        <v>47.4</v>
      </c>
      <c r="L10" s="9"/>
      <c r="M10" s="9"/>
      <c r="N10" s="9"/>
      <c r="O10" s="9"/>
      <c r="P10" s="9">
        <f>AVERAGE(57.3,59.9,55.7)</f>
        <v>57.633333333333326</v>
      </c>
      <c r="Q10" s="8"/>
      <c r="R10" s="8"/>
      <c r="S10" s="8"/>
      <c r="T10" s="8"/>
      <c r="U10" s="8"/>
      <c r="V10" s="8"/>
      <c r="W10" s="11"/>
      <c r="X10" s="55">
        <v>380</v>
      </c>
      <c r="Y10" s="24"/>
      <c r="Z10" s="68"/>
      <c r="AA10" s="55">
        <v>174</v>
      </c>
      <c r="AB10" s="24"/>
      <c r="AC10" s="61"/>
      <c r="AD10" s="53">
        <v>3.2</v>
      </c>
      <c r="AE10" s="62">
        <v>0.6</v>
      </c>
      <c r="AF10" s="55"/>
      <c r="AG10" s="23">
        <v>880</v>
      </c>
      <c r="AH10" s="23"/>
      <c r="AI10" s="23">
        <v>590</v>
      </c>
      <c r="AJ10" s="24">
        <v>355</v>
      </c>
      <c r="AK10" s="76"/>
    </row>
    <row r="11" spans="1:37" x14ac:dyDescent="0.15">
      <c r="A11" s="12">
        <v>2.6</v>
      </c>
      <c r="B11" s="9">
        <v>4.4000000000000004</v>
      </c>
      <c r="C11" s="9">
        <v>7.4</v>
      </c>
      <c r="D11" s="9">
        <v>9.6999999999999993</v>
      </c>
      <c r="E11" s="9"/>
      <c r="F11" s="9">
        <f>AVERAGE(18.4,18.5)</f>
        <v>18.45</v>
      </c>
      <c r="G11" s="9"/>
      <c r="H11" s="9"/>
      <c r="I11" s="9"/>
      <c r="J11" s="9"/>
      <c r="K11" s="9">
        <f>AVERAGE(37.2,37.5)</f>
        <v>37.35</v>
      </c>
      <c r="L11" s="9"/>
      <c r="M11" s="9"/>
      <c r="N11" s="9"/>
      <c r="O11" s="9"/>
      <c r="P11" s="9">
        <v>50.5</v>
      </c>
      <c r="Q11" s="8"/>
      <c r="R11" s="8"/>
      <c r="S11" s="8"/>
      <c r="T11" s="8"/>
      <c r="U11" s="8"/>
      <c r="V11" s="8"/>
      <c r="W11" s="11"/>
      <c r="X11" s="55">
        <v>360</v>
      </c>
      <c r="Y11" s="24"/>
      <c r="Z11" s="68">
        <v>60</v>
      </c>
      <c r="AA11" s="55">
        <v>140</v>
      </c>
      <c r="AB11" s="24">
        <v>50</v>
      </c>
      <c r="AC11" s="61"/>
      <c r="AD11" s="53">
        <v>1.9</v>
      </c>
      <c r="AE11" s="62"/>
      <c r="AF11" s="55"/>
      <c r="AG11" s="23">
        <v>830</v>
      </c>
      <c r="AH11" s="23"/>
      <c r="AI11" s="23">
        <v>470</v>
      </c>
      <c r="AJ11" s="24">
        <v>330</v>
      </c>
      <c r="AK11" s="76"/>
    </row>
    <row r="12" spans="1:37" x14ac:dyDescent="0.15">
      <c r="A12" s="12">
        <v>1.3</v>
      </c>
      <c r="B12" s="9">
        <v>4.4000000000000004</v>
      </c>
      <c r="C12" s="9">
        <v>8.4</v>
      </c>
      <c r="D12" s="9"/>
      <c r="E12" s="9"/>
      <c r="F12" s="9">
        <v>17.3</v>
      </c>
      <c r="G12" s="9"/>
      <c r="H12" s="9"/>
      <c r="I12" s="9">
        <v>29.1</v>
      </c>
      <c r="J12" s="9"/>
      <c r="K12" s="9">
        <v>42.6</v>
      </c>
      <c r="L12" s="9"/>
      <c r="M12" s="9"/>
      <c r="N12" s="9"/>
      <c r="O12" s="9"/>
      <c r="P12" s="9">
        <v>52.8</v>
      </c>
      <c r="Q12" s="8"/>
      <c r="R12" s="8"/>
      <c r="S12" s="8"/>
      <c r="T12" s="8"/>
      <c r="U12" s="8"/>
      <c r="V12" s="8"/>
      <c r="W12" s="11"/>
      <c r="X12" s="55">
        <v>350</v>
      </c>
      <c r="Y12" s="24"/>
      <c r="Z12" s="68">
        <v>60</v>
      </c>
      <c r="AA12" s="55">
        <v>170</v>
      </c>
      <c r="AB12" s="24"/>
      <c r="AC12" s="61">
        <v>1.1000000000000001</v>
      </c>
      <c r="AD12" s="53">
        <v>1.8</v>
      </c>
      <c r="AE12" s="62"/>
      <c r="AF12" s="55">
        <v>250</v>
      </c>
      <c r="AG12" s="23">
        <v>600</v>
      </c>
      <c r="AH12" s="23">
        <v>260</v>
      </c>
      <c r="AI12" s="23">
        <v>650</v>
      </c>
      <c r="AJ12" s="24"/>
      <c r="AK12" s="76"/>
    </row>
    <row r="13" spans="1:37" x14ac:dyDescent="0.15">
      <c r="A13" s="12">
        <v>5</v>
      </c>
      <c r="B13" s="9">
        <f>AVERAGE(9.2,9.2,9.3)</f>
        <v>9.2333333333333325</v>
      </c>
      <c r="C13" s="9"/>
      <c r="D13" s="9"/>
      <c r="E13" s="9"/>
      <c r="F13" s="9">
        <f>AVERAGE(21.8,20.3,21.1)</f>
        <v>21.066666666666666</v>
      </c>
      <c r="G13" s="9"/>
      <c r="H13" s="9"/>
      <c r="I13" s="9"/>
      <c r="J13" s="9"/>
      <c r="K13" s="9">
        <f>AVERAGE(45.5,45,44.1)</f>
        <v>44.866666666666667</v>
      </c>
      <c r="L13" s="9"/>
      <c r="M13" s="9"/>
      <c r="N13" s="9"/>
      <c r="O13" s="9"/>
      <c r="P13" s="9">
        <f>AVERAGE(56.3,51.3,51.2)</f>
        <v>52.933333333333337</v>
      </c>
      <c r="Q13" s="8">
        <v>59.6</v>
      </c>
      <c r="R13" s="8"/>
      <c r="S13" s="8"/>
      <c r="T13" s="8"/>
      <c r="U13" s="8"/>
      <c r="V13" s="8"/>
      <c r="W13" s="11"/>
      <c r="X13" s="55">
        <v>350</v>
      </c>
      <c r="Y13" s="24"/>
      <c r="Z13" s="68">
        <v>60</v>
      </c>
      <c r="AA13" s="55">
        <v>170</v>
      </c>
      <c r="AB13" s="24"/>
      <c r="AC13" s="61"/>
      <c r="AD13" s="53">
        <v>2.4</v>
      </c>
      <c r="AE13" s="62"/>
      <c r="AF13" s="55"/>
      <c r="AG13" s="23">
        <v>830</v>
      </c>
      <c r="AH13" s="23">
        <v>140</v>
      </c>
      <c r="AI13" s="23">
        <v>460</v>
      </c>
      <c r="AJ13" s="24">
        <v>370</v>
      </c>
      <c r="AK13" s="76"/>
    </row>
    <row r="14" spans="1:37" x14ac:dyDescent="0.15">
      <c r="A14" s="12"/>
      <c r="B14" s="9">
        <f>AVERAGE(7.7,9)</f>
        <v>8.35</v>
      </c>
      <c r="C14" s="9"/>
      <c r="D14" s="9"/>
      <c r="E14" s="9"/>
      <c r="F14" s="9">
        <f>AVERAGE(19.7,19.4)</f>
        <v>19.549999999999997</v>
      </c>
      <c r="G14" s="9"/>
      <c r="H14" s="9"/>
      <c r="I14" s="9"/>
      <c r="J14" s="9"/>
      <c r="K14" s="9">
        <f>AVERAGE(48.4,48.4)</f>
        <v>48.4</v>
      </c>
      <c r="L14" s="9"/>
      <c r="M14" s="9"/>
      <c r="N14" s="9"/>
      <c r="O14" s="9"/>
      <c r="P14" s="9">
        <f>AVERAGE(60.1,60.5)</f>
        <v>60.3</v>
      </c>
      <c r="Q14" s="8"/>
      <c r="R14" s="8"/>
      <c r="S14" s="8"/>
      <c r="T14" s="8"/>
      <c r="U14" s="8"/>
      <c r="V14" s="8"/>
      <c r="W14" s="11"/>
      <c r="X14" s="55">
        <v>350</v>
      </c>
      <c r="Y14" s="24"/>
      <c r="Z14" s="68">
        <v>60</v>
      </c>
      <c r="AA14" s="55">
        <v>200</v>
      </c>
      <c r="AB14" s="24"/>
      <c r="AC14" s="61"/>
      <c r="AD14" s="53">
        <v>2.4</v>
      </c>
      <c r="AE14" s="62"/>
      <c r="AF14" s="55"/>
      <c r="AG14" s="23">
        <v>830</v>
      </c>
      <c r="AH14" s="23">
        <v>140</v>
      </c>
      <c r="AI14" s="23">
        <v>460</v>
      </c>
      <c r="AJ14" s="24">
        <v>370</v>
      </c>
      <c r="AK14" s="76"/>
    </row>
    <row r="15" spans="1:37" x14ac:dyDescent="0.15">
      <c r="A15" s="12"/>
      <c r="B15" s="9">
        <f>AVERAGE(5.7,5.2)</f>
        <v>5.45</v>
      </c>
      <c r="C15" s="9"/>
      <c r="D15" s="9"/>
      <c r="E15" s="9"/>
      <c r="F15" s="9"/>
      <c r="G15" s="9">
        <f>AVERAGE(16.1,17.3)</f>
        <v>16.700000000000003</v>
      </c>
      <c r="H15" s="9"/>
      <c r="I15" s="9"/>
      <c r="J15" s="9"/>
      <c r="K15" s="9">
        <v>42</v>
      </c>
      <c r="L15" s="9"/>
      <c r="M15" s="9"/>
      <c r="N15" s="9"/>
      <c r="O15" s="9"/>
      <c r="P15" s="9">
        <f>AVERAGE(50,49)</f>
        <v>49.5</v>
      </c>
      <c r="Q15" s="8"/>
      <c r="R15" s="8"/>
      <c r="S15" s="8"/>
      <c r="T15" s="8"/>
      <c r="U15" s="8"/>
      <c r="V15" s="8"/>
      <c r="W15" s="11"/>
      <c r="X15" s="55">
        <v>320</v>
      </c>
      <c r="Y15" s="24"/>
      <c r="Z15" s="68">
        <v>60</v>
      </c>
      <c r="AA15" s="55">
        <v>190</v>
      </c>
      <c r="AB15" s="24"/>
      <c r="AC15" s="61"/>
      <c r="AD15" s="53">
        <v>2.2000000000000002</v>
      </c>
      <c r="AE15" s="62"/>
      <c r="AF15" s="55"/>
      <c r="AG15" s="23">
        <v>850</v>
      </c>
      <c r="AH15" s="23">
        <v>140</v>
      </c>
      <c r="AI15" s="23">
        <v>470</v>
      </c>
      <c r="AJ15" s="24">
        <v>370</v>
      </c>
      <c r="AK15" s="76"/>
    </row>
    <row r="16" spans="1:37" x14ac:dyDescent="0.15">
      <c r="A16" s="12"/>
      <c r="B16" s="9"/>
      <c r="C16" s="9">
        <v>12.9</v>
      </c>
      <c r="D16" s="9"/>
      <c r="E16" s="9"/>
      <c r="F16" s="9">
        <v>23.3</v>
      </c>
      <c r="G16" s="9"/>
      <c r="H16" s="9"/>
      <c r="I16" s="9"/>
      <c r="J16" s="9"/>
      <c r="K16" s="9">
        <v>42.6</v>
      </c>
      <c r="L16" s="9"/>
      <c r="M16" s="9"/>
      <c r="N16" s="9"/>
      <c r="O16" s="9"/>
      <c r="P16" s="9">
        <v>55.9</v>
      </c>
      <c r="Q16" s="9"/>
      <c r="R16" s="9"/>
      <c r="S16" s="9"/>
      <c r="T16" s="9"/>
      <c r="U16" s="9"/>
      <c r="V16" s="9"/>
      <c r="W16" s="13"/>
      <c r="X16" s="55">
        <v>320</v>
      </c>
      <c r="Y16" s="24"/>
      <c r="Z16" s="68">
        <v>60</v>
      </c>
      <c r="AA16" s="55">
        <v>160</v>
      </c>
      <c r="AB16" s="24"/>
      <c r="AC16" s="61">
        <v>1</v>
      </c>
      <c r="AD16" s="53">
        <v>1.9</v>
      </c>
      <c r="AE16" s="62"/>
      <c r="AF16" s="55"/>
      <c r="AG16" s="23">
        <v>870</v>
      </c>
      <c r="AH16" s="23">
        <v>90</v>
      </c>
      <c r="AI16" s="23">
        <v>480</v>
      </c>
      <c r="AJ16" s="24">
        <v>360</v>
      </c>
      <c r="AK16" s="76"/>
    </row>
    <row r="17" spans="1:37" x14ac:dyDescent="0.15">
      <c r="A17" s="12"/>
      <c r="B17" s="9">
        <f>AVERAGE(5.8,5.6)</f>
        <v>5.6999999999999993</v>
      </c>
      <c r="C17" s="9"/>
      <c r="D17" s="9"/>
      <c r="E17" s="9"/>
      <c r="F17" s="9">
        <f>AVERAGE(12.5,12.1)</f>
        <v>12.3</v>
      </c>
      <c r="G17" s="9"/>
      <c r="H17" s="9"/>
      <c r="I17" s="9"/>
      <c r="J17" s="9"/>
      <c r="K17" s="9">
        <f>AVERAGE(34.5,33.4)</f>
        <v>33.950000000000003</v>
      </c>
      <c r="L17" s="9"/>
      <c r="M17" s="9"/>
      <c r="N17" s="9"/>
      <c r="O17" s="9"/>
      <c r="P17" s="9">
        <f>AVERAGE(46.9,44.1)</f>
        <v>45.5</v>
      </c>
      <c r="Q17" s="8"/>
      <c r="R17" s="8"/>
      <c r="S17" s="8"/>
      <c r="T17" s="8"/>
      <c r="U17" s="8"/>
      <c r="V17" s="8"/>
      <c r="W17" s="11"/>
      <c r="X17" s="55">
        <v>290</v>
      </c>
      <c r="Y17" s="24"/>
      <c r="Z17" s="68">
        <v>60</v>
      </c>
      <c r="AA17" s="55">
        <v>155</v>
      </c>
      <c r="AB17" s="24"/>
      <c r="AC17" s="61"/>
      <c r="AD17" s="53">
        <v>1.8</v>
      </c>
      <c r="AE17" s="62"/>
      <c r="AF17" s="55"/>
      <c r="AG17" s="23">
        <v>880</v>
      </c>
      <c r="AH17" s="23">
        <v>160</v>
      </c>
      <c r="AI17" s="23">
        <v>460</v>
      </c>
      <c r="AJ17" s="24">
        <v>350</v>
      </c>
      <c r="AK17" s="76"/>
    </row>
    <row r="18" spans="1:37" ht="14" thickBot="1" x14ac:dyDescent="0.2">
      <c r="A18" s="14">
        <v>5</v>
      </c>
      <c r="B18" s="15">
        <v>10.5</v>
      </c>
      <c r="C18" s="15"/>
      <c r="D18" s="15"/>
      <c r="E18" s="15"/>
      <c r="F18" s="15"/>
      <c r="G18" s="15"/>
      <c r="H18" s="15">
        <v>22.8</v>
      </c>
      <c r="I18" s="15"/>
      <c r="J18" s="15"/>
      <c r="K18" s="15">
        <f>AVERAGE(39.3,39.9,42.1)</f>
        <v>40.43333333333333</v>
      </c>
      <c r="L18" s="15"/>
      <c r="M18" s="15"/>
      <c r="N18" s="15"/>
      <c r="O18" s="15"/>
      <c r="P18" s="15">
        <f>AVERAGE(54.98,54.1,52.8)</f>
        <v>53.96</v>
      </c>
      <c r="Q18" s="15"/>
      <c r="R18" s="15"/>
      <c r="S18" s="15"/>
      <c r="T18" s="15"/>
      <c r="U18" s="15"/>
      <c r="V18" s="15"/>
      <c r="W18" s="16"/>
      <c r="X18" s="56"/>
      <c r="Y18" s="27">
        <v>330</v>
      </c>
      <c r="Z18" s="69">
        <v>30</v>
      </c>
      <c r="AA18" s="56">
        <v>180</v>
      </c>
      <c r="AB18" s="27"/>
      <c r="AC18" s="64"/>
      <c r="AD18" s="54">
        <v>2.4</v>
      </c>
      <c r="AE18" s="65"/>
      <c r="AF18" s="56"/>
      <c r="AG18" s="26">
        <v>870</v>
      </c>
      <c r="AH18" s="26">
        <v>110</v>
      </c>
      <c r="AI18" s="26">
        <v>420</v>
      </c>
      <c r="AJ18" s="27">
        <v>420</v>
      </c>
      <c r="AK18" s="77"/>
    </row>
    <row r="22" spans="1:37" x14ac:dyDescent="0.15">
      <c r="AD22" s="102"/>
    </row>
  </sheetData>
  <mergeCells count="20">
    <mergeCell ref="AC2:AC3"/>
    <mergeCell ref="AD2:AD3"/>
    <mergeCell ref="AE2:AE3"/>
    <mergeCell ref="AK2:AK3"/>
    <mergeCell ref="Z2:Z3"/>
    <mergeCell ref="AF2:AF3"/>
    <mergeCell ref="AG2:AG3"/>
    <mergeCell ref="AH2:AH3"/>
    <mergeCell ref="AI2:AI3"/>
    <mergeCell ref="AJ2:AJ3"/>
    <mergeCell ref="A1:W1"/>
    <mergeCell ref="X1:Y1"/>
    <mergeCell ref="AA1:AB1"/>
    <mergeCell ref="AC1:AE1"/>
    <mergeCell ref="AF1:AJ1"/>
    <mergeCell ref="A2:W2"/>
    <mergeCell ref="X2:X3"/>
    <mergeCell ref="Y2:Y3"/>
    <mergeCell ref="AA2:AA3"/>
    <mergeCell ref="AB2:AB3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Aggregated_Data</vt:lpstr>
      <vt:lpstr>CEM I 52,5 R</vt:lpstr>
      <vt:lpstr>CEM I (II A) 42,5 R</vt:lpstr>
      <vt:lpstr>CEM II B-S 32,5 R</vt:lpstr>
      <vt:lpstr>CEM III B 32,5</vt:lpstr>
      <vt:lpstr>Graf CEM I 52,5 R</vt:lpstr>
      <vt:lpstr>Graf CEM I (II A) 42,5 R</vt:lpstr>
      <vt:lpstr>Graf II B-S 32,5 R</vt:lpstr>
      <vt:lpstr>Graf CEM III B 32,5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Skanska</dc:creator>
  <cp:lastModifiedBy>Hana Schreiberová</cp:lastModifiedBy>
  <cp:lastPrinted>2021-04-12T12:42:15Z</cp:lastPrinted>
  <dcterms:created xsi:type="dcterms:W3CDTF">2021-04-08T10:08:30Z</dcterms:created>
  <dcterms:modified xsi:type="dcterms:W3CDTF">2021-05-02T19:07:13Z</dcterms:modified>
</cp:coreProperties>
</file>