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CHMD\CICLO 2019-2020\SERVICIOS GENERALES\TRANSPORTES\"/>
    </mc:Choice>
  </mc:AlternateContent>
  <bookViews>
    <workbookView xWindow="0" yWindow="0" windowWidth="20490" windowHeight="7650"/>
  </bookViews>
  <sheets>
    <sheet name="COMPARATIVO" sheetId="11" r:id="rId1"/>
    <sheet name="Propuesta LIPU ok" sheetId="5" r:id="rId2"/>
    <sheet name="Propuesta EDYEN ok " sheetId="8" r:id="rId3"/>
    <sheet name="Propuesta SCHOOLASTICO ok " sheetId="9" r:id="rId4"/>
    <sheet name="Aumento Diésel 2018-2019" sheetId="6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5" l="1"/>
  <c r="R22" i="11"/>
  <c r="T8" i="11"/>
  <c r="T9" i="11"/>
  <c r="T10" i="11"/>
  <c r="T11" i="11"/>
  <c r="T12" i="11"/>
  <c r="T13" i="11"/>
  <c r="T14" i="11"/>
  <c r="T15" i="11"/>
  <c r="T16" i="11"/>
  <c r="T17" i="11"/>
  <c r="T7" i="11"/>
  <c r="D22" i="9"/>
  <c r="F9" i="9"/>
  <c r="F10" i="9"/>
  <c r="F11" i="9"/>
  <c r="F12" i="9"/>
  <c r="F13" i="9"/>
  <c r="F14" i="9"/>
  <c r="F15" i="9"/>
  <c r="F16" i="9"/>
  <c r="F17" i="9"/>
  <c r="F7" i="9"/>
  <c r="F8" i="9"/>
  <c r="C8" i="9"/>
  <c r="C9" i="9"/>
  <c r="C10" i="9"/>
  <c r="C11" i="9"/>
  <c r="C12" i="9"/>
  <c r="C13" i="9"/>
  <c r="C14" i="9"/>
  <c r="C15" i="9"/>
  <c r="C16" i="9"/>
  <c r="C17" i="9"/>
  <c r="C7" i="9"/>
  <c r="K8" i="5"/>
  <c r="E29" i="5" l="1"/>
  <c r="F29" i="5"/>
  <c r="E28" i="5"/>
  <c r="F28" i="5"/>
  <c r="R23" i="11"/>
  <c r="U19" i="11"/>
  <c r="R17" i="11"/>
  <c r="R15" i="11"/>
  <c r="R14" i="11"/>
  <c r="R13" i="11"/>
  <c r="R11" i="11"/>
  <c r="R10" i="11"/>
  <c r="R9" i="11"/>
  <c r="R7" i="11"/>
  <c r="K22" i="11"/>
  <c r="D23" i="11"/>
  <c r="D22" i="11"/>
  <c r="C8" i="11"/>
  <c r="D8" i="11" s="1"/>
  <c r="C9" i="11"/>
  <c r="C10" i="11"/>
  <c r="D10" i="11" s="1"/>
  <c r="C11" i="11"/>
  <c r="C12" i="11"/>
  <c r="D12" i="11" s="1"/>
  <c r="C13" i="11"/>
  <c r="D13" i="11" s="1"/>
  <c r="C14" i="11"/>
  <c r="C15" i="11"/>
  <c r="C16" i="11"/>
  <c r="C17" i="11"/>
  <c r="C7" i="11"/>
  <c r="D7" i="11" s="1"/>
  <c r="L25" i="5"/>
  <c r="L22" i="5"/>
  <c r="D24" i="11"/>
  <c r="N19" i="11"/>
  <c r="G19" i="11"/>
  <c r="J17" i="11"/>
  <c r="M17" i="11" s="1"/>
  <c r="D17" i="11"/>
  <c r="K16" i="11"/>
  <c r="L16" i="11" s="1"/>
  <c r="J16" i="11"/>
  <c r="M16" i="11" s="1"/>
  <c r="J15" i="11"/>
  <c r="M15" i="11" s="1"/>
  <c r="J14" i="11"/>
  <c r="K14" i="11" s="1"/>
  <c r="D14" i="11"/>
  <c r="J13" i="11"/>
  <c r="M13" i="11" s="1"/>
  <c r="M12" i="11"/>
  <c r="K12" i="11"/>
  <c r="L12" i="11" s="1"/>
  <c r="J12" i="11"/>
  <c r="J11" i="11"/>
  <c r="M11" i="11" s="1"/>
  <c r="M10" i="11"/>
  <c r="K10" i="11"/>
  <c r="J10" i="11"/>
  <c r="J9" i="11"/>
  <c r="M9" i="11" s="1"/>
  <c r="D9" i="11"/>
  <c r="J8" i="11"/>
  <c r="K8" i="11" s="1"/>
  <c r="J7" i="11"/>
  <c r="M7" i="11" s="1"/>
  <c r="K9" i="5"/>
  <c r="K26" i="8"/>
  <c r="K28" i="8"/>
  <c r="K30" i="8"/>
  <c r="T19" i="11" l="1"/>
  <c r="R24" i="11" s="1"/>
  <c r="L14" i="11"/>
  <c r="O14" i="11" s="1"/>
  <c r="S14" i="11"/>
  <c r="V14" i="11" s="1"/>
  <c r="V10" i="11"/>
  <c r="S10" i="11"/>
  <c r="L8" i="11"/>
  <c r="O8" i="11" s="1"/>
  <c r="M8" i="11"/>
  <c r="M14" i="11"/>
  <c r="M19" i="11" s="1"/>
  <c r="K24" i="11" s="1"/>
  <c r="O12" i="11"/>
  <c r="O16" i="11"/>
  <c r="L10" i="11"/>
  <c r="O10" i="11" s="1"/>
  <c r="S9" i="11"/>
  <c r="V9" i="11" s="1"/>
  <c r="S13" i="11"/>
  <c r="V13" i="11" s="1"/>
  <c r="S17" i="11"/>
  <c r="V17" i="11" s="1"/>
  <c r="S7" i="11"/>
  <c r="R8" i="11"/>
  <c r="S11" i="11"/>
  <c r="V11" i="11" s="1"/>
  <c r="R12" i="11"/>
  <c r="S15" i="11"/>
  <c r="V15" i="11" s="1"/>
  <c r="R16" i="11"/>
  <c r="D11" i="11"/>
  <c r="D16" i="11"/>
  <c r="E16" i="11" s="1"/>
  <c r="H16" i="11" s="1"/>
  <c r="D15" i="11"/>
  <c r="F19" i="11"/>
  <c r="E14" i="11"/>
  <c r="H14" i="11" s="1"/>
  <c r="E8" i="11"/>
  <c r="H8" i="11" s="1"/>
  <c r="E10" i="11"/>
  <c r="H10" i="11" s="1"/>
  <c r="E12" i="11"/>
  <c r="H12" i="11" s="1"/>
  <c r="E7" i="11"/>
  <c r="H7" i="11" s="1"/>
  <c r="K7" i="11"/>
  <c r="E11" i="11"/>
  <c r="H11" i="11" s="1"/>
  <c r="K11" i="11"/>
  <c r="E13" i="11"/>
  <c r="H13" i="11" s="1"/>
  <c r="K17" i="11"/>
  <c r="E9" i="11"/>
  <c r="H9" i="11" s="1"/>
  <c r="K9" i="11"/>
  <c r="K13" i="11"/>
  <c r="E15" i="11"/>
  <c r="H15" i="11" s="1"/>
  <c r="K15" i="11"/>
  <c r="E17" i="11"/>
  <c r="H17" i="11" s="1"/>
  <c r="D23" i="9"/>
  <c r="K31" i="8"/>
  <c r="L39" i="5"/>
  <c r="L34" i="5"/>
  <c r="L32" i="5"/>
  <c r="L18" i="5"/>
  <c r="R19" i="11" l="1"/>
  <c r="D19" i="11"/>
  <c r="D26" i="11" s="1"/>
  <c r="D28" i="11" s="1"/>
  <c r="R26" i="11"/>
  <c r="R28" i="11" s="1"/>
  <c r="S8" i="11"/>
  <c r="V8" i="11" s="1"/>
  <c r="S16" i="11"/>
  <c r="V16" i="11" s="1"/>
  <c r="S12" i="11"/>
  <c r="V12" i="11" s="1"/>
  <c r="V7" i="11"/>
  <c r="L13" i="11"/>
  <c r="O13" i="11" s="1"/>
  <c r="L17" i="11"/>
  <c r="O17" i="11" s="1"/>
  <c r="O7" i="11"/>
  <c r="K19" i="11"/>
  <c r="L7" i="11"/>
  <c r="L9" i="11"/>
  <c r="O9" i="11" s="1"/>
  <c r="E19" i="11"/>
  <c r="H19" i="11"/>
  <c r="L15" i="11"/>
  <c r="O15" i="11" s="1"/>
  <c r="L11" i="11"/>
  <c r="O11" i="11" s="1"/>
  <c r="F26" i="5"/>
  <c r="L15" i="5"/>
  <c r="L14" i="5"/>
  <c r="B29" i="5"/>
  <c r="B30" i="5" s="1"/>
  <c r="E30" i="5" s="1"/>
  <c r="S19" i="11" l="1"/>
  <c r="V19" i="11"/>
  <c r="L19" i="11"/>
  <c r="K26" i="11"/>
  <c r="K28" i="11" s="1"/>
  <c r="O19" i="11"/>
  <c r="B31" i="5"/>
  <c r="E31" i="5" s="1"/>
  <c r="I8" i="5"/>
  <c r="B32" i="5" l="1"/>
  <c r="E32" i="5" s="1"/>
  <c r="B5" i="5"/>
  <c r="B4" i="5"/>
  <c r="I4" i="5" s="1"/>
  <c r="B33" i="5" l="1"/>
  <c r="E33" i="5" s="1"/>
  <c r="O19" i="8"/>
  <c r="D7" i="9"/>
  <c r="D8" i="9"/>
  <c r="D9" i="9"/>
  <c r="D10" i="9"/>
  <c r="E10" i="9" s="1"/>
  <c r="D11" i="9"/>
  <c r="D12" i="9"/>
  <c r="D13" i="9"/>
  <c r="D14" i="9"/>
  <c r="E14" i="9" s="1"/>
  <c r="D15" i="9"/>
  <c r="D16" i="9"/>
  <c r="D17" i="9"/>
  <c r="G19" i="9"/>
  <c r="D22" i="8"/>
  <c r="K22" i="8" s="1"/>
  <c r="N19" i="8"/>
  <c r="G19" i="8"/>
  <c r="M17" i="8"/>
  <c r="J17" i="8"/>
  <c r="K17" i="8" s="1"/>
  <c r="C17" i="8"/>
  <c r="F17" i="8" s="1"/>
  <c r="K16" i="8"/>
  <c r="J16" i="8"/>
  <c r="M16" i="8" s="1"/>
  <c r="F16" i="8"/>
  <c r="E16" i="8"/>
  <c r="D16" i="8"/>
  <c r="H16" i="8" s="1"/>
  <c r="C16" i="8"/>
  <c r="M15" i="8"/>
  <c r="J15" i="8"/>
  <c r="K15" i="8" s="1"/>
  <c r="C15" i="8"/>
  <c r="F15" i="8" s="1"/>
  <c r="K14" i="8"/>
  <c r="J14" i="8"/>
  <c r="M14" i="8" s="1"/>
  <c r="F14" i="8"/>
  <c r="E14" i="8"/>
  <c r="D14" i="8"/>
  <c r="H14" i="8" s="1"/>
  <c r="C14" i="8"/>
  <c r="M13" i="8"/>
  <c r="J13" i="8"/>
  <c r="K13" i="8" s="1"/>
  <c r="C13" i="8"/>
  <c r="F13" i="8" s="1"/>
  <c r="K12" i="8"/>
  <c r="J12" i="8"/>
  <c r="M12" i="8" s="1"/>
  <c r="F12" i="8"/>
  <c r="E12" i="8"/>
  <c r="D12" i="8"/>
  <c r="H12" i="8" s="1"/>
  <c r="C12" i="8"/>
  <c r="M11" i="8"/>
  <c r="J11" i="8"/>
  <c r="K11" i="8" s="1"/>
  <c r="C11" i="8"/>
  <c r="F11" i="8" s="1"/>
  <c r="K10" i="8"/>
  <c r="J10" i="8"/>
  <c r="M10" i="8" s="1"/>
  <c r="F10" i="8"/>
  <c r="E10" i="8"/>
  <c r="D10" i="8"/>
  <c r="H10" i="8" s="1"/>
  <c r="C10" i="8"/>
  <c r="M9" i="8"/>
  <c r="J9" i="8"/>
  <c r="K9" i="8" s="1"/>
  <c r="C9" i="8"/>
  <c r="F9" i="8" s="1"/>
  <c r="K8" i="8"/>
  <c r="J8" i="8"/>
  <c r="M8" i="8" s="1"/>
  <c r="F8" i="8"/>
  <c r="E8" i="8"/>
  <c r="D8" i="8"/>
  <c r="H8" i="8" s="1"/>
  <c r="C8" i="8"/>
  <c r="M7" i="8"/>
  <c r="J7" i="8"/>
  <c r="K7" i="8" s="1"/>
  <c r="C7" i="8"/>
  <c r="F7" i="8" s="1"/>
  <c r="B34" i="5" l="1"/>
  <c r="E34" i="5" s="1"/>
  <c r="E16" i="9"/>
  <c r="H16" i="9" s="1"/>
  <c r="E8" i="9"/>
  <c r="H8" i="9" s="1"/>
  <c r="E15" i="9"/>
  <c r="H15" i="9" s="1"/>
  <c r="E11" i="9"/>
  <c r="H11" i="9" s="1"/>
  <c r="E7" i="9"/>
  <c r="D19" i="9"/>
  <c r="E17" i="9"/>
  <c r="H17" i="9" s="1"/>
  <c r="E13" i="9"/>
  <c r="H13" i="9" s="1"/>
  <c r="E9" i="9"/>
  <c r="H9" i="9" s="1"/>
  <c r="E12" i="9"/>
  <c r="H12" i="9" s="1"/>
  <c r="H14" i="9"/>
  <c r="H10" i="9"/>
  <c r="L11" i="8"/>
  <c r="O11" i="8"/>
  <c r="F19" i="8"/>
  <c r="D24" i="8" s="1"/>
  <c r="O14" i="8"/>
  <c r="L13" i="8"/>
  <c r="O13" i="8" s="1"/>
  <c r="O16" i="8"/>
  <c r="K19" i="8"/>
  <c r="L7" i="8"/>
  <c r="O7" i="8" s="1"/>
  <c r="L15" i="8"/>
  <c r="O15" i="8"/>
  <c r="M19" i="8"/>
  <c r="K24" i="8" s="1"/>
  <c r="L9" i="8"/>
  <c r="O9" i="8" s="1"/>
  <c r="O12" i="8"/>
  <c r="L17" i="8"/>
  <c r="O17" i="8"/>
  <c r="D7" i="8"/>
  <c r="L8" i="8"/>
  <c r="O8" i="8" s="1"/>
  <c r="D9" i="8"/>
  <c r="D11" i="8"/>
  <c r="L12" i="8"/>
  <c r="L14" i="8"/>
  <c r="L16" i="8"/>
  <c r="L10" i="8"/>
  <c r="O10" i="8" s="1"/>
  <c r="D13" i="8"/>
  <c r="D15" i="8"/>
  <c r="D17" i="8"/>
  <c r="J8" i="5"/>
  <c r="J4" i="5"/>
  <c r="L4" i="5"/>
  <c r="B35" i="5" l="1"/>
  <c r="E35" i="5" s="1"/>
  <c r="E19" i="9"/>
  <c r="F19" i="9"/>
  <c r="H7" i="9"/>
  <c r="H19" i="9" s="1"/>
  <c r="E17" i="8"/>
  <c r="H17" i="8" s="1"/>
  <c r="E9" i="8"/>
  <c r="H9" i="8" s="1"/>
  <c r="H11" i="8"/>
  <c r="E11" i="8"/>
  <c r="E15" i="8"/>
  <c r="H15" i="8"/>
  <c r="L19" i="8"/>
  <c r="E13" i="8"/>
  <c r="H13" i="8"/>
  <c r="H7" i="8"/>
  <c r="D19" i="8"/>
  <c r="D26" i="8" s="1"/>
  <c r="D28" i="8" s="1"/>
  <c r="E7" i="8"/>
  <c r="D24" i="9" l="1"/>
  <c r="D26" i="9" s="1"/>
  <c r="D28" i="9" s="1"/>
  <c r="B36" i="5"/>
  <c r="E36" i="5" s="1"/>
  <c r="E19" i="8"/>
  <c r="H19" i="8"/>
  <c r="B37" i="5" l="1"/>
  <c r="E37" i="5" s="1"/>
  <c r="J50" i="5"/>
  <c r="B38" i="5" l="1"/>
  <c r="E38" i="5" s="1"/>
  <c r="I4" i="6"/>
  <c r="E12" i="5" l="1"/>
  <c r="L23" i="5" l="1"/>
  <c r="E22" i="5"/>
  <c r="L8" i="5"/>
  <c r="L9" i="5" l="1"/>
  <c r="E23" i="5"/>
  <c r="F23" i="5" s="1"/>
  <c r="G23" i="5" s="1"/>
  <c r="F22" i="5"/>
  <c r="G22" i="5" s="1"/>
  <c r="E15" i="5"/>
  <c r="E14" i="5"/>
  <c r="E16" i="5" s="1"/>
  <c r="E17" i="5" s="1"/>
  <c r="E13" i="5"/>
  <c r="L10" i="5" l="1"/>
  <c r="L17" i="5"/>
  <c r="E43" i="5"/>
  <c r="D43" i="5"/>
  <c r="C43" i="5" l="1"/>
  <c r="L13" i="5"/>
  <c r="L12" i="5"/>
  <c r="L16" i="5" l="1"/>
  <c r="D28" i="5" s="1"/>
  <c r="D29" i="5"/>
  <c r="D30" i="5" l="1"/>
  <c r="F30" i="5" l="1"/>
  <c r="D31" i="5"/>
  <c r="F31" i="5" l="1"/>
  <c r="D32" i="5"/>
  <c r="F32" i="5" l="1"/>
  <c r="D33" i="5"/>
  <c r="F33" i="5" l="1"/>
  <c r="D34" i="5"/>
  <c r="F34" i="5" l="1"/>
  <c r="D35" i="5"/>
  <c r="F35" i="5" l="1"/>
  <c r="D36" i="5"/>
  <c r="F36" i="5" l="1"/>
  <c r="D37" i="5"/>
  <c r="F37" i="5" l="1"/>
  <c r="D38" i="5"/>
  <c r="F38" i="5" l="1"/>
  <c r="F39" i="5" s="1"/>
  <c r="F43" i="5" l="1"/>
  <c r="G43" i="5" s="1"/>
  <c r="L24" i="5"/>
  <c r="L27" i="5" s="1"/>
  <c r="L28" i="5" l="1"/>
  <c r="F45" i="5"/>
  <c r="F46" i="5" s="1"/>
  <c r="G46" i="5" s="1"/>
  <c r="H43" i="5"/>
</calcChain>
</file>

<file path=xl/sharedStrings.xml><?xml version="1.0" encoding="utf-8"?>
<sst xmlns="http://schemas.openxmlformats.org/spreadsheetml/2006/main" count="241" uniqueCount="113">
  <si>
    <t>Incremento</t>
  </si>
  <si>
    <t>TOTAL</t>
  </si>
  <si>
    <t>Costo Servicio</t>
  </si>
  <si>
    <t>Costo Estacionamiento (NC1)</t>
  </si>
  <si>
    <t>Concepto</t>
  </si>
  <si>
    <t>Costo Mensual</t>
  </si>
  <si>
    <t>Costo anterior</t>
  </si>
  <si>
    <t>Ciclo 18/19</t>
  </si>
  <si>
    <t>Costo por Camion Fijo</t>
  </si>
  <si>
    <t>Costo por Camion Combinado</t>
  </si>
  <si>
    <t>Cantidad de Unidades Fijas</t>
  </si>
  <si>
    <t>Cantidad de Unidades Combinadas</t>
  </si>
  <si>
    <t>Costo Anual (11 meses)</t>
  </si>
  <si>
    <t>Bonificaciones</t>
  </si>
  <si>
    <t>Estacionamiento (11 meses)</t>
  </si>
  <si>
    <t>Publicidad (11 meses, 28 unidades)</t>
  </si>
  <si>
    <t>Unidades Fijas/combinadas</t>
  </si>
  <si>
    <t>Total con IVA</t>
  </si>
  <si>
    <t>25f 3c</t>
  </si>
  <si>
    <t>*precios más IVA</t>
  </si>
  <si>
    <t>BONIFICACIONES</t>
  </si>
  <si>
    <t>Ciclo 19/20</t>
  </si>
  <si>
    <t>Facturación fija</t>
  </si>
  <si>
    <t>Combustible</t>
  </si>
  <si>
    <t>Diferencial</t>
  </si>
  <si>
    <t>Proporcion</t>
  </si>
  <si>
    <t>Impacto</t>
  </si>
  <si>
    <t>Inflación</t>
  </si>
  <si>
    <t>Precio 19/20 Anual</t>
  </si>
  <si>
    <t>Publicidad           (NC2)</t>
  </si>
  <si>
    <t>Incremento 2019-2020</t>
  </si>
  <si>
    <t>Proporción $</t>
  </si>
  <si>
    <t>Aumento proporcional</t>
  </si>
  <si>
    <t>Total de facturación 2019-2020</t>
  </si>
  <si>
    <t>IVA</t>
  </si>
  <si>
    <t>SUBTOTAL</t>
  </si>
  <si>
    <t>Aumento acumulado</t>
  </si>
  <si>
    <t>AGO</t>
  </si>
  <si>
    <t>SEP</t>
  </si>
  <si>
    <t>OCT</t>
  </si>
  <si>
    <t>NOV</t>
  </si>
  <si>
    <t>DIC</t>
  </si>
  <si>
    <t>ENE</t>
  </si>
  <si>
    <t>FEB</t>
  </si>
  <si>
    <t>MAR</t>
  </si>
  <si>
    <t>PRECIOS DE DISIEL</t>
  </si>
  <si>
    <t>Marzo</t>
  </si>
  <si>
    <t>Inflación en:</t>
  </si>
  <si>
    <t>                                                              </t>
  </si>
  <si>
    <t>Inflación medida por:</t>
  </si>
  <si>
    <t>Mensual</t>
  </si>
  <si>
    <t>Acumulada</t>
  </si>
  <si>
    <t>en el año</t>
  </si>
  <si>
    <t>Anual</t>
  </si>
  <si>
    <t>INPC índice general</t>
  </si>
  <si>
    <r>
      <t>INPC subyacente</t>
    </r>
    <r>
      <rPr>
        <sz val="7"/>
        <color rgb="FF007279"/>
        <rFont val="Arial"/>
        <family val="2"/>
      </rPr>
      <t>1/</t>
    </r>
  </si>
  <si>
    <t>INPC no subyacente</t>
  </si>
  <si>
    <t>PROMEDIO</t>
  </si>
  <si>
    <t>Cuadro No. 1</t>
  </si>
  <si>
    <t>Cuadro No. 2</t>
  </si>
  <si>
    <t>PROPUESTA EDYEN CAMNIONES -SPRINTERS  2015</t>
  </si>
  <si>
    <t>EDYEN 2015 PROPUESTA MAGUEN DAVID CAMIONES</t>
  </si>
  <si>
    <t xml:space="preserve">MES </t>
  </si>
  <si>
    <t>COSTO 
POR UNIDAD</t>
  </si>
  <si>
    <t xml:space="preserve">COSTO MENSUAL </t>
  </si>
  <si>
    <t>PRONTO PAGO 
5.5%</t>
  </si>
  <si>
    <t>COSTO  (4 X CAMIÓN DESCARGABLES)
CÁMARAS</t>
  </si>
  <si>
    <t>PRONTO PAGO 
8.25%</t>
  </si>
  <si>
    <t>Agosto</t>
  </si>
  <si>
    <t>Septiembre</t>
  </si>
  <si>
    <t>Octubre</t>
  </si>
  <si>
    <t xml:space="preserve">Noviembre </t>
  </si>
  <si>
    <t>Diciembre</t>
  </si>
  <si>
    <t>Enero</t>
  </si>
  <si>
    <t>Febrero</t>
  </si>
  <si>
    <t>Abril</t>
  </si>
  <si>
    <t>Mayo</t>
  </si>
  <si>
    <t>Junio</t>
  </si>
  <si>
    <t xml:space="preserve"> </t>
  </si>
  <si>
    <t xml:space="preserve">CONCEPTOS </t>
  </si>
  <si>
    <t>1. Encierro</t>
  </si>
  <si>
    <t>2. Publicidad</t>
  </si>
  <si>
    <t>3. Pronto pago</t>
  </si>
  <si>
    <t>4. Otro</t>
  </si>
  <si>
    <t>NETO</t>
  </si>
  <si>
    <t xml:space="preserve">PRONTO PAGO 
</t>
  </si>
  <si>
    <t>CA</t>
  </si>
  <si>
    <t>Ciudad de México</t>
  </si>
  <si>
    <t>Tasa Autorizada Anual</t>
  </si>
  <si>
    <t>Impacto Antic.</t>
  </si>
  <si>
    <t>Mes</t>
  </si>
  <si>
    <t>%</t>
  </si>
  <si>
    <t xml:space="preserve">Descuento </t>
  </si>
  <si>
    <t>Noviembre</t>
  </si>
  <si>
    <t>Ponto pago        (NC3)</t>
  </si>
  <si>
    <t>Pronto Pago</t>
  </si>
  <si>
    <t>2018-2019</t>
  </si>
  <si>
    <t>2019-2020</t>
  </si>
  <si>
    <t>Encierro</t>
  </si>
  <si>
    <t>Publicidad</t>
  </si>
  <si>
    <t>% Aumento</t>
  </si>
  <si>
    <t>PROPUESTA 1</t>
  </si>
  <si>
    <t>PROPUESTA 2</t>
  </si>
  <si>
    <t>PROPUESTA 3</t>
  </si>
  <si>
    <t>Inveitir el monto del encierro en asfalto de patio de camiones</t>
  </si>
  <si>
    <t xml:space="preserve">El pronto pago que quede como beneficio para el colegio </t>
  </si>
  <si>
    <t>PROPUESTA SCHOOLASTICO CAMIONES 2015</t>
  </si>
  <si>
    <t>TRASNPORTE ESCOLAR 2019-2020</t>
  </si>
  <si>
    <t>Lipu de forma adicional nos requiere aumentar un 2% directo a la facturación mensual por variación en combustible</t>
  </si>
  <si>
    <t>o aceptar una cláud¿sula de ajuste mensual de acuerdo a la variación real de compbustible</t>
  </si>
  <si>
    <t>LIPU Camioes hasta con 3 años de antigüedad</t>
  </si>
  <si>
    <t>PRONTO PAGO 
7.75</t>
  </si>
  <si>
    <t>PROPUESTA SCHOOLASTICO CAMIONES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</si>
</sst>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&quot;$&quot;* #,##0_-;\-&quot;$&quot;* #,##0_-;_-&quot;$&quot;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i/>
      <sz val="1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u/>
      <sz val="12"/>
      <color theme="2" tint="-0.74999237037263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426085"/>
      <name val="Arial"/>
      <family val="2"/>
    </font>
    <font>
      <b/>
      <sz val="9"/>
      <color rgb="FFE3EBED"/>
      <name val="Arial"/>
      <family val="2"/>
    </font>
    <font>
      <sz val="9"/>
      <color rgb="FF007279"/>
      <name val="Arial"/>
      <family val="2"/>
    </font>
    <font>
      <sz val="7"/>
      <color rgb="FF007279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F7279"/>
        <bgColor indexed="64"/>
      </patternFill>
    </fill>
    <fill>
      <patternFill patternType="solid">
        <fgColor rgb="FFEEF3F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8" fontId="3" fillId="0" borderId="0" xfId="0" applyNumberFormat="1" applyFont="1"/>
    <xf numFmtId="0" fontId="5" fillId="0" borderId="0" xfId="0" applyFont="1" applyAlignment="1">
      <alignment vertical="center"/>
    </xf>
    <xf numFmtId="44" fontId="2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4" fontId="2" fillId="0" borderId="0" xfId="0" applyNumberFormat="1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horizontal="center" vertical="center"/>
    </xf>
    <xf numFmtId="44" fontId="2" fillId="0" borderId="1" xfId="1" applyFont="1" applyFill="1" applyBorder="1" applyAlignment="1">
      <alignment horizontal="center" vertical="center"/>
    </xf>
    <xf numFmtId="44" fontId="2" fillId="0" borderId="1" xfId="1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44" fontId="3" fillId="0" borderId="1" xfId="1" applyFont="1" applyFill="1" applyBorder="1" applyAlignment="1">
      <alignment horizontal="center" vertical="center"/>
    </xf>
    <xf numFmtId="44" fontId="3" fillId="0" borderId="1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4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0" fontId="2" fillId="0" borderId="0" xfId="0" applyNumberFormat="1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44" fontId="10" fillId="4" borderId="0" xfId="0" applyNumberFormat="1" applyFont="1" applyFill="1" applyBorder="1" applyAlignment="1">
      <alignment vertical="center"/>
    </xf>
    <xf numFmtId="43" fontId="0" fillId="0" borderId="0" xfId="3" applyFont="1" applyFill="1" applyBorder="1" applyAlignment="1">
      <alignment vertical="center"/>
    </xf>
    <xf numFmtId="44" fontId="3" fillId="5" borderId="1" xfId="0" applyNumberFormat="1" applyFont="1" applyFill="1" applyBorder="1" applyAlignment="1">
      <alignment horizontal="center" vertical="center"/>
    </xf>
    <xf numFmtId="8" fontId="2" fillId="0" borderId="0" xfId="0" applyNumberFormat="1" applyFont="1" applyAlignment="1">
      <alignment vertical="center"/>
    </xf>
    <xf numFmtId="9" fontId="0" fillId="0" borderId="0" xfId="2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44" fontId="10" fillId="4" borderId="0" xfId="0" applyNumberFormat="1" applyFont="1" applyFill="1" applyAlignment="1">
      <alignment vertical="center"/>
    </xf>
    <xf numFmtId="10" fontId="9" fillId="2" borderId="0" xfId="2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165" fontId="10" fillId="0" borderId="0" xfId="3" applyNumberFormat="1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5" xfId="0" applyNumberFormat="1" applyBorder="1" applyAlignment="1">
      <alignment vertical="center"/>
    </xf>
    <xf numFmtId="17" fontId="0" fillId="0" borderId="0" xfId="0" applyNumberFormat="1"/>
    <xf numFmtId="10" fontId="0" fillId="0" borderId="0" xfId="2" applyNumberFormat="1" applyFont="1" applyAlignment="1">
      <alignment horizontal="center"/>
    </xf>
    <xf numFmtId="44" fontId="9" fillId="4" borderId="3" xfId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2" fontId="10" fillId="0" borderId="0" xfId="0" applyNumberFormat="1" applyFont="1" applyAlignment="1">
      <alignment vertical="center"/>
    </xf>
    <xf numFmtId="2" fontId="10" fillId="2" borderId="0" xfId="0" applyNumberFormat="1" applyFont="1" applyFill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/>
    </xf>
    <xf numFmtId="164" fontId="0" fillId="0" borderId="0" xfId="2" applyNumberFormat="1" applyFont="1" applyAlignment="1">
      <alignment vertical="center"/>
    </xf>
    <xf numFmtId="17" fontId="10" fillId="0" borderId="0" xfId="0" applyNumberFormat="1" applyFont="1" applyAlignment="1">
      <alignment vertical="center"/>
    </xf>
    <xf numFmtId="43" fontId="9" fillId="4" borderId="3" xfId="3" applyFont="1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13" fillId="7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horizontal="left" vertical="center" wrapText="1"/>
    </xf>
    <xf numFmtId="0" fontId="15" fillId="7" borderId="0" xfId="0" applyFont="1" applyFill="1" applyAlignment="1">
      <alignment horizontal="right" vertical="center" wrapText="1"/>
    </xf>
    <xf numFmtId="0" fontId="15" fillId="9" borderId="0" xfId="0" applyFont="1" applyFill="1" applyAlignment="1">
      <alignment horizontal="left" vertical="center" wrapText="1"/>
    </xf>
    <xf numFmtId="0" fontId="15" fillId="9" borderId="0" xfId="0" applyFont="1" applyFill="1" applyAlignment="1">
      <alignment horizontal="right" vertical="center" wrapText="1"/>
    </xf>
    <xf numFmtId="0" fontId="15" fillId="4" borderId="0" xfId="0" applyFont="1" applyFill="1" applyAlignment="1">
      <alignment horizontal="right" vertical="center" wrapText="1"/>
    </xf>
    <xf numFmtId="0" fontId="10" fillId="0" borderId="0" xfId="0" applyFont="1"/>
    <xf numFmtId="0" fontId="0" fillId="0" borderId="0" xfId="0" applyFill="1"/>
    <xf numFmtId="0" fontId="0" fillId="0" borderId="0" xfId="0" applyFont="1"/>
    <xf numFmtId="44" fontId="10" fillId="10" borderId="8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 wrapText="1"/>
    </xf>
    <xf numFmtId="0" fontId="10" fillId="13" borderId="12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4" xfId="0" applyFont="1" applyBorder="1"/>
    <xf numFmtId="165" fontId="0" fillId="0" borderId="14" xfId="3" applyNumberFormat="1" applyFont="1" applyBorder="1"/>
    <xf numFmtId="165" fontId="1" fillId="0" borderId="14" xfId="3" applyNumberFormat="1" applyFont="1" applyBorder="1" applyAlignment="1">
      <alignment horizontal="center" wrapText="1"/>
    </xf>
    <xf numFmtId="165" fontId="0" fillId="0" borderId="14" xfId="3" applyNumberFormat="1" applyFont="1" applyBorder="1" applyAlignment="1">
      <alignment horizontal="center"/>
    </xf>
    <xf numFmtId="165" fontId="0" fillId="0" borderId="15" xfId="3" applyNumberFormat="1" applyFont="1" applyBorder="1"/>
    <xf numFmtId="165" fontId="0" fillId="0" borderId="15" xfId="3" applyNumberFormat="1" applyFont="1" applyFill="1" applyBorder="1"/>
    <xf numFmtId="165" fontId="0" fillId="0" borderId="14" xfId="3" applyNumberFormat="1" applyFont="1" applyFill="1" applyBorder="1"/>
    <xf numFmtId="0" fontId="17" fillId="0" borderId="14" xfId="0" applyFont="1" applyBorder="1"/>
    <xf numFmtId="0" fontId="18" fillId="0" borderId="14" xfId="0" applyFont="1" applyBorder="1"/>
    <xf numFmtId="165" fontId="18" fillId="0" borderId="14" xfId="3" applyNumberFormat="1" applyFont="1" applyBorder="1"/>
    <xf numFmtId="165" fontId="10" fillId="0" borderId="16" xfId="3" applyNumberFormat="1" applyFont="1" applyBorder="1" applyAlignment="1">
      <alignment horizontal="center" wrapText="1"/>
    </xf>
    <xf numFmtId="165" fontId="18" fillId="0" borderId="16" xfId="3" applyNumberFormat="1" applyFont="1" applyBorder="1" applyAlignment="1">
      <alignment horizontal="center"/>
    </xf>
    <xf numFmtId="165" fontId="18" fillId="0" borderId="16" xfId="3" applyNumberFormat="1" applyFont="1" applyBorder="1"/>
    <xf numFmtId="165" fontId="18" fillId="0" borderId="16" xfId="3" applyNumberFormat="1" applyFont="1" applyFill="1" applyBorder="1"/>
    <xf numFmtId="0" fontId="18" fillId="0" borderId="0" xfId="0" applyFont="1" applyFill="1" applyBorder="1"/>
    <xf numFmtId="166" fontId="17" fillId="12" borderId="13" xfId="1" applyNumberFormat="1" applyFont="1" applyFill="1" applyBorder="1"/>
    <xf numFmtId="166" fontId="17" fillId="12" borderId="13" xfId="0" applyNumberFormat="1" applyFont="1" applyFill="1" applyBorder="1"/>
    <xf numFmtId="166" fontId="17" fillId="13" borderId="13" xfId="0" applyNumberFormat="1" applyFont="1" applyFill="1" applyBorder="1"/>
    <xf numFmtId="166" fontId="10" fillId="12" borderId="13" xfId="1" applyNumberFormat="1" applyFont="1" applyFill="1" applyBorder="1"/>
    <xf numFmtId="166" fontId="10" fillId="0" borderId="0" xfId="1" applyNumberFormat="1" applyFont="1" applyFill="1" applyBorder="1"/>
    <xf numFmtId="0" fontId="10" fillId="0" borderId="0" xfId="0" applyFont="1" applyAlignment="1">
      <alignment horizontal="center"/>
    </xf>
    <xf numFmtId="165" fontId="0" fillId="0" borderId="0" xfId="3" applyNumberFormat="1" applyFont="1"/>
    <xf numFmtId="165" fontId="0" fillId="0" borderId="0" xfId="0" applyNumberFormat="1"/>
    <xf numFmtId="165" fontId="0" fillId="0" borderId="0" xfId="3" applyNumberFormat="1" applyFont="1" applyFill="1"/>
    <xf numFmtId="165" fontId="0" fillId="14" borderId="0" xfId="3" applyNumberFormat="1" applyFont="1" applyFill="1"/>
    <xf numFmtId="43" fontId="10" fillId="13" borderId="0" xfId="3" applyFont="1" applyFill="1"/>
    <xf numFmtId="166" fontId="10" fillId="13" borderId="0" xfId="0" applyNumberFormat="1" applyFont="1" applyFill="1"/>
    <xf numFmtId="43" fontId="1" fillId="0" borderId="0" xfId="3" applyFont="1" applyFill="1"/>
    <xf numFmtId="43" fontId="0" fillId="0" borderId="5" xfId="3" applyFont="1" applyFill="1" applyBorder="1"/>
    <xf numFmtId="0" fontId="0" fillId="0" borderId="5" xfId="0" applyBorder="1"/>
    <xf numFmtId="43" fontId="0" fillId="0" borderId="0" xfId="3" applyFont="1"/>
    <xf numFmtId="43" fontId="0" fillId="0" borderId="0" xfId="3" applyFont="1" applyFill="1" applyBorder="1"/>
    <xf numFmtId="165" fontId="10" fillId="0" borderId="0" xfId="0" applyNumberFormat="1" applyFont="1" applyFill="1"/>
    <xf numFmtId="166" fontId="0" fillId="0" borderId="0" xfId="0" applyNumberFormat="1"/>
    <xf numFmtId="0" fontId="10" fillId="0" borderId="0" xfId="0" applyFont="1" applyAlignment="1">
      <alignment horizontal="right"/>
    </xf>
    <xf numFmtId="166" fontId="19" fillId="15" borderId="13" xfId="0" applyNumberFormat="1" applyFont="1" applyFill="1" applyBorder="1"/>
    <xf numFmtId="0" fontId="19" fillId="0" borderId="0" xfId="0" applyFont="1"/>
    <xf numFmtId="0" fontId="19" fillId="0" borderId="0" xfId="0" applyFont="1" applyFill="1"/>
    <xf numFmtId="166" fontId="19" fillId="4" borderId="13" xfId="0" applyNumberFormat="1" applyFont="1" applyFill="1" applyBorder="1"/>
    <xf numFmtId="166" fontId="0" fillId="0" borderId="0" xfId="0" applyNumberFormat="1" applyFont="1" applyFill="1"/>
    <xf numFmtId="44" fontId="0" fillId="0" borderId="0" xfId="0" applyNumberFormat="1"/>
    <xf numFmtId="0" fontId="3" fillId="14" borderId="0" xfId="0" applyFont="1" applyFill="1" applyAlignment="1">
      <alignment vertical="center"/>
    </xf>
    <xf numFmtId="164" fontId="0" fillId="0" borderId="0" xfId="2" applyNumberFormat="1" applyFont="1" applyAlignment="1">
      <alignment horizontal="center" vertical="center"/>
    </xf>
    <xf numFmtId="44" fontId="10" fillId="0" borderId="0" xfId="0" applyNumberFormat="1" applyFont="1" applyFill="1" applyBorder="1" applyAlignment="1">
      <alignment vertical="center"/>
    </xf>
    <xf numFmtId="0" fontId="21" fillId="16" borderId="14" xfId="0" applyFont="1" applyFill="1" applyBorder="1" applyAlignment="1">
      <alignment horizontal="center" vertical="center" wrapText="1"/>
    </xf>
    <xf numFmtId="10" fontId="0" fillId="0" borderId="14" xfId="0" applyNumberForma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indent="4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10" fontId="0" fillId="0" borderId="14" xfId="2" applyNumberFormat="1" applyFont="1" applyBorder="1" applyAlignment="1">
      <alignment horizontal="center" vertical="center"/>
    </xf>
    <xf numFmtId="44" fontId="0" fillId="0" borderId="0" xfId="0" applyNumberFormat="1" applyFill="1" applyBorder="1" applyAlignment="1">
      <alignment vertical="center"/>
    </xf>
    <xf numFmtId="44" fontId="20" fillId="16" borderId="14" xfId="1" applyFont="1" applyFill="1" applyBorder="1" applyAlignment="1">
      <alignment horizontal="center" vertical="center" wrapText="1"/>
    </xf>
    <xf numFmtId="0" fontId="10" fillId="4" borderId="0" xfId="0" applyFont="1" applyFill="1" applyAlignment="1">
      <alignment vertical="center"/>
    </xf>
    <xf numFmtId="10" fontId="10" fillId="4" borderId="0" xfId="2" applyNumberFormat="1" applyFont="1" applyFill="1" applyAlignment="1">
      <alignment vertical="center"/>
    </xf>
    <xf numFmtId="166" fontId="9" fillId="2" borderId="0" xfId="0" applyNumberFormat="1" applyFont="1" applyFill="1" applyAlignment="1">
      <alignment vertical="center"/>
    </xf>
    <xf numFmtId="44" fontId="2" fillId="0" borderId="17" xfId="1" applyFont="1" applyFill="1" applyBorder="1" applyAlignment="1">
      <alignment horizontal="center" vertical="center"/>
    </xf>
    <xf numFmtId="44" fontId="2" fillId="0" borderId="17" xfId="1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166" fontId="10" fillId="14" borderId="0" xfId="0" applyNumberFormat="1" applyFont="1" applyFill="1" applyAlignment="1">
      <alignment vertical="center"/>
    </xf>
    <xf numFmtId="44" fontId="0" fillId="0" borderId="0" xfId="0" applyNumberFormat="1" applyFont="1" applyFill="1" applyBorder="1" applyAlignment="1">
      <alignment vertical="center"/>
    </xf>
    <xf numFmtId="166" fontId="17" fillId="12" borderId="18" xfId="1" applyNumberFormat="1" applyFont="1" applyFill="1" applyBorder="1"/>
    <xf numFmtId="166" fontId="17" fillId="12" borderId="18" xfId="0" applyNumberFormat="1" applyFont="1" applyFill="1" applyBorder="1"/>
    <xf numFmtId="166" fontId="17" fillId="13" borderId="18" xfId="0" applyNumberFormat="1" applyFont="1" applyFill="1" applyBorder="1"/>
    <xf numFmtId="166" fontId="10" fillId="12" borderId="18" xfId="1" applyNumberFormat="1" applyFont="1" applyFill="1" applyBorder="1"/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Border="1"/>
    <xf numFmtId="165" fontId="0" fillId="0" borderId="24" xfId="3" applyNumberFormat="1" applyFont="1" applyFill="1" applyBorder="1"/>
    <xf numFmtId="165" fontId="0" fillId="0" borderId="25" xfId="3" applyNumberFormat="1" applyFont="1" applyFill="1" applyBorder="1"/>
    <xf numFmtId="0" fontId="17" fillId="0" borderId="23" xfId="0" applyFont="1" applyBorder="1"/>
    <xf numFmtId="0" fontId="18" fillId="0" borderId="26" xfId="0" applyFont="1" applyBorder="1"/>
    <xf numFmtId="165" fontId="18" fillId="0" borderId="27" xfId="3" applyNumberFormat="1" applyFont="1" applyBorder="1"/>
    <xf numFmtId="165" fontId="10" fillId="0" borderId="27" xfId="3" applyNumberFormat="1" applyFont="1" applyBorder="1" applyAlignment="1">
      <alignment horizontal="center" wrapText="1"/>
    </xf>
    <xf numFmtId="165" fontId="18" fillId="0" borderId="27" xfId="3" applyNumberFormat="1" applyFont="1" applyBorder="1" applyAlignment="1">
      <alignment horizontal="center"/>
    </xf>
    <xf numFmtId="165" fontId="0" fillId="0" borderId="27" xfId="3" applyNumberFormat="1" applyFont="1" applyBorder="1" applyAlignment="1">
      <alignment horizontal="center"/>
    </xf>
    <xf numFmtId="165" fontId="18" fillId="0" borderId="28" xfId="3" applyNumberFormat="1" applyFont="1" applyFill="1" applyBorder="1"/>
    <xf numFmtId="0" fontId="10" fillId="0" borderId="0" xfId="0" applyFont="1" applyFill="1" applyBorder="1" applyAlignment="1">
      <alignment vertical="center"/>
    </xf>
    <xf numFmtId="164" fontId="0" fillId="0" borderId="0" xfId="2" applyNumberFormat="1" applyFont="1"/>
    <xf numFmtId="44" fontId="10" fillId="10" borderId="29" xfId="0" applyNumberFormat="1" applyFont="1" applyFill="1" applyBorder="1" applyAlignment="1">
      <alignment horizontal="center" vertical="center" wrapText="1"/>
    </xf>
    <xf numFmtId="0" fontId="10" fillId="11" borderId="29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21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 wrapText="1"/>
    </xf>
    <xf numFmtId="10" fontId="9" fillId="3" borderId="4" xfId="2" applyNumberFormat="1" applyFont="1" applyFill="1" applyBorder="1" applyAlignment="1">
      <alignment horizontal="center" vertical="center" wrapText="1"/>
    </xf>
    <xf numFmtId="10" fontId="9" fillId="3" borderId="0" xfId="2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12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40481</xdr:colOff>
          <xdr:row>56</xdr:row>
          <xdr:rowOff>65484</xdr:rowOff>
        </xdr:from>
        <xdr:to>
          <xdr:col>5</xdr:col>
          <xdr:colOff>678656</xdr:colOff>
          <xdr:row>57</xdr:row>
          <xdr:rowOff>56356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5953</xdr:colOff>
          <xdr:row>56</xdr:row>
          <xdr:rowOff>65484</xdr:rowOff>
        </xdr:from>
        <xdr:to>
          <xdr:col>6</xdr:col>
          <xdr:colOff>644128</xdr:colOff>
          <xdr:row>57</xdr:row>
          <xdr:rowOff>56356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40481</xdr:colOff>
          <xdr:row>68</xdr:row>
          <xdr:rowOff>79772</xdr:rowOff>
        </xdr:from>
        <xdr:to>
          <xdr:col>5</xdr:col>
          <xdr:colOff>678656</xdr:colOff>
          <xdr:row>69</xdr:row>
          <xdr:rowOff>70644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5953</xdr:colOff>
          <xdr:row>68</xdr:row>
          <xdr:rowOff>79772</xdr:rowOff>
        </xdr:from>
        <xdr:to>
          <xdr:col>6</xdr:col>
          <xdr:colOff>644128</xdr:colOff>
          <xdr:row>69</xdr:row>
          <xdr:rowOff>70644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1"/>
  <sheetViews>
    <sheetView tabSelected="1" topLeftCell="C7" zoomScale="90" zoomScaleNormal="90" workbookViewId="0">
      <selection activeCell="I28" sqref="I28"/>
    </sheetView>
  </sheetViews>
  <sheetFormatPr baseColWidth="10" defaultRowHeight="15" x14ac:dyDescent="0.25"/>
  <cols>
    <col min="1" max="1" width="4.140625" customWidth="1"/>
    <col min="2" max="2" width="22.85546875" bestFit="1" customWidth="1"/>
    <col min="3" max="3" width="11.42578125" customWidth="1"/>
    <col min="4" max="4" width="14.28515625" bestFit="1" customWidth="1"/>
    <col min="5" max="5" width="12.28515625" bestFit="1" customWidth="1"/>
    <col min="6" max="6" width="14.85546875" bestFit="1" customWidth="1"/>
    <col min="7" max="7" width="0" hidden="1" customWidth="1"/>
    <col min="8" max="8" width="13.85546875" hidden="1" customWidth="1"/>
    <col min="9" max="9" width="4.42578125" style="65" customWidth="1"/>
    <col min="10" max="10" width="11.42578125" customWidth="1"/>
    <col min="11" max="11" width="16.42578125" customWidth="1"/>
    <col min="12" max="13" width="12.28515625" bestFit="1" customWidth="1"/>
    <col min="14" max="14" width="12.42578125" hidden="1" customWidth="1"/>
    <col min="15" max="15" width="13.140625" hidden="1" customWidth="1"/>
    <col min="16" max="17" width="11.42578125" customWidth="1"/>
    <col min="18" max="18" width="14.28515625" bestFit="1" customWidth="1"/>
    <col min="19" max="19" width="12.28515625" bestFit="1" customWidth="1"/>
    <col min="21" max="21" width="0" hidden="1" customWidth="1"/>
    <col min="22" max="22" width="13.28515625" hidden="1" customWidth="1"/>
  </cols>
  <sheetData>
    <row r="2" spans="2:23" x14ac:dyDescent="0.25">
      <c r="B2" s="64"/>
      <c r="J2" s="64"/>
    </row>
    <row r="3" spans="2:23" ht="15.75" thickBot="1" x14ac:dyDescent="0.3">
      <c r="B3" s="66"/>
      <c r="F3" s="153"/>
    </row>
    <row r="4" spans="2:23" ht="19.5" customHeight="1" thickBot="1" x14ac:dyDescent="0.3">
      <c r="B4" s="161" t="s">
        <v>107</v>
      </c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3"/>
    </row>
    <row r="5" spans="2:23" ht="19.5" customHeight="1" thickBot="1" x14ac:dyDescent="0.3">
      <c r="B5" s="154"/>
      <c r="C5" s="155" t="s">
        <v>110</v>
      </c>
      <c r="D5" s="156"/>
      <c r="E5" s="156"/>
      <c r="F5" s="156"/>
      <c r="G5" s="156"/>
      <c r="H5" s="157"/>
      <c r="I5" s="68"/>
      <c r="J5" s="158" t="s">
        <v>61</v>
      </c>
      <c r="K5" s="159"/>
      <c r="L5" s="159"/>
      <c r="M5" s="159"/>
      <c r="N5" s="159"/>
      <c r="O5" s="160"/>
      <c r="P5" s="154"/>
      <c r="Q5" s="155" t="s">
        <v>106</v>
      </c>
      <c r="R5" s="156"/>
      <c r="S5" s="156"/>
      <c r="T5" s="156"/>
      <c r="U5" s="156"/>
      <c r="V5" s="157"/>
      <c r="W5" s="140"/>
    </row>
    <row r="6" spans="2:23" ht="75.75" thickBot="1" x14ac:dyDescent="0.3">
      <c r="B6" s="69" t="s">
        <v>62</v>
      </c>
      <c r="C6" s="70" t="s">
        <v>63</v>
      </c>
      <c r="D6" s="70" t="s">
        <v>64</v>
      </c>
      <c r="E6" s="69" t="s">
        <v>34</v>
      </c>
      <c r="F6" s="71" t="s">
        <v>111</v>
      </c>
      <c r="G6" s="70" t="s">
        <v>66</v>
      </c>
      <c r="H6" s="72" t="s">
        <v>1</v>
      </c>
      <c r="I6" s="73"/>
      <c r="J6" s="70" t="s">
        <v>63</v>
      </c>
      <c r="K6" s="70" t="s">
        <v>64</v>
      </c>
      <c r="L6" s="69" t="s">
        <v>34</v>
      </c>
      <c r="M6" s="71" t="s">
        <v>67</v>
      </c>
      <c r="N6" s="70" t="s">
        <v>66</v>
      </c>
      <c r="O6" s="72" t="s">
        <v>1</v>
      </c>
      <c r="P6" s="69" t="s">
        <v>62</v>
      </c>
      <c r="Q6" s="70" t="s">
        <v>63</v>
      </c>
      <c r="R6" s="70" t="s">
        <v>64</v>
      </c>
      <c r="S6" s="69" t="s">
        <v>34</v>
      </c>
      <c r="T6" s="71" t="s">
        <v>85</v>
      </c>
      <c r="U6" s="70" t="s">
        <v>66</v>
      </c>
      <c r="V6" s="72" t="s">
        <v>1</v>
      </c>
      <c r="W6" s="141"/>
    </row>
    <row r="7" spans="2:23" x14ac:dyDescent="0.25">
      <c r="B7" s="74" t="s">
        <v>68</v>
      </c>
      <c r="C7" s="75">
        <f>(25*57256.28)+(3*18869.28)</f>
        <v>1488014.84</v>
      </c>
      <c r="D7" s="76">
        <f>C7</f>
        <v>1488014.84</v>
      </c>
      <c r="E7" s="77">
        <f>D7*0.16</f>
        <v>238082.37440000003</v>
      </c>
      <c r="F7" s="77">
        <v>10483.740695738075</v>
      </c>
      <c r="G7" s="77">
        <v>0</v>
      </c>
      <c r="H7" s="78">
        <f>D7+E7+G7</f>
        <v>1726097.2144000002</v>
      </c>
      <c r="I7" s="79"/>
      <c r="J7" s="75">
        <f>(21*51450)+(4*53450)</f>
        <v>1294250</v>
      </c>
      <c r="K7" s="76">
        <f>J7</f>
        <v>1294250</v>
      </c>
      <c r="L7" s="77">
        <f>K7*0.16</f>
        <v>207080</v>
      </c>
      <c r="M7" s="77">
        <f>J7*0%</f>
        <v>0</v>
      </c>
      <c r="N7" s="77">
        <v>0</v>
      </c>
      <c r="O7" s="78">
        <f>K7+L7+N7</f>
        <v>1501330</v>
      </c>
      <c r="P7" s="142" t="s">
        <v>68</v>
      </c>
      <c r="Q7" s="75">
        <v>1292319.7241379311</v>
      </c>
      <c r="R7" s="76">
        <f>Q7</f>
        <v>1292319.7241379311</v>
      </c>
      <c r="S7" s="77">
        <f>R7*0.16</f>
        <v>206771.15586206899</v>
      </c>
      <c r="T7" s="77">
        <f>0</f>
        <v>0</v>
      </c>
      <c r="U7" s="77">
        <v>0</v>
      </c>
      <c r="V7" s="78">
        <f t="shared" ref="V7:V17" si="0">R7+S7+U7</f>
        <v>1499090.8800000001</v>
      </c>
      <c r="W7" s="143"/>
    </row>
    <row r="8" spans="2:23" x14ac:dyDescent="0.25">
      <c r="B8" s="74" t="s">
        <v>69</v>
      </c>
      <c r="C8" s="75">
        <f t="shared" ref="C8:C17" si="1">(25*57256.28)+(3*18869.28)</f>
        <v>1488014.84</v>
      </c>
      <c r="D8" s="76">
        <f t="shared" ref="D8:D17" si="2">C8</f>
        <v>1488014.84</v>
      </c>
      <c r="E8" s="77">
        <f t="shared" ref="E8:E17" si="3">D8*0.16</f>
        <v>238082.37440000003</v>
      </c>
      <c r="F8" s="77">
        <v>20967.481391476151</v>
      </c>
      <c r="G8" s="77">
        <v>0</v>
      </c>
      <c r="H8" s="75">
        <f t="shared" ref="H8:H17" si="4">D8+E8+G8</f>
        <v>1726097.2144000002</v>
      </c>
      <c r="I8" s="80"/>
      <c r="J8" s="75">
        <f t="shared" ref="J8:J17" si="5">(21*51450)+(4*53450)</f>
        <v>1294250</v>
      </c>
      <c r="K8" s="76">
        <f t="shared" ref="K8:K17" si="6">J8</f>
        <v>1294250</v>
      </c>
      <c r="L8" s="77">
        <f t="shared" ref="L8:L17" si="7">K8*0.16</f>
        <v>207080</v>
      </c>
      <c r="M8" s="77">
        <f>J8*1.5%</f>
        <v>19413.75</v>
      </c>
      <c r="N8" s="77">
        <v>0</v>
      </c>
      <c r="O8" s="75">
        <f t="shared" ref="O8:O17" si="8">K8+L8+N8</f>
        <v>1501330</v>
      </c>
      <c r="P8" s="142" t="s">
        <v>69</v>
      </c>
      <c r="Q8" s="75">
        <v>1292319.7241379311</v>
      </c>
      <c r="R8" s="76">
        <f t="shared" ref="R8:R17" si="9">Q8</f>
        <v>1292319.7241379311</v>
      </c>
      <c r="S8" s="77">
        <f t="shared" ref="S8:S17" si="10">R8*0.16</f>
        <v>206771.15586206899</v>
      </c>
      <c r="T8" s="77">
        <f>0</f>
        <v>0</v>
      </c>
      <c r="U8" s="77">
        <v>0</v>
      </c>
      <c r="V8" s="75">
        <f t="shared" si="0"/>
        <v>1499090.8800000001</v>
      </c>
      <c r="W8" s="144"/>
    </row>
    <row r="9" spans="2:23" x14ac:dyDescent="0.25">
      <c r="B9" s="74" t="s">
        <v>70</v>
      </c>
      <c r="C9" s="75">
        <f t="shared" si="1"/>
        <v>1488014.84</v>
      </c>
      <c r="D9" s="76">
        <f t="shared" si="2"/>
        <v>1488014.84</v>
      </c>
      <c r="E9" s="77">
        <f t="shared" si="3"/>
        <v>238082.37440000003</v>
      </c>
      <c r="F9" s="77">
        <v>31451.222087214224</v>
      </c>
      <c r="G9" s="77">
        <v>0</v>
      </c>
      <c r="H9" s="75">
        <f t="shared" si="4"/>
        <v>1726097.2144000002</v>
      </c>
      <c r="I9" s="80"/>
      <c r="J9" s="75">
        <f t="shared" si="5"/>
        <v>1294250</v>
      </c>
      <c r="K9" s="76">
        <f t="shared" si="6"/>
        <v>1294250</v>
      </c>
      <c r="L9" s="77">
        <f t="shared" si="7"/>
        <v>207080</v>
      </c>
      <c r="M9" s="77">
        <f>J9*3%</f>
        <v>38827.5</v>
      </c>
      <c r="N9" s="77">
        <v>0</v>
      </c>
      <c r="O9" s="75">
        <f t="shared" si="8"/>
        <v>1501330</v>
      </c>
      <c r="P9" s="142" t="s">
        <v>70</v>
      </c>
      <c r="Q9" s="75">
        <v>1292319.7241379311</v>
      </c>
      <c r="R9" s="76">
        <f t="shared" si="9"/>
        <v>1292319.7241379311</v>
      </c>
      <c r="S9" s="77">
        <f t="shared" si="10"/>
        <v>206771.15586206899</v>
      </c>
      <c r="T9" s="77">
        <f>0</f>
        <v>0</v>
      </c>
      <c r="U9" s="77">
        <v>0</v>
      </c>
      <c r="V9" s="75">
        <f t="shared" si="0"/>
        <v>1499090.8800000001</v>
      </c>
      <c r="W9" s="144"/>
    </row>
    <row r="10" spans="2:23" x14ac:dyDescent="0.25">
      <c r="B10" s="81" t="s">
        <v>71</v>
      </c>
      <c r="C10" s="75">
        <f t="shared" si="1"/>
        <v>1488014.84</v>
      </c>
      <c r="D10" s="76">
        <f t="shared" si="2"/>
        <v>1488014.84</v>
      </c>
      <c r="E10" s="77">
        <f t="shared" si="3"/>
        <v>238082.37440000003</v>
      </c>
      <c r="F10" s="77">
        <v>41934.962782952301</v>
      </c>
      <c r="G10" s="77">
        <v>0</v>
      </c>
      <c r="H10" s="75">
        <f t="shared" si="4"/>
        <v>1726097.2144000002</v>
      </c>
      <c r="I10" s="80"/>
      <c r="J10" s="75">
        <f t="shared" si="5"/>
        <v>1294250</v>
      </c>
      <c r="K10" s="76">
        <f t="shared" si="6"/>
        <v>1294250</v>
      </c>
      <c r="L10" s="77">
        <f t="shared" si="7"/>
        <v>207080</v>
      </c>
      <c r="M10" s="77">
        <f>J10*4.5%</f>
        <v>58241.25</v>
      </c>
      <c r="N10" s="77">
        <v>0</v>
      </c>
      <c r="O10" s="75">
        <f t="shared" si="8"/>
        <v>1501330</v>
      </c>
      <c r="P10" s="145" t="s">
        <v>71</v>
      </c>
      <c r="Q10" s="75">
        <v>1292319.7241379311</v>
      </c>
      <c r="R10" s="76">
        <f t="shared" si="9"/>
        <v>1292319.7241379311</v>
      </c>
      <c r="S10" s="77">
        <f t="shared" si="10"/>
        <v>206771.15586206899</v>
      </c>
      <c r="T10" s="77">
        <f>0</f>
        <v>0</v>
      </c>
      <c r="U10" s="77">
        <v>0</v>
      </c>
      <c r="V10" s="75">
        <f t="shared" si="0"/>
        <v>1499090.8800000001</v>
      </c>
      <c r="W10" s="144"/>
    </row>
    <row r="11" spans="2:23" x14ac:dyDescent="0.25">
      <c r="B11" s="81" t="s">
        <v>72</v>
      </c>
      <c r="C11" s="75">
        <f t="shared" si="1"/>
        <v>1488014.84</v>
      </c>
      <c r="D11" s="76">
        <f t="shared" si="2"/>
        <v>1488014.84</v>
      </c>
      <c r="E11" s="77">
        <f t="shared" si="3"/>
        <v>238082.37440000003</v>
      </c>
      <c r="F11" s="77">
        <v>52418.703478690382</v>
      </c>
      <c r="G11" s="77">
        <v>0</v>
      </c>
      <c r="H11" s="75">
        <f t="shared" si="4"/>
        <v>1726097.2144000002</v>
      </c>
      <c r="I11" s="80"/>
      <c r="J11" s="75">
        <f t="shared" si="5"/>
        <v>1294250</v>
      </c>
      <c r="K11" s="76">
        <f t="shared" si="6"/>
        <v>1294250</v>
      </c>
      <c r="L11" s="77">
        <f t="shared" si="7"/>
        <v>207080</v>
      </c>
      <c r="M11" s="77">
        <f>J11*6%</f>
        <v>77655</v>
      </c>
      <c r="N11" s="77">
        <v>0</v>
      </c>
      <c r="O11" s="75">
        <f t="shared" si="8"/>
        <v>1501330</v>
      </c>
      <c r="P11" s="145" t="s">
        <v>72</v>
      </c>
      <c r="Q11" s="75">
        <v>1292319.7241379311</v>
      </c>
      <c r="R11" s="76">
        <f t="shared" si="9"/>
        <v>1292319.7241379311</v>
      </c>
      <c r="S11" s="77">
        <f t="shared" si="10"/>
        <v>206771.15586206899</v>
      </c>
      <c r="T11" s="77">
        <f>0</f>
        <v>0</v>
      </c>
      <c r="U11" s="77">
        <v>0</v>
      </c>
      <c r="V11" s="75">
        <f t="shared" si="0"/>
        <v>1499090.8800000001</v>
      </c>
      <c r="W11" s="144"/>
    </row>
    <row r="12" spans="2:23" x14ac:dyDescent="0.25">
      <c r="B12" s="81" t="s">
        <v>73</v>
      </c>
      <c r="C12" s="75">
        <f t="shared" si="1"/>
        <v>1488014.84</v>
      </c>
      <c r="D12" s="76">
        <f t="shared" si="2"/>
        <v>1488014.84</v>
      </c>
      <c r="E12" s="77">
        <f t="shared" si="3"/>
        <v>238082.37440000003</v>
      </c>
      <c r="F12" s="77">
        <v>62902.444174428449</v>
      </c>
      <c r="G12" s="77">
        <v>0</v>
      </c>
      <c r="H12" s="75">
        <f t="shared" si="4"/>
        <v>1726097.2144000002</v>
      </c>
      <c r="I12" s="80"/>
      <c r="J12" s="75">
        <f t="shared" si="5"/>
        <v>1294250</v>
      </c>
      <c r="K12" s="76">
        <f t="shared" si="6"/>
        <v>1294250</v>
      </c>
      <c r="L12" s="77">
        <f t="shared" si="7"/>
        <v>207080</v>
      </c>
      <c r="M12" s="77">
        <f>J12*7.5%</f>
        <v>97068.75</v>
      </c>
      <c r="N12" s="77">
        <v>0</v>
      </c>
      <c r="O12" s="75">
        <f t="shared" si="8"/>
        <v>1501330</v>
      </c>
      <c r="P12" s="145" t="s">
        <v>73</v>
      </c>
      <c r="Q12" s="75">
        <v>1292319.7241379311</v>
      </c>
      <c r="R12" s="76">
        <f t="shared" si="9"/>
        <v>1292319.7241379311</v>
      </c>
      <c r="S12" s="77">
        <f t="shared" si="10"/>
        <v>206771.15586206899</v>
      </c>
      <c r="T12" s="77">
        <f>0</f>
        <v>0</v>
      </c>
      <c r="U12" s="77">
        <v>0</v>
      </c>
      <c r="V12" s="75">
        <f t="shared" si="0"/>
        <v>1499090.8800000001</v>
      </c>
      <c r="W12" s="144"/>
    </row>
    <row r="13" spans="2:23" x14ac:dyDescent="0.25">
      <c r="B13" s="81" t="s">
        <v>74</v>
      </c>
      <c r="C13" s="75">
        <f t="shared" si="1"/>
        <v>1488014.84</v>
      </c>
      <c r="D13" s="76">
        <f t="shared" si="2"/>
        <v>1488014.84</v>
      </c>
      <c r="E13" s="77">
        <f t="shared" si="3"/>
        <v>238082.37440000003</v>
      </c>
      <c r="F13" s="77">
        <v>73386.184870166515</v>
      </c>
      <c r="G13" s="77">
        <v>0</v>
      </c>
      <c r="H13" s="75">
        <f t="shared" si="4"/>
        <v>1726097.2144000002</v>
      </c>
      <c r="I13" s="80"/>
      <c r="J13" s="75">
        <f t="shared" si="5"/>
        <v>1294250</v>
      </c>
      <c r="K13" s="76">
        <f t="shared" si="6"/>
        <v>1294250</v>
      </c>
      <c r="L13" s="77">
        <f t="shared" si="7"/>
        <v>207080</v>
      </c>
      <c r="M13" s="77">
        <f>J13*9%</f>
        <v>116482.5</v>
      </c>
      <c r="N13" s="77">
        <v>0</v>
      </c>
      <c r="O13" s="75">
        <f t="shared" si="8"/>
        <v>1501330</v>
      </c>
      <c r="P13" s="145" t="s">
        <v>74</v>
      </c>
      <c r="Q13" s="75">
        <v>1292319.7241379311</v>
      </c>
      <c r="R13" s="76">
        <f t="shared" si="9"/>
        <v>1292319.7241379311</v>
      </c>
      <c r="S13" s="77">
        <f t="shared" si="10"/>
        <v>206771.15586206899</v>
      </c>
      <c r="T13" s="77">
        <f>0</f>
        <v>0</v>
      </c>
      <c r="U13" s="77">
        <v>0</v>
      </c>
      <c r="V13" s="75">
        <f t="shared" si="0"/>
        <v>1499090.8800000001</v>
      </c>
      <c r="W13" s="144"/>
    </row>
    <row r="14" spans="2:23" x14ac:dyDescent="0.25">
      <c r="B14" s="81" t="s">
        <v>46</v>
      </c>
      <c r="C14" s="75">
        <f t="shared" si="1"/>
        <v>1488014.84</v>
      </c>
      <c r="D14" s="76">
        <f t="shared" si="2"/>
        <v>1488014.84</v>
      </c>
      <c r="E14" s="77">
        <f t="shared" si="3"/>
        <v>238082.37440000003</v>
      </c>
      <c r="F14" s="77">
        <v>83869.925565904603</v>
      </c>
      <c r="G14" s="77">
        <v>0</v>
      </c>
      <c r="H14" s="75">
        <f t="shared" si="4"/>
        <v>1726097.2144000002</v>
      </c>
      <c r="I14" s="80"/>
      <c r="J14" s="75">
        <f t="shared" si="5"/>
        <v>1294250</v>
      </c>
      <c r="K14" s="76">
        <f t="shared" si="6"/>
        <v>1294250</v>
      </c>
      <c r="L14" s="77">
        <f t="shared" si="7"/>
        <v>207080</v>
      </c>
      <c r="M14" s="77">
        <f>J14*10.5%</f>
        <v>135896.25</v>
      </c>
      <c r="N14" s="77">
        <v>0</v>
      </c>
      <c r="O14" s="75">
        <f t="shared" si="8"/>
        <v>1501330</v>
      </c>
      <c r="P14" s="145" t="s">
        <v>46</v>
      </c>
      <c r="Q14" s="75">
        <v>1292319.7241379311</v>
      </c>
      <c r="R14" s="76">
        <f t="shared" si="9"/>
        <v>1292319.7241379311</v>
      </c>
      <c r="S14" s="77">
        <f t="shared" si="10"/>
        <v>206771.15586206899</v>
      </c>
      <c r="T14" s="77">
        <f>0</f>
        <v>0</v>
      </c>
      <c r="U14" s="77">
        <v>0</v>
      </c>
      <c r="V14" s="75">
        <f t="shared" si="0"/>
        <v>1499090.8800000001</v>
      </c>
      <c r="W14" s="144"/>
    </row>
    <row r="15" spans="2:23" x14ac:dyDescent="0.25">
      <c r="B15" s="81" t="s">
        <v>75</v>
      </c>
      <c r="C15" s="75">
        <f t="shared" si="1"/>
        <v>1488014.84</v>
      </c>
      <c r="D15" s="76">
        <f t="shared" si="2"/>
        <v>1488014.84</v>
      </c>
      <c r="E15" s="77">
        <f t="shared" si="3"/>
        <v>238082.37440000003</v>
      </c>
      <c r="F15" s="77">
        <v>94353.666261642677</v>
      </c>
      <c r="G15" s="77">
        <v>0</v>
      </c>
      <c r="H15" s="75">
        <f t="shared" si="4"/>
        <v>1726097.2144000002</v>
      </c>
      <c r="I15" s="80"/>
      <c r="J15" s="75">
        <f t="shared" si="5"/>
        <v>1294250</v>
      </c>
      <c r="K15" s="76">
        <f t="shared" si="6"/>
        <v>1294250</v>
      </c>
      <c r="L15" s="77">
        <f t="shared" si="7"/>
        <v>207080</v>
      </c>
      <c r="M15" s="77">
        <f>J15*12%</f>
        <v>155310</v>
      </c>
      <c r="N15" s="77">
        <v>0</v>
      </c>
      <c r="O15" s="75">
        <f t="shared" si="8"/>
        <v>1501330</v>
      </c>
      <c r="P15" s="145" t="s">
        <v>75</v>
      </c>
      <c r="Q15" s="75">
        <v>1292319.7241379311</v>
      </c>
      <c r="R15" s="76">
        <f t="shared" si="9"/>
        <v>1292319.7241379311</v>
      </c>
      <c r="S15" s="77">
        <f t="shared" si="10"/>
        <v>206771.15586206899</v>
      </c>
      <c r="T15" s="77">
        <f>0</f>
        <v>0</v>
      </c>
      <c r="U15" s="77">
        <v>0</v>
      </c>
      <c r="V15" s="75">
        <f t="shared" si="0"/>
        <v>1499090.8800000001</v>
      </c>
      <c r="W15" s="144"/>
    </row>
    <row r="16" spans="2:23" x14ac:dyDescent="0.25">
      <c r="B16" s="81" t="s">
        <v>76</v>
      </c>
      <c r="C16" s="75">
        <f t="shared" si="1"/>
        <v>1488014.84</v>
      </c>
      <c r="D16" s="76">
        <f t="shared" si="2"/>
        <v>1488014.84</v>
      </c>
      <c r="E16" s="77">
        <f t="shared" si="3"/>
        <v>238082.37440000003</v>
      </c>
      <c r="F16" s="77">
        <v>104837.40695738076</v>
      </c>
      <c r="G16" s="77">
        <v>0</v>
      </c>
      <c r="H16" s="75">
        <f t="shared" si="4"/>
        <v>1726097.2144000002</v>
      </c>
      <c r="I16" s="80"/>
      <c r="J16" s="75">
        <f t="shared" si="5"/>
        <v>1294250</v>
      </c>
      <c r="K16" s="76">
        <f t="shared" si="6"/>
        <v>1294250</v>
      </c>
      <c r="L16" s="77">
        <f t="shared" si="7"/>
        <v>207080</v>
      </c>
      <c r="M16" s="77">
        <f>J16*13.5%</f>
        <v>174723.75</v>
      </c>
      <c r="N16" s="77">
        <v>0</v>
      </c>
      <c r="O16" s="75">
        <f t="shared" si="8"/>
        <v>1501330</v>
      </c>
      <c r="P16" s="145" t="s">
        <v>76</v>
      </c>
      <c r="Q16" s="75">
        <v>1292319.7241379311</v>
      </c>
      <c r="R16" s="76">
        <f t="shared" si="9"/>
        <v>1292319.7241379311</v>
      </c>
      <c r="S16" s="77">
        <f t="shared" si="10"/>
        <v>206771.15586206899</v>
      </c>
      <c r="T16" s="77">
        <f>0</f>
        <v>0</v>
      </c>
      <c r="U16" s="77">
        <v>0</v>
      </c>
      <c r="V16" s="75">
        <f t="shared" si="0"/>
        <v>1499090.8800000001</v>
      </c>
      <c r="W16" s="144"/>
    </row>
    <row r="17" spans="2:23" x14ac:dyDescent="0.25">
      <c r="B17" s="81" t="s">
        <v>77</v>
      </c>
      <c r="C17" s="75">
        <f t="shared" si="1"/>
        <v>1488014.84</v>
      </c>
      <c r="D17" s="76">
        <f t="shared" si="2"/>
        <v>1488014.84</v>
      </c>
      <c r="E17" s="77">
        <f t="shared" si="3"/>
        <v>238082.37440000003</v>
      </c>
      <c r="F17" s="77">
        <v>115321.14765311882</v>
      </c>
      <c r="G17" s="77">
        <v>0</v>
      </c>
      <c r="H17" s="75">
        <f t="shared" si="4"/>
        <v>1726097.2144000002</v>
      </c>
      <c r="I17" s="80"/>
      <c r="J17" s="75">
        <f t="shared" si="5"/>
        <v>1294250</v>
      </c>
      <c r="K17" s="76">
        <f t="shared" si="6"/>
        <v>1294250</v>
      </c>
      <c r="L17" s="77">
        <f t="shared" si="7"/>
        <v>207080</v>
      </c>
      <c r="M17" s="77">
        <f>J17*15%</f>
        <v>194137.5</v>
      </c>
      <c r="N17" s="77">
        <v>0</v>
      </c>
      <c r="O17" s="75">
        <f t="shared" si="8"/>
        <v>1501330</v>
      </c>
      <c r="P17" s="145" t="s">
        <v>77</v>
      </c>
      <c r="Q17" s="75">
        <v>1292319.7241379311</v>
      </c>
      <c r="R17" s="76">
        <f t="shared" si="9"/>
        <v>1292319.7241379311</v>
      </c>
      <c r="S17" s="77">
        <f t="shared" si="10"/>
        <v>206771.15586206899</v>
      </c>
      <c r="T17" s="77">
        <f>0</f>
        <v>0</v>
      </c>
      <c r="U17" s="77">
        <v>0</v>
      </c>
      <c r="V17" s="75">
        <f t="shared" si="0"/>
        <v>1499090.8800000001</v>
      </c>
      <c r="W17" s="144"/>
    </row>
    <row r="18" spans="2:23" ht="15.75" thickBot="1" x14ac:dyDescent="0.3">
      <c r="B18" s="82"/>
      <c r="C18" s="83"/>
      <c r="D18" s="84"/>
      <c r="E18" s="85"/>
      <c r="F18" s="85"/>
      <c r="G18" s="77"/>
      <c r="H18" s="86"/>
      <c r="I18" s="87"/>
      <c r="J18" s="83"/>
      <c r="K18" s="84"/>
      <c r="L18" s="85"/>
      <c r="M18" s="77"/>
      <c r="N18" s="86"/>
      <c r="O18" s="86"/>
      <c r="P18" s="146"/>
      <c r="Q18" s="147"/>
      <c r="R18" s="148"/>
      <c r="S18" s="149"/>
      <c r="T18" s="149"/>
      <c r="U18" s="150"/>
      <c r="V18" s="147"/>
      <c r="W18" s="151"/>
    </row>
    <row r="19" spans="2:23" ht="15.75" thickBot="1" x14ac:dyDescent="0.3">
      <c r="B19" s="88" t="s">
        <v>78</v>
      </c>
      <c r="C19" s="88"/>
      <c r="D19" s="89">
        <f>SUM(D7:D18)</f>
        <v>16368163.24</v>
      </c>
      <c r="E19" s="90">
        <f>SUM(E7:E18)</f>
        <v>2618906.1184000005</v>
      </c>
      <c r="F19" s="91">
        <f>SUM(F7:F18)</f>
        <v>691926.88591871306</v>
      </c>
      <c r="G19" s="90">
        <f>SUM(G7:G18)</f>
        <v>0</v>
      </c>
      <c r="H19" s="92">
        <f>SUM(H7:H18)</f>
        <v>18987069.358400006</v>
      </c>
      <c r="I19" s="93"/>
      <c r="J19" s="88"/>
      <c r="K19" s="89">
        <f>SUM(K7:K18)</f>
        <v>14236750</v>
      </c>
      <c r="L19" s="90">
        <f>SUM(L7:L18)</f>
        <v>2277880</v>
      </c>
      <c r="M19" s="91">
        <f>SUM(M7:M18)</f>
        <v>1067756.25</v>
      </c>
      <c r="N19" s="92">
        <f>SUM(N7:N18)</f>
        <v>0</v>
      </c>
      <c r="O19" s="92">
        <f>SUM(O7:O18)</f>
        <v>16514630</v>
      </c>
      <c r="P19" s="88" t="s">
        <v>78</v>
      </c>
      <c r="Q19" s="88"/>
      <c r="R19" s="136">
        <f>SUM(R7:R18)</f>
        <v>14215516.965517245</v>
      </c>
      <c r="S19" s="137">
        <f>SUM(S7:S18)</f>
        <v>2274482.7144827591</v>
      </c>
      <c r="T19" s="138">
        <f>SUM(T7:T18)</f>
        <v>0</v>
      </c>
      <c r="U19" s="137">
        <f>SUM(U7:U18)</f>
        <v>0</v>
      </c>
      <c r="V19" s="139">
        <f>SUM(V7:V18)</f>
        <v>16489999.680000005</v>
      </c>
      <c r="W19" s="93"/>
    </row>
    <row r="20" spans="2:23" x14ac:dyDescent="0.25">
      <c r="B20" s="66"/>
      <c r="P20" s="66"/>
      <c r="W20" s="65"/>
    </row>
    <row r="21" spans="2:23" x14ac:dyDescent="0.25">
      <c r="B21" s="94" t="s">
        <v>79</v>
      </c>
      <c r="P21" s="94" t="s">
        <v>79</v>
      </c>
      <c r="W21" s="65"/>
    </row>
    <row r="22" spans="2:23" x14ac:dyDescent="0.25">
      <c r="B22" s="66" t="s">
        <v>80</v>
      </c>
      <c r="D22" s="95">
        <f>'Propuesta LIPU ok'!L22</f>
        <v>922350</v>
      </c>
      <c r="K22" s="96">
        <f>'Propuesta EDYEN ok '!K22</f>
        <v>206250</v>
      </c>
      <c r="O22" s="97"/>
      <c r="P22" s="66" t="s">
        <v>80</v>
      </c>
      <c r="R22" s="95">
        <f>0</f>
        <v>0</v>
      </c>
      <c r="W22" s="65"/>
    </row>
    <row r="23" spans="2:23" x14ac:dyDescent="0.25">
      <c r="B23" s="66" t="s">
        <v>81</v>
      </c>
      <c r="D23" s="98">
        <f>'Propuesta LIPU ok'!L23</f>
        <v>462269.80799999996</v>
      </c>
      <c r="O23" s="97"/>
      <c r="P23" s="66" t="s">
        <v>81</v>
      </c>
      <c r="R23" s="98">
        <f>0</f>
        <v>0</v>
      </c>
      <c r="W23" s="65"/>
    </row>
    <row r="24" spans="2:23" x14ac:dyDescent="0.25">
      <c r="B24" s="66" t="s">
        <v>82</v>
      </c>
      <c r="D24" s="99">
        <f>'Propuesta LIPU ok'!F39</f>
        <v>691926.88591871306</v>
      </c>
      <c r="K24" s="100">
        <f>M19</f>
        <v>1067756.25</v>
      </c>
      <c r="O24" s="101"/>
      <c r="P24" s="66" t="s">
        <v>82</v>
      </c>
      <c r="R24" s="99">
        <f>T19</f>
        <v>0</v>
      </c>
      <c r="W24" s="65"/>
    </row>
    <row r="25" spans="2:23" x14ac:dyDescent="0.25">
      <c r="B25" s="66" t="s">
        <v>83</v>
      </c>
      <c r="D25" s="102">
        <v>0</v>
      </c>
      <c r="K25" s="103"/>
      <c r="M25" s="104"/>
      <c r="O25" s="105"/>
      <c r="P25" s="66" t="s">
        <v>83</v>
      </c>
      <c r="R25" s="102">
        <v>0</v>
      </c>
      <c r="W25" s="65"/>
    </row>
    <row r="26" spans="2:23" x14ac:dyDescent="0.25">
      <c r="B26" s="66"/>
      <c r="D26" s="106">
        <f>D19-D23-D22-D24</f>
        <v>14291616.546081288</v>
      </c>
      <c r="K26" s="107">
        <f>K19-K22-K24</f>
        <v>12962743.75</v>
      </c>
      <c r="O26" s="106"/>
      <c r="P26" s="66"/>
      <c r="R26" s="106">
        <f>R19-R22-R24</f>
        <v>14215516.965517245</v>
      </c>
      <c r="W26" s="65"/>
    </row>
    <row r="27" spans="2:23" ht="15.75" thickBot="1" x14ac:dyDescent="0.3">
      <c r="O27" s="65"/>
      <c r="W27" s="65"/>
    </row>
    <row r="28" spans="2:23" ht="16.5" thickBot="1" x14ac:dyDescent="0.3">
      <c r="B28" s="108" t="s">
        <v>84</v>
      </c>
      <c r="D28" s="112">
        <f>D26*1.16</f>
        <v>16578275.193454294</v>
      </c>
      <c r="E28" s="110"/>
      <c r="F28" s="110"/>
      <c r="G28" s="110"/>
      <c r="H28" s="110"/>
      <c r="I28" s="111"/>
      <c r="J28" s="110"/>
      <c r="K28" s="112">
        <f>K26*1.16</f>
        <v>15036782.749999998</v>
      </c>
      <c r="L28" s="110"/>
      <c r="O28" s="113"/>
      <c r="P28" s="108" t="s">
        <v>84</v>
      </c>
      <c r="R28" s="112">
        <f>R26*1.16</f>
        <v>16489999.680000003</v>
      </c>
      <c r="S28" s="110"/>
      <c r="T28" s="110"/>
      <c r="U28" s="110"/>
      <c r="V28" s="110"/>
      <c r="W28" s="111"/>
    </row>
    <row r="30" spans="2:23" x14ac:dyDescent="0.25">
      <c r="K30" s="107"/>
    </row>
    <row r="31" spans="2:23" x14ac:dyDescent="0.25">
      <c r="K31" s="114"/>
    </row>
  </sheetData>
  <mergeCells count="4">
    <mergeCell ref="C5:H5"/>
    <mergeCell ref="J5:O5"/>
    <mergeCell ref="Q5:V5"/>
    <mergeCell ref="B4:W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L79"/>
  <sheetViews>
    <sheetView showGridLines="0" zoomScale="96" zoomScaleNormal="85" workbookViewId="0">
      <selection activeCell="I8" sqref="I8"/>
    </sheetView>
  </sheetViews>
  <sheetFormatPr baseColWidth="10" defaultColWidth="10.85546875" defaultRowHeight="18" customHeight="1" x14ac:dyDescent="0.25"/>
  <cols>
    <col min="1" max="1" width="10.85546875" style="1"/>
    <col min="2" max="2" width="17.28515625" style="1" customWidth="1"/>
    <col min="3" max="4" width="16.7109375" style="1" customWidth="1"/>
    <col min="5" max="5" width="16.28515625" style="1" customWidth="1"/>
    <col min="6" max="6" width="16.5703125" style="1" customWidth="1"/>
    <col min="7" max="7" width="18.7109375" style="1" customWidth="1"/>
    <col min="8" max="8" width="18.85546875" style="1" customWidth="1"/>
    <col min="9" max="9" width="30.28515625" style="1" customWidth="1"/>
    <col min="10" max="10" width="17.7109375" style="1" customWidth="1"/>
    <col min="11" max="11" width="15.28515625" style="1" customWidth="1"/>
    <col min="12" max="12" width="20.7109375" style="1" customWidth="1"/>
    <col min="13" max="13" width="2.7109375" style="1" customWidth="1"/>
    <col min="14" max="16384" width="10.85546875" style="1"/>
  </cols>
  <sheetData>
    <row r="1" spans="1:12" ht="18" customHeight="1" x14ac:dyDescent="0.25">
      <c r="B1" s="20" t="s">
        <v>22</v>
      </c>
      <c r="C1" s="20"/>
      <c r="D1" s="20"/>
      <c r="E1" s="20"/>
      <c r="F1" s="20"/>
      <c r="G1" s="20"/>
      <c r="H1" s="20"/>
      <c r="I1" s="20"/>
    </row>
    <row r="2" spans="1:12" ht="18" customHeight="1" x14ac:dyDescent="0.25">
      <c r="B2" s="20"/>
      <c r="C2" s="20"/>
      <c r="D2" s="20"/>
      <c r="E2" s="20"/>
      <c r="F2" s="20"/>
      <c r="G2" s="20"/>
      <c r="H2" s="20"/>
      <c r="I2" s="20"/>
    </row>
    <row r="3" spans="1:12" ht="18" customHeight="1" x14ac:dyDescent="0.25">
      <c r="B3" s="21" t="s">
        <v>23</v>
      </c>
      <c r="C3" s="21" t="s">
        <v>24</v>
      </c>
      <c r="D3" s="21" t="s">
        <v>25</v>
      </c>
      <c r="E3" s="21" t="s">
        <v>26</v>
      </c>
      <c r="F3" s="22"/>
      <c r="I3" s="25" t="s">
        <v>100</v>
      </c>
      <c r="J3" s="26" t="s">
        <v>31</v>
      </c>
      <c r="K3" s="26" t="s">
        <v>26</v>
      </c>
      <c r="L3" s="25" t="s">
        <v>32</v>
      </c>
    </row>
    <row r="4" spans="1:12" ht="18" customHeight="1" x14ac:dyDescent="0.25">
      <c r="A4" s="53">
        <v>43313</v>
      </c>
      <c r="B4" s="45">
        <f>B50</f>
        <v>19.78</v>
      </c>
      <c r="C4" s="168">
        <v>0.27343422584400501</v>
      </c>
      <c r="D4" s="168">
        <v>0.2555</v>
      </c>
      <c r="E4" s="168">
        <v>6.9862444703143206E-2</v>
      </c>
      <c r="F4" s="22"/>
      <c r="I4" s="116">
        <f>((1-(B4/B5))/8)*12</f>
        <v>0.1161380597014926</v>
      </c>
      <c r="J4" s="129">
        <f>D4*D17</f>
        <v>3902407.1273495001</v>
      </c>
      <c r="K4" s="38">
        <f>J4*(I4/D17)</f>
        <v>2.9673274253731362E-2</v>
      </c>
      <c r="L4" s="41">
        <f>J4*I4</f>
        <v>453217.99193564651</v>
      </c>
    </row>
    <row r="5" spans="1:12" ht="18" customHeight="1" x14ac:dyDescent="0.25">
      <c r="A5" s="53">
        <v>43525</v>
      </c>
      <c r="B5" s="45">
        <f>I50</f>
        <v>21.44</v>
      </c>
      <c r="C5" s="168"/>
      <c r="D5" s="168"/>
      <c r="E5" s="168"/>
      <c r="F5" s="22"/>
      <c r="J5" s="129"/>
      <c r="K5" s="22"/>
      <c r="L5" s="41"/>
    </row>
    <row r="6" spans="1:12" ht="18" customHeight="1" x14ac:dyDescent="0.25">
      <c r="A6" s="24"/>
      <c r="B6" s="22"/>
      <c r="C6" s="22"/>
      <c r="D6" s="22"/>
      <c r="E6" s="22"/>
      <c r="F6" s="22"/>
      <c r="J6" s="129"/>
      <c r="K6" s="22"/>
      <c r="L6" s="41"/>
    </row>
    <row r="7" spans="1:12" ht="18" customHeight="1" x14ac:dyDescent="0.25">
      <c r="A7" s="24"/>
      <c r="B7" s="21" t="s">
        <v>27</v>
      </c>
      <c r="C7" s="21" t="s">
        <v>24</v>
      </c>
      <c r="D7" s="21" t="s">
        <v>25</v>
      </c>
      <c r="E7" s="21" t="s">
        <v>26</v>
      </c>
      <c r="F7" s="21" t="s">
        <v>0</v>
      </c>
      <c r="J7" s="129"/>
      <c r="L7" s="41"/>
    </row>
    <row r="8" spans="1:12" ht="18" customHeight="1" x14ac:dyDescent="0.25">
      <c r="A8" s="53">
        <v>43313</v>
      </c>
      <c r="B8" s="54">
        <v>4.9000000000000004</v>
      </c>
      <c r="C8" s="168">
        <v>4.9216865774681207E-2</v>
      </c>
      <c r="D8" s="168">
        <v>0.74449999999999994</v>
      </c>
      <c r="E8" s="168">
        <v>3.6641956569250199E-2</v>
      </c>
      <c r="F8" s="169">
        <v>0.10650440127239338</v>
      </c>
      <c r="I8" s="116">
        <f>(3.76%/8)*12</f>
        <v>5.6399999999999992E-2</v>
      </c>
      <c r="J8" s="129">
        <f>D17*D8</f>
        <v>11371201.981650498</v>
      </c>
      <c r="K8" s="38">
        <f>J8*(I8/D17)</f>
        <v>4.1989799999999987E-2</v>
      </c>
      <c r="L8" s="42">
        <f>J8*I8</f>
        <v>641335.79176508798</v>
      </c>
    </row>
    <row r="9" spans="1:12" ht="18" customHeight="1" x14ac:dyDescent="0.25">
      <c r="A9" s="53">
        <v>43525</v>
      </c>
      <c r="B9" s="54">
        <v>4</v>
      </c>
      <c r="C9" s="168"/>
      <c r="D9" s="168"/>
      <c r="E9" s="168"/>
      <c r="F9" s="170"/>
      <c r="K9" s="39">
        <f>L9/D17</f>
        <v>7.1663074253731349E-2</v>
      </c>
      <c r="L9" s="41">
        <f>L4+L8</f>
        <v>1094553.7837007344</v>
      </c>
    </row>
    <row r="10" spans="1:12" ht="18" customHeight="1" thickBot="1" x14ac:dyDescent="0.3">
      <c r="J10" s="127" t="s">
        <v>30</v>
      </c>
      <c r="K10" s="127"/>
      <c r="L10" s="128">
        <f>L9/D17</f>
        <v>7.1663074253731349E-2</v>
      </c>
    </row>
    <row r="11" spans="1:12" s="8" customFormat="1" ht="18" customHeight="1" thickBot="1" x14ac:dyDescent="0.3">
      <c r="A11" s="7"/>
      <c r="B11" s="164" t="s">
        <v>4</v>
      </c>
      <c r="C11" s="164"/>
      <c r="D11" s="19" t="s">
        <v>7</v>
      </c>
      <c r="E11" s="14" t="s">
        <v>21</v>
      </c>
      <c r="F11" s="7"/>
      <c r="J11" s="40"/>
      <c r="K11" s="132" t="s">
        <v>96</v>
      </c>
      <c r="L11" s="133" t="s">
        <v>97</v>
      </c>
    </row>
    <row r="12" spans="1:12" s="8" customFormat="1" ht="18" customHeight="1" x14ac:dyDescent="0.25">
      <c r="A12" s="7"/>
      <c r="B12" s="167" t="s">
        <v>8</v>
      </c>
      <c r="C12" s="167"/>
      <c r="D12" s="11">
        <v>53427.5</v>
      </c>
      <c r="E12" s="12">
        <f>+D12+(D12*$F$8)</f>
        <v>59117.763898980797</v>
      </c>
      <c r="F12" s="7"/>
      <c r="I12" s="47" t="s">
        <v>8</v>
      </c>
      <c r="J12" s="47"/>
      <c r="K12" s="130">
        <v>53427.5</v>
      </c>
      <c r="L12" s="131">
        <f>+K12+(K12*L10)</f>
        <v>57256.278899691235</v>
      </c>
    </row>
    <row r="13" spans="1:12" s="8" customFormat="1" ht="18" customHeight="1" x14ac:dyDescent="0.25">
      <c r="A13" s="7"/>
      <c r="B13" s="167" t="s">
        <v>9</v>
      </c>
      <c r="C13" s="167"/>
      <c r="D13" s="11">
        <v>17607.473000000002</v>
      </c>
      <c r="E13" s="12">
        <f>+D13+(D13*$F$8)</f>
        <v>19482.746369784832</v>
      </c>
      <c r="F13" s="9"/>
      <c r="I13" s="47" t="s">
        <v>9</v>
      </c>
      <c r="J13" s="47"/>
      <c r="K13" s="11">
        <v>17607.473000000002</v>
      </c>
      <c r="L13" s="12">
        <f>+K13+(K13)*L10</f>
        <v>18869.278645019571</v>
      </c>
    </row>
    <row r="14" spans="1:12" s="8" customFormat="1" ht="18" customHeight="1" x14ac:dyDescent="0.25">
      <c r="A14" s="7"/>
      <c r="B14" s="167" t="s">
        <v>10</v>
      </c>
      <c r="C14" s="167"/>
      <c r="D14" s="13">
        <v>25</v>
      </c>
      <c r="E14" s="13">
        <f>+D14</f>
        <v>25</v>
      </c>
      <c r="F14" s="9"/>
      <c r="I14" s="47" t="s">
        <v>10</v>
      </c>
      <c r="J14" s="47"/>
      <c r="K14" s="13">
        <v>25</v>
      </c>
      <c r="L14" s="13">
        <f>+K14</f>
        <v>25</v>
      </c>
    </row>
    <row r="15" spans="1:12" s="8" customFormat="1" ht="18" customHeight="1" x14ac:dyDescent="0.25">
      <c r="A15" s="7"/>
      <c r="B15" s="167" t="s">
        <v>11</v>
      </c>
      <c r="C15" s="167"/>
      <c r="D15" s="13">
        <v>3</v>
      </c>
      <c r="E15" s="13">
        <f>+D15</f>
        <v>3</v>
      </c>
      <c r="F15" s="9"/>
      <c r="I15" s="47" t="s">
        <v>11</v>
      </c>
      <c r="J15" s="47"/>
      <c r="K15" s="13">
        <v>3</v>
      </c>
      <c r="L15" s="13">
        <f>+K15</f>
        <v>3</v>
      </c>
    </row>
    <row r="16" spans="1:12" s="8" customFormat="1" ht="18" customHeight="1" x14ac:dyDescent="0.25">
      <c r="A16" s="7"/>
      <c r="B16" s="167" t="s">
        <v>5</v>
      </c>
      <c r="C16" s="167"/>
      <c r="D16" s="11">
        <v>1388509.919</v>
      </c>
      <c r="E16" s="11">
        <f>+(E12*E14)+(E13*E15)</f>
        <v>1536392.3365838744</v>
      </c>
      <c r="F16" s="7"/>
      <c r="I16" s="47" t="s">
        <v>5</v>
      </c>
      <c r="J16" s="47"/>
      <c r="K16" s="11">
        <v>1388509.919</v>
      </c>
      <c r="L16" s="11">
        <f>+(L12*L14)+(L13*L15)</f>
        <v>1488014.8084273397</v>
      </c>
    </row>
    <row r="17" spans="1:12" s="8" customFormat="1" ht="18" customHeight="1" x14ac:dyDescent="0.25">
      <c r="A17" s="7"/>
      <c r="B17" s="167" t="s">
        <v>12</v>
      </c>
      <c r="C17" s="167"/>
      <c r="D17" s="15">
        <v>15273609.108999999</v>
      </c>
      <c r="E17" s="16">
        <f>+E16*11</f>
        <v>16900315.702422619</v>
      </c>
      <c r="F17" s="27"/>
      <c r="I17" s="28" t="s">
        <v>33</v>
      </c>
      <c r="J17" s="29"/>
      <c r="K17" s="29"/>
      <c r="L17" s="30">
        <f>L9+D17</f>
        <v>16368162.892700734</v>
      </c>
    </row>
    <row r="18" spans="1:12" s="8" customFormat="1" ht="18" customHeight="1" x14ac:dyDescent="0.25">
      <c r="A18" s="7"/>
      <c r="B18" s="165" t="s">
        <v>19</v>
      </c>
      <c r="C18" s="165"/>
      <c r="D18" s="7"/>
      <c r="E18" s="7"/>
      <c r="F18" s="7"/>
      <c r="K18" s="125"/>
      <c r="L18" s="125">
        <f>L17*1.16</f>
        <v>18987068.955532849</v>
      </c>
    </row>
    <row r="19" spans="1:12" s="8" customFormat="1" ht="18" customHeight="1" x14ac:dyDescent="0.25">
      <c r="A19" s="7"/>
      <c r="B19" s="7"/>
      <c r="C19" s="7"/>
      <c r="D19" s="7"/>
      <c r="E19" s="7"/>
      <c r="F19" s="7"/>
    </row>
    <row r="20" spans="1:12" s="8" customFormat="1" ht="18" customHeight="1" x14ac:dyDescent="0.25">
      <c r="A20" s="7"/>
      <c r="B20" s="7"/>
      <c r="C20" s="17" t="s">
        <v>20</v>
      </c>
      <c r="D20" s="166" t="s">
        <v>13</v>
      </c>
      <c r="E20" s="166"/>
      <c r="F20" s="7"/>
      <c r="G20" s="7"/>
      <c r="H20" s="7"/>
      <c r="I20" s="7"/>
    </row>
    <row r="21" spans="1:12" s="8" customFormat="1" ht="18" customHeight="1" x14ac:dyDescent="0.25">
      <c r="A21" s="7"/>
      <c r="B21" s="164" t="s">
        <v>4</v>
      </c>
      <c r="C21" s="164"/>
      <c r="D21" s="14" t="s">
        <v>6</v>
      </c>
      <c r="E21" s="14" t="s">
        <v>0</v>
      </c>
      <c r="F21" s="19" t="s">
        <v>21</v>
      </c>
      <c r="G21" s="14" t="s">
        <v>28</v>
      </c>
      <c r="H21" s="7"/>
      <c r="K21" s="7"/>
    </row>
    <row r="22" spans="1:12" s="8" customFormat="1" ht="18" customHeight="1" x14ac:dyDescent="0.25">
      <c r="A22" s="7"/>
      <c r="B22" s="167" t="s">
        <v>14</v>
      </c>
      <c r="C22" s="167"/>
      <c r="D22" s="11">
        <v>80625</v>
      </c>
      <c r="E22" s="11">
        <f>+D22*F8</f>
        <v>8586.9173525867172</v>
      </c>
      <c r="F22" s="11">
        <f>+D22+E22</f>
        <v>89211.917352586723</v>
      </c>
      <c r="G22" s="11">
        <f>+F22*11</f>
        <v>981331.09087845392</v>
      </c>
      <c r="H22" s="7"/>
      <c r="K22" s="35" t="s">
        <v>98</v>
      </c>
      <c r="L22" s="31">
        <f>(D22*1.04)*11</f>
        <v>922350</v>
      </c>
    </row>
    <row r="23" spans="1:12" s="8" customFormat="1" ht="18" customHeight="1" x14ac:dyDescent="0.25">
      <c r="A23" s="7"/>
      <c r="B23" s="167" t="s">
        <v>15</v>
      </c>
      <c r="C23" s="167"/>
      <c r="D23" s="11">
        <v>40408.199999999997</v>
      </c>
      <c r="E23" s="11">
        <f>+D23*F8</f>
        <v>4303.6511474951258</v>
      </c>
      <c r="F23" s="11">
        <f>+D23+E23</f>
        <v>44711.851147495123</v>
      </c>
      <c r="G23" s="11">
        <f>+F23*11</f>
        <v>491830.36262244638</v>
      </c>
      <c r="H23" s="7"/>
      <c r="K23" s="35" t="s">
        <v>99</v>
      </c>
      <c r="L23" s="31">
        <f>(D23*1.04)*11</f>
        <v>462269.80799999996</v>
      </c>
    </row>
    <row r="24" spans="1:12" s="8" customFormat="1" ht="18" customHeight="1" x14ac:dyDescent="0.25">
      <c r="A24" s="7"/>
      <c r="B24" s="165" t="s">
        <v>19</v>
      </c>
      <c r="C24" s="165"/>
      <c r="D24" s="165"/>
      <c r="E24" s="7"/>
      <c r="F24" s="7"/>
      <c r="G24" s="9"/>
      <c r="H24" s="7"/>
      <c r="K24" s="35" t="s">
        <v>95</v>
      </c>
      <c r="L24" s="125">
        <f>F39</f>
        <v>691926.88591871306</v>
      </c>
    </row>
    <row r="25" spans="1:12" s="8" customFormat="1" ht="18" customHeight="1" x14ac:dyDescent="0.25">
      <c r="A25" s="7"/>
      <c r="B25" s="7"/>
      <c r="C25" s="7"/>
      <c r="D25" s="7"/>
      <c r="E25" s="7"/>
      <c r="F25" s="7"/>
      <c r="G25" s="7"/>
      <c r="H25" s="7"/>
      <c r="K25" s="35" t="s">
        <v>35</v>
      </c>
      <c r="L25" s="30">
        <f>L17-L22-L23-L24</f>
        <v>14291616.198782021</v>
      </c>
    </row>
    <row r="26" spans="1:12" s="8" customFormat="1" ht="18" customHeight="1" x14ac:dyDescent="0.25">
      <c r="A26" s="7"/>
      <c r="B26" s="122"/>
      <c r="C26" s="121" t="s">
        <v>88</v>
      </c>
      <c r="D26" s="122"/>
      <c r="E26" s="119">
        <v>7.7499999999999999E-2</v>
      </c>
      <c r="F26" s="119">
        <f>E26/11</f>
        <v>7.0454545454545457E-3</v>
      </c>
      <c r="G26" s="7"/>
      <c r="H26" s="7"/>
      <c r="K26" s="35"/>
      <c r="L26" s="117"/>
    </row>
    <row r="27" spans="1:12" s="8" customFormat="1" ht="18" customHeight="1" x14ac:dyDescent="0.25">
      <c r="A27" s="7"/>
      <c r="B27" s="118" t="s">
        <v>89</v>
      </c>
      <c r="C27" s="118" t="s">
        <v>90</v>
      </c>
      <c r="D27" s="118" t="s">
        <v>50</v>
      </c>
      <c r="E27" s="118" t="s">
        <v>91</v>
      </c>
      <c r="F27" s="118" t="s">
        <v>92</v>
      </c>
      <c r="G27" s="7"/>
      <c r="H27" s="7"/>
      <c r="K27" s="36" t="s">
        <v>34</v>
      </c>
      <c r="L27" s="23">
        <f>L25*0.16</f>
        <v>2286658.5918051233</v>
      </c>
    </row>
    <row r="28" spans="1:12" s="8" customFormat="1" ht="18" customHeight="1" x14ac:dyDescent="0.25">
      <c r="A28" s="7"/>
      <c r="B28" s="123">
        <v>1</v>
      </c>
      <c r="C28" s="123" t="s">
        <v>68</v>
      </c>
      <c r="D28" s="120">
        <f>L16</f>
        <v>1488014.8084273397</v>
      </c>
      <c r="E28" s="124">
        <f>$F$26*B28</f>
        <v>7.0454545454545457E-3</v>
      </c>
      <c r="F28" s="120">
        <f>+D28*E28</f>
        <v>10483.740695738075</v>
      </c>
      <c r="G28" s="7"/>
      <c r="H28" s="7"/>
      <c r="K28" s="24" t="s">
        <v>1</v>
      </c>
      <c r="L28" s="37">
        <f>L25+L27</f>
        <v>16578274.790587144</v>
      </c>
    </row>
    <row r="29" spans="1:12" s="8" customFormat="1" ht="18" customHeight="1" x14ac:dyDescent="0.25">
      <c r="A29" s="7"/>
      <c r="B29" s="123">
        <f>B28+1</f>
        <v>2</v>
      </c>
      <c r="C29" s="123" t="s">
        <v>69</v>
      </c>
      <c r="D29" s="120">
        <f>D28</f>
        <v>1488014.8084273397</v>
      </c>
      <c r="E29" s="124">
        <f>$F$26*B29</f>
        <v>1.4090909090909091E-2</v>
      </c>
      <c r="F29" s="120">
        <f>+D29*E29</f>
        <v>20967.481391476151</v>
      </c>
      <c r="G29" s="7"/>
      <c r="H29" s="7"/>
    </row>
    <row r="30" spans="1:12" s="8" customFormat="1" ht="18" customHeight="1" x14ac:dyDescent="0.25">
      <c r="A30" s="7"/>
      <c r="B30" s="123">
        <f t="shared" ref="B30:B38" si="0">B29+1</f>
        <v>3</v>
      </c>
      <c r="C30" s="123" t="s">
        <v>70</v>
      </c>
      <c r="D30" s="120">
        <f t="shared" ref="D30:D38" si="1">D29</f>
        <v>1488014.8084273397</v>
      </c>
      <c r="E30" s="124">
        <f t="shared" ref="E30:E38" si="2">$F$26*B30</f>
        <v>2.1136363636363637E-2</v>
      </c>
      <c r="F30" s="120">
        <f t="shared" ref="F30:F38" si="3">+D30*E30</f>
        <v>31451.222087214224</v>
      </c>
      <c r="G30" s="7"/>
      <c r="H30" s="7"/>
      <c r="K30" s="1"/>
      <c r="L30" s="23"/>
    </row>
    <row r="31" spans="1:12" s="8" customFormat="1" ht="18" customHeight="1" x14ac:dyDescent="0.25">
      <c r="A31" s="7"/>
      <c r="B31" s="123">
        <f t="shared" si="0"/>
        <v>4</v>
      </c>
      <c r="C31" s="123" t="s">
        <v>93</v>
      </c>
      <c r="D31" s="120">
        <f t="shared" si="1"/>
        <v>1488014.8084273397</v>
      </c>
      <c r="E31" s="124">
        <f t="shared" si="2"/>
        <v>2.8181818181818183E-2</v>
      </c>
      <c r="F31" s="120">
        <f t="shared" si="3"/>
        <v>41934.962782952301</v>
      </c>
      <c r="G31" s="7"/>
      <c r="H31" s="7"/>
      <c r="K31" s="2"/>
      <c r="L31" s="23"/>
    </row>
    <row r="32" spans="1:12" s="8" customFormat="1" ht="18" customHeight="1" x14ac:dyDescent="0.25">
      <c r="A32" s="7"/>
      <c r="B32" s="123">
        <f t="shared" si="0"/>
        <v>5</v>
      </c>
      <c r="C32" s="123" t="s">
        <v>72</v>
      </c>
      <c r="D32" s="120">
        <f t="shared" si="1"/>
        <v>1488014.8084273397</v>
      </c>
      <c r="E32" s="124">
        <f t="shared" si="2"/>
        <v>3.5227272727272732E-2</v>
      </c>
      <c r="F32" s="120">
        <f t="shared" si="3"/>
        <v>52418.703478690382</v>
      </c>
      <c r="G32" s="7"/>
      <c r="H32" s="7"/>
      <c r="J32" s="8" t="s">
        <v>101</v>
      </c>
      <c r="K32" s="115" t="s">
        <v>86</v>
      </c>
      <c r="L32" s="134">
        <f>(L28/1150)/10</f>
        <v>1441.5891122249691</v>
      </c>
    </row>
    <row r="33" spans="1:12" s="8" customFormat="1" ht="18" customHeight="1" x14ac:dyDescent="0.25">
      <c r="A33" s="7"/>
      <c r="B33" s="123">
        <f t="shared" si="0"/>
        <v>6</v>
      </c>
      <c r="C33" s="123" t="s">
        <v>73</v>
      </c>
      <c r="D33" s="120">
        <f t="shared" si="1"/>
        <v>1488014.8084273397</v>
      </c>
      <c r="E33" s="124">
        <f t="shared" si="2"/>
        <v>4.2272727272727274E-2</v>
      </c>
      <c r="F33" s="120">
        <f t="shared" si="3"/>
        <v>62902.444174428449</v>
      </c>
      <c r="G33" s="7"/>
      <c r="H33" s="7"/>
      <c r="I33" s="35"/>
      <c r="J33" s="117"/>
    </row>
    <row r="34" spans="1:12" s="8" customFormat="1" ht="18" customHeight="1" x14ac:dyDescent="0.25">
      <c r="A34" s="7"/>
      <c r="B34" s="123">
        <f t="shared" si="0"/>
        <v>7</v>
      </c>
      <c r="C34" s="123" t="s">
        <v>74</v>
      </c>
      <c r="D34" s="120">
        <f t="shared" si="1"/>
        <v>1488014.8084273397</v>
      </c>
      <c r="E34" s="124">
        <f t="shared" si="2"/>
        <v>4.9318181818181817E-2</v>
      </c>
      <c r="F34" s="120">
        <f t="shared" si="3"/>
        <v>73386.184870166515</v>
      </c>
      <c r="G34" s="7"/>
      <c r="H34" s="7"/>
      <c r="I34" s="35"/>
      <c r="J34" s="117" t="s">
        <v>102</v>
      </c>
      <c r="K34" s="115" t="s">
        <v>86</v>
      </c>
      <c r="L34" s="134">
        <f>(L18/1150)/10</f>
        <v>1651.0494743941606</v>
      </c>
    </row>
    <row r="35" spans="1:12" s="8" customFormat="1" ht="18" customHeight="1" x14ac:dyDescent="0.25">
      <c r="A35" s="7"/>
      <c r="B35" s="123">
        <f t="shared" si="0"/>
        <v>8</v>
      </c>
      <c r="C35" s="123" t="s">
        <v>46</v>
      </c>
      <c r="D35" s="120">
        <f t="shared" si="1"/>
        <v>1488014.8084273397</v>
      </c>
      <c r="E35" s="124">
        <f t="shared" si="2"/>
        <v>5.6363636363636366E-2</v>
      </c>
      <c r="F35" s="120">
        <f t="shared" si="3"/>
        <v>83869.925565904603</v>
      </c>
      <c r="G35" s="7"/>
      <c r="H35" s="7"/>
      <c r="I35" s="35"/>
      <c r="J35" s="117"/>
    </row>
    <row r="36" spans="1:12" s="8" customFormat="1" ht="18" customHeight="1" x14ac:dyDescent="0.25">
      <c r="A36" s="7"/>
      <c r="B36" s="123">
        <f t="shared" si="0"/>
        <v>9</v>
      </c>
      <c r="C36" s="123" t="s">
        <v>75</v>
      </c>
      <c r="D36" s="120">
        <f t="shared" si="1"/>
        <v>1488014.8084273397</v>
      </c>
      <c r="E36" s="124">
        <f t="shared" si="2"/>
        <v>6.3409090909090915E-2</v>
      </c>
      <c r="F36" s="120">
        <f t="shared" si="3"/>
        <v>94353.666261642677</v>
      </c>
      <c r="G36" s="7"/>
      <c r="H36" s="7"/>
      <c r="I36" s="35"/>
      <c r="J36" s="8" t="s">
        <v>104</v>
      </c>
    </row>
    <row r="37" spans="1:12" s="8" customFormat="1" ht="18" customHeight="1" x14ac:dyDescent="0.25">
      <c r="A37" s="7"/>
      <c r="B37" s="123">
        <f t="shared" si="0"/>
        <v>10</v>
      </c>
      <c r="C37" s="123" t="s">
        <v>76</v>
      </c>
      <c r="D37" s="120">
        <f t="shared" si="1"/>
        <v>1488014.8084273397</v>
      </c>
      <c r="E37" s="124">
        <f t="shared" si="2"/>
        <v>7.0454545454545464E-2</v>
      </c>
      <c r="F37" s="120">
        <f t="shared" si="3"/>
        <v>104837.40695738076</v>
      </c>
      <c r="G37" s="7"/>
      <c r="H37" s="7"/>
      <c r="I37" s="35"/>
      <c r="J37" s="135" t="s">
        <v>105</v>
      </c>
    </row>
    <row r="38" spans="1:12" s="8" customFormat="1" ht="18" customHeight="1" x14ac:dyDescent="0.25">
      <c r="A38" s="7"/>
      <c r="B38" s="123">
        <f t="shared" si="0"/>
        <v>11</v>
      </c>
      <c r="C38" s="123" t="s">
        <v>77</v>
      </c>
      <c r="D38" s="120">
        <f t="shared" si="1"/>
        <v>1488014.8084273397</v>
      </c>
      <c r="E38" s="124">
        <f t="shared" si="2"/>
        <v>7.7499999999999999E-2</v>
      </c>
      <c r="F38" s="120">
        <f t="shared" si="3"/>
        <v>115321.14765311882</v>
      </c>
      <c r="G38" s="7"/>
      <c r="H38" s="7"/>
      <c r="I38" s="35"/>
      <c r="J38" s="117"/>
    </row>
    <row r="39" spans="1:12" s="8" customFormat="1" ht="18" customHeight="1" x14ac:dyDescent="0.25">
      <c r="A39" s="7"/>
      <c r="B39" s="1"/>
      <c r="C39" s="1"/>
      <c r="D39" s="1"/>
      <c r="E39" s="118" t="s">
        <v>1</v>
      </c>
      <c r="F39" s="126">
        <f>SUM(F28:F38)</f>
        <v>691926.88591871306</v>
      </c>
      <c r="G39" s="7"/>
      <c r="H39" s="7"/>
      <c r="I39" s="35"/>
      <c r="J39" s="117" t="s">
        <v>103</v>
      </c>
      <c r="K39" s="115" t="s">
        <v>86</v>
      </c>
      <c r="L39" s="134">
        <f>(((L17-L23)*1.16)/1150)/10</f>
        <v>1604.420519848074</v>
      </c>
    </row>
    <row r="40" spans="1:12" s="8" customFormat="1" ht="18" customHeight="1" x14ac:dyDescent="0.25">
      <c r="A40" s="7"/>
      <c r="B40" s="7"/>
      <c r="C40" s="7"/>
      <c r="D40" s="7"/>
      <c r="E40" s="7"/>
      <c r="F40" s="7"/>
      <c r="G40" s="7"/>
      <c r="H40" s="7"/>
      <c r="I40" s="35"/>
      <c r="J40" s="117"/>
    </row>
    <row r="41" spans="1:12" s="8" customFormat="1" ht="18" customHeight="1" x14ac:dyDescent="0.25">
      <c r="A41" s="7"/>
      <c r="B41" s="7"/>
      <c r="C41" s="7"/>
      <c r="D41" s="7"/>
      <c r="E41" s="7"/>
      <c r="F41" s="7"/>
      <c r="G41" s="7"/>
      <c r="H41" s="7"/>
      <c r="I41" s="35"/>
      <c r="J41" s="117" t="s">
        <v>108</v>
      </c>
    </row>
    <row r="42" spans="1:12" s="8" customFormat="1" ht="45" x14ac:dyDescent="0.25">
      <c r="A42" s="7"/>
      <c r="B42" s="14" t="s">
        <v>16</v>
      </c>
      <c r="C42" s="14" t="s">
        <v>2</v>
      </c>
      <c r="D42" s="14" t="s">
        <v>3</v>
      </c>
      <c r="E42" s="14" t="s">
        <v>29</v>
      </c>
      <c r="F42" s="46" t="s">
        <v>94</v>
      </c>
      <c r="G42" s="14" t="s">
        <v>1</v>
      </c>
      <c r="H42" s="14" t="s">
        <v>17</v>
      </c>
      <c r="J42" s="152" t="s">
        <v>109</v>
      </c>
    </row>
    <row r="43" spans="1:12" s="8" customFormat="1" ht="18" customHeight="1" x14ac:dyDescent="0.25">
      <c r="A43" s="7"/>
      <c r="B43" s="18" t="s">
        <v>18</v>
      </c>
      <c r="C43" s="12">
        <f>L17</f>
        <v>16368162.892700734</v>
      </c>
      <c r="D43" s="12">
        <f>+G22</f>
        <v>981331.09087845392</v>
      </c>
      <c r="E43" s="12">
        <f>+G23</f>
        <v>491830.36262244638</v>
      </c>
      <c r="F43" s="12">
        <f>F39</f>
        <v>691926.88591871306</v>
      </c>
      <c r="G43" s="32">
        <f>+C43-D43-E43-F43</f>
        <v>14203074.553281123</v>
      </c>
      <c r="H43" s="32">
        <f>+G43*1.16</f>
        <v>16475566.481806101</v>
      </c>
    </row>
    <row r="44" spans="1:12" s="8" customFormat="1" ht="18" customHeight="1" x14ac:dyDescent="0.25">
      <c r="A44" s="7"/>
      <c r="B44" s="7"/>
      <c r="C44" s="7"/>
      <c r="D44" s="7"/>
      <c r="E44" s="10"/>
      <c r="F44" s="7"/>
      <c r="G44" s="7"/>
      <c r="H44" s="7"/>
      <c r="K44" s="1"/>
    </row>
    <row r="45" spans="1:12" ht="18" customHeight="1" x14ac:dyDescent="0.25">
      <c r="A45" s="2"/>
      <c r="B45" s="2"/>
      <c r="C45" s="2"/>
      <c r="D45" s="2"/>
      <c r="E45" s="3"/>
      <c r="F45" s="4">
        <f>G43/1167</f>
        <v>12170.586592357431</v>
      </c>
      <c r="G45" s="5"/>
      <c r="H45" s="6"/>
    </row>
    <row r="46" spans="1:12" ht="18" customHeight="1" x14ac:dyDescent="0.25">
      <c r="A46" s="2"/>
      <c r="B46" s="2"/>
      <c r="C46" s="2"/>
      <c r="D46" s="2"/>
      <c r="E46" s="2"/>
      <c r="F46" s="33">
        <f>F45/10</f>
        <v>1217.0586592357431</v>
      </c>
      <c r="G46" s="33">
        <f>F46*1.16</f>
        <v>1411.7880447134619</v>
      </c>
      <c r="H46" s="2"/>
    </row>
    <row r="47" spans="1:12" ht="18" customHeight="1" x14ac:dyDescent="0.25">
      <c r="A47" s="2"/>
      <c r="B47" s="2"/>
      <c r="C47" s="2"/>
      <c r="D47" s="2"/>
      <c r="E47" s="2"/>
      <c r="F47" s="2"/>
      <c r="G47" s="2"/>
      <c r="H47" s="2"/>
    </row>
    <row r="48" spans="1:12" ht="18" customHeight="1" thickBot="1" x14ac:dyDescent="0.3">
      <c r="B48" s="1" t="s">
        <v>45</v>
      </c>
      <c r="G48" s="34"/>
    </row>
    <row r="49" spans="1:11" ht="18" customHeight="1" x14ac:dyDescent="0.25">
      <c r="B49" s="48" t="s">
        <v>37</v>
      </c>
      <c r="C49" s="48" t="s">
        <v>38</v>
      </c>
      <c r="D49" s="48" t="s">
        <v>39</v>
      </c>
      <c r="E49" s="48" t="s">
        <v>40</v>
      </c>
      <c r="F49" s="48" t="s">
        <v>41</v>
      </c>
      <c r="G49" s="48" t="s">
        <v>42</v>
      </c>
      <c r="H49" s="48" t="s">
        <v>43</v>
      </c>
      <c r="I49" s="48" t="s">
        <v>44</v>
      </c>
      <c r="J49" s="25" t="s">
        <v>57</v>
      </c>
    </row>
    <row r="50" spans="1:11" ht="18" customHeight="1" x14ac:dyDescent="0.25">
      <c r="A50" s="1" t="s">
        <v>87</v>
      </c>
      <c r="B50" s="49">
        <v>19.78</v>
      </c>
      <c r="C50" s="49">
        <v>20.05</v>
      </c>
      <c r="D50" s="49">
        <v>20.260000000000002</v>
      </c>
      <c r="E50" s="49">
        <v>20.399999999999999</v>
      </c>
      <c r="F50" s="49">
        <v>20.350000000000001</v>
      </c>
      <c r="G50" s="50">
        <v>20.32</v>
      </c>
      <c r="H50" s="50">
        <v>21.12</v>
      </c>
      <c r="I50" s="51">
        <v>21.44</v>
      </c>
      <c r="J50" s="52">
        <f>1-(B50/I50)</f>
        <v>7.7425373134328401E-2</v>
      </c>
    </row>
    <row r="55" spans="1:11" ht="18" customHeight="1" x14ac:dyDescent="0.25">
      <c r="F55" s="171"/>
      <c r="G55" s="171"/>
      <c r="H55" s="171"/>
      <c r="I55" s="171"/>
      <c r="J55" s="55"/>
      <c r="K55" s="55"/>
    </row>
    <row r="56" spans="1:11" ht="18" customHeight="1" x14ac:dyDescent="0.25">
      <c r="F56" s="172" t="s">
        <v>47</v>
      </c>
      <c r="G56" s="172"/>
      <c r="H56" s="172"/>
      <c r="I56" s="172"/>
      <c r="J56" s="55"/>
      <c r="K56" s="55"/>
    </row>
    <row r="57" spans="1:11" ht="18" customHeight="1" x14ac:dyDescent="0.25">
      <c r="F57" s="173" t="s">
        <v>48</v>
      </c>
      <c r="G57" s="173"/>
      <c r="H57" s="173"/>
      <c r="I57" s="173"/>
      <c r="J57" s="55"/>
      <c r="K57" s="55"/>
    </row>
    <row r="58" spans="1:11" ht="18" customHeight="1" x14ac:dyDescent="0.25">
      <c r="F58" s="57"/>
      <c r="G58" s="173"/>
      <c r="H58" s="173"/>
      <c r="I58" s="173"/>
      <c r="J58" s="55"/>
      <c r="K58" s="55"/>
    </row>
    <row r="59" spans="1:11" ht="18" customHeight="1" x14ac:dyDescent="0.25">
      <c r="F59" s="174" t="s">
        <v>49</v>
      </c>
      <c r="G59" s="175" t="s">
        <v>50</v>
      </c>
      <c r="H59" s="58" t="s">
        <v>51</v>
      </c>
      <c r="I59" s="175" t="s">
        <v>53</v>
      </c>
      <c r="J59" s="55"/>
      <c r="K59" s="55"/>
    </row>
    <row r="60" spans="1:11" ht="18" customHeight="1" x14ac:dyDescent="0.25">
      <c r="F60" s="174"/>
      <c r="G60" s="175"/>
      <c r="H60" s="58" t="s">
        <v>52</v>
      </c>
      <c r="I60" s="175"/>
      <c r="J60" s="55"/>
      <c r="K60" s="55"/>
    </row>
    <row r="61" spans="1:11" ht="18" customHeight="1" x14ac:dyDescent="0.25">
      <c r="F61" s="59" t="s">
        <v>54</v>
      </c>
      <c r="G61" s="60">
        <v>0.39</v>
      </c>
      <c r="H61" s="60">
        <v>0.44</v>
      </c>
      <c r="I61" s="63">
        <v>4</v>
      </c>
      <c r="J61" s="55"/>
      <c r="K61" s="55"/>
    </row>
    <row r="62" spans="1:11" ht="18" customHeight="1" x14ac:dyDescent="0.25">
      <c r="F62" s="61" t="s">
        <v>55</v>
      </c>
      <c r="G62" s="62">
        <v>0.34</v>
      </c>
      <c r="H62" s="62">
        <v>0.98</v>
      </c>
      <c r="I62" s="62">
        <v>3.55</v>
      </c>
      <c r="J62" s="55"/>
      <c r="K62" s="55"/>
    </row>
    <row r="63" spans="1:11" ht="18" customHeight="1" x14ac:dyDescent="0.25">
      <c r="F63" s="59" t="s">
        <v>56</v>
      </c>
      <c r="G63" s="60">
        <v>0.51</v>
      </c>
      <c r="H63" s="60">
        <v>-1.1200000000000001</v>
      </c>
      <c r="I63" s="60">
        <v>5.47</v>
      </c>
      <c r="J63" s="55"/>
      <c r="K63" s="55"/>
    </row>
    <row r="64" spans="1:11" ht="18" customHeight="1" x14ac:dyDescent="0.25">
      <c r="F64" s="171"/>
      <c r="G64" s="171"/>
      <c r="H64" s="171"/>
      <c r="I64" s="171"/>
      <c r="J64" s="55"/>
      <c r="K64" s="55"/>
    </row>
    <row r="65" spans="6:11" ht="18" customHeight="1" x14ac:dyDescent="0.25">
      <c r="F65" s="171"/>
      <c r="G65" s="171"/>
      <c r="H65" s="171"/>
      <c r="I65" s="171"/>
      <c r="J65" s="56"/>
      <c r="K65" s="56"/>
    </row>
    <row r="66" spans="6:11" ht="18" customHeight="1" x14ac:dyDescent="0.25">
      <c r="F66" s="171"/>
      <c r="G66" s="171"/>
      <c r="H66" s="171"/>
      <c r="I66" s="171"/>
      <c r="J66" s="56"/>
      <c r="K66" s="56"/>
    </row>
    <row r="67" spans="6:11" ht="18" customHeight="1" x14ac:dyDescent="0.25">
      <c r="F67" s="171"/>
      <c r="G67" s="171"/>
      <c r="H67" s="171"/>
      <c r="I67" s="171"/>
      <c r="J67" s="56"/>
      <c r="K67" s="56"/>
    </row>
    <row r="68" spans="6:11" ht="18" customHeight="1" x14ac:dyDescent="0.25">
      <c r="F68" s="172" t="s">
        <v>47</v>
      </c>
      <c r="G68" s="172"/>
      <c r="H68" s="172"/>
      <c r="I68" s="172"/>
    </row>
    <row r="69" spans="6:11" ht="18" customHeight="1" x14ac:dyDescent="0.25">
      <c r="F69" s="173" t="s">
        <v>48</v>
      </c>
      <c r="G69" s="173"/>
      <c r="H69" s="173"/>
      <c r="I69" s="173"/>
    </row>
    <row r="70" spans="6:11" ht="18" customHeight="1" x14ac:dyDescent="0.25">
      <c r="F70" s="57"/>
      <c r="G70" s="173"/>
      <c r="H70" s="173"/>
      <c r="I70" s="173"/>
    </row>
    <row r="71" spans="6:11" ht="18" customHeight="1" x14ac:dyDescent="0.25">
      <c r="F71" s="174" t="s">
        <v>49</v>
      </c>
      <c r="G71" s="175" t="s">
        <v>50</v>
      </c>
      <c r="H71" s="58" t="s">
        <v>51</v>
      </c>
      <c r="I71" s="175" t="s">
        <v>53</v>
      </c>
    </row>
    <row r="72" spans="6:11" ht="18" customHeight="1" x14ac:dyDescent="0.25">
      <c r="F72" s="174"/>
      <c r="G72" s="175"/>
      <c r="H72" s="58" t="s">
        <v>52</v>
      </c>
      <c r="I72" s="175"/>
    </row>
    <row r="73" spans="6:11" ht="18" customHeight="1" x14ac:dyDescent="0.25">
      <c r="F73" s="59" t="s">
        <v>54</v>
      </c>
      <c r="G73" s="60">
        <v>0.57999999999999996</v>
      </c>
      <c r="H73" s="60">
        <v>2.2599999999999998</v>
      </c>
      <c r="I73" s="63">
        <v>4.9000000000000004</v>
      </c>
    </row>
    <row r="74" spans="6:11" ht="18" customHeight="1" x14ac:dyDescent="0.25">
      <c r="F74" s="61" t="s">
        <v>55</v>
      </c>
      <c r="G74" s="62">
        <v>0.25</v>
      </c>
      <c r="H74" s="62">
        <v>2.29</v>
      </c>
      <c r="I74" s="62">
        <v>3.63</v>
      </c>
    </row>
    <row r="75" spans="6:11" ht="18" customHeight="1" x14ac:dyDescent="0.25">
      <c r="F75" s="59" t="s">
        <v>56</v>
      </c>
      <c r="G75" s="60">
        <v>1.61</v>
      </c>
      <c r="H75" s="60">
        <v>2.21</v>
      </c>
      <c r="I75" s="60">
        <v>8.8000000000000007</v>
      </c>
    </row>
    <row r="76" spans="6:11" ht="18" customHeight="1" x14ac:dyDescent="0.25">
      <c r="F76" s="171"/>
      <c r="G76" s="171"/>
      <c r="H76" s="171"/>
      <c r="I76" s="171"/>
    </row>
    <row r="77" spans="6:11" ht="18" customHeight="1" x14ac:dyDescent="0.25">
      <c r="F77" s="171"/>
      <c r="G77" s="171"/>
      <c r="H77" s="171"/>
      <c r="I77" s="171"/>
    </row>
    <row r="78" spans="6:11" ht="18" customHeight="1" x14ac:dyDescent="0.25">
      <c r="F78" s="171"/>
      <c r="G78" s="171"/>
      <c r="H78" s="171"/>
      <c r="I78" s="171"/>
    </row>
    <row r="79" spans="6:11" ht="18" customHeight="1" x14ac:dyDescent="0.25">
      <c r="F79" s="171"/>
      <c r="G79" s="171"/>
      <c r="H79" s="171"/>
      <c r="I79" s="171"/>
    </row>
  </sheetData>
  <mergeCells count="41">
    <mergeCell ref="F76:I76"/>
    <mergeCell ref="F77:I77"/>
    <mergeCell ref="F78:I78"/>
    <mergeCell ref="F79:I79"/>
    <mergeCell ref="F68:I68"/>
    <mergeCell ref="F69:I69"/>
    <mergeCell ref="G70:I70"/>
    <mergeCell ref="F71:F72"/>
    <mergeCell ref="G71:G72"/>
    <mergeCell ref="I71:I72"/>
    <mergeCell ref="F55:I55"/>
    <mergeCell ref="F64:I64"/>
    <mergeCell ref="F65:I65"/>
    <mergeCell ref="F66:I66"/>
    <mergeCell ref="F67:I67"/>
    <mergeCell ref="F56:I56"/>
    <mergeCell ref="F57:I57"/>
    <mergeCell ref="G58:I58"/>
    <mergeCell ref="F59:F60"/>
    <mergeCell ref="G59:G60"/>
    <mergeCell ref="I59:I60"/>
    <mergeCell ref="C8:C9"/>
    <mergeCell ref="D8:D9"/>
    <mergeCell ref="E8:E9"/>
    <mergeCell ref="F8:F9"/>
    <mergeCell ref="C4:C5"/>
    <mergeCell ref="D4:D5"/>
    <mergeCell ref="E4:E5"/>
    <mergeCell ref="B11:C11"/>
    <mergeCell ref="B18:C18"/>
    <mergeCell ref="B24:D24"/>
    <mergeCell ref="D20:E20"/>
    <mergeCell ref="B21:C21"/>
    <mergeCell ref="B22:C22"/>
    <mergeCell ref="B23:C23"/>
    <mergeCell ref="B14:C14"/>
    <mergeCell ref="B16:C16"/>
    <mergeCell ref="B17:C17"/>
    <mergeCell ref="B12:C12"/>
    <mergeCell ref="B13:C13"/>
    <mergeCell ref="B15:C15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6</xdr:col>
                <xdr:colOff>9525</xdr:colOff>
                <xdr:row>68</xdr:row>
                <xdr:rowOff>76200</xdr:rowOff>
              </from>
              <to>
                <xdr:col>6</xdr:col>
                <xdr:colOff>647700</xdr:colOff>
                <xdr:row>69</xdr:row>
                <xdr:rowOff>66675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5</xdr:col>
                <xdr:colOff>38100</xdr:colOff>
                <xdr:row>68</xdr:row>
                <xdr:rowOff>76200</xdr:rowOff>
              </from>
              <to>
                <xdr:col>5</xdr:col>
                <xdr:colOff>676275</xdr:colOff>
                <xdr:row>69</xdr:row>
                <xdr:rowOff>66675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6</xdr:col>
                <xdr:colOff>9525</xdr:colOff>
                <xdr:row>56</xdr:row>
                <xdr:rowOff>66675</xdr:rowOff>
              </from>
              <to>
                <xdr:col>6</xdr:col>
                <xdr:colOff>647700</xdr:colOff>
                <xdr:row>57</xdr:row>
                <xdr:rowOff>57150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5</xdr:col>
                <xdr:colOff>38100</xdr:colOff>
                <xdr:row>56</xdr:row>
                <xdr:rowOff>66675</xdr:rowOff>
              </from>
              <to>
                <xdr:col>5</xdr:col>
                <xdr:colOff>676275</xdr:colOff>
                <xdr:row>57</xdr:row>
                <xdr:rowOff>57150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"/>
  <sheetViews>
    <sheetView topLeftCell="A13" zoomScale="130" zoomScaleNormal="130" workbookViewId="0">
      <selection activeCell="F27" sqref="F27"/>
    </sheetView>
  </sheetViews>
  <sheetFormatPr baseColWidth="10" defaultRowHeight="15" x14ac:dyDescent="0.25"/>
  <cols>
    <col min="1" max="1" width="4.140625" customWidth="1"/>
    <col min="2" max="2" width="22.85546875" bestFit="1" customWidth="1"/>
    <col min="3" max="3" width="11.42578125" customWidth="1"/>
    <col min="4" max="4" width="14.28515625" bestFit="1" customWidth="1"/>
    <col min="5" max="5" width="12.28515625" bestFit="1" customWidth="1"/>
    <col min="8" max="8" width="13.85546875" customWidth="1"/>
    <col min="9" max="9" width="4.42578125" style="65" customWidth="1"/>
    <col min="10" max="10" width="11.42578125" customWidth="1"/>
    <col min="11" max="11" width="16.42578125" customWidth="1"/>
    <col min="12" max="13" width="12.28515625" bestFit="1" customWidth="1"/>
    <col min="14" max="14" width="12.42578125" customWidth="1"/>
    <col min="15" max="15" width="13.140625" bestFit="1" customWidth="1"/>
    <col min="16" max="19" width="11.42578125" customWidth="1"/>
  </cols>
  <sheetData>
    <row r="2" spans="2:15" x14ac:dyDescent="0.25">
      <c r="B2" s="64" t="s">
        <v>58</v>
      </c>
      <c r="J2" s="64" t="s">
        <v>59</v>
      </c>
    </row>
    <row r="3" spans="2:15" x14ac:dyDescent="0.25">
      <c r="B3" s="66"/>
    </row>
    <row r="4" spans="2:15" ht="19.5" customHeight="1" thickBot="1" x14ac:dyDescent="0.3">
      <c r="B4" s="176" t="s">
        <v>107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</row>
    <row r="5" spans="2:15" ht="19.5" customHeight="1" thickBot="1" x14ac:dyDescent="0.3">
      <c r="B5" s="67"/>
      <c r="C5" s="178" t="s">
        <v>60</v>
      </c>
      <c r="D5" s="179"/>
      <c r="E5" s="179"/>
      <c r="F5" s="179"/>
      <c r="G5" s="179"/>
      <c r="H5" s="180"/>
      <c r="I5" s="68"/>
      <c r="J5" s="181" t="s">
        <v>61</v>
      </c>
      <c r="K5" s="182"/>
      <c r="L5" s="182"/>
      <c r="M5" s="182"/>
      <c r="N5" s="182"/>
      <c r="O5" s="183"/>
    </row>
    <row r="6" spans="2:15" ht="75.75" thickBot="1" x14ac:dyDescent="0.3">
      <c r="B6" s="69" t="s">
        <v>62</v>
      </c>
      <c r="C6" s="70" t="s">
        <v>63</v>
      </c>
      <c r="D6" s="70" t="s">
        <v>64</v>
      </c>
      <c r="E6" s="69" t="s">
        <v>34</v>
      </c>
      <c r="F6" s="71" t="s">
        <v>65</v>
      </c>
      <c r="G6" s="70" t="s">
        <v>66</v>
      </c>
      <c r="H6" s="72" t="s">
        <v>1</v>
      </c>
      <c r="I6" s="73"/>
      <c r="J6" s="70" t="s">
        <v>63</v>
      </c>
      <c r="K6" s="70" t="s">
        <v>64</v>
      </c>
      <c r="L6" s="69" t="s">
        <v>34</v>
      </c>
      <c r="M6" s="71" t="s">
        <v>67</v>
      </c>
      <c r="N6" s="70" t="s">
        <v>66</v>
      </c>
      <c r="O6" s="72" t="s">
        <v>1</v>
      </c>
    </row>
    <row r="7" spans="2:15" x14ac:dyDescent="0.25">
      <c r="B7" s="74" t="s">
        <v>68</v>
      </c>
      <c r="C7" s="75">
        <f>(11*51950)+(10*47000)+(4*53950)</f>
        <v>1257250</v>
      </c>
      <c r="D7" s="76">
        <f>C7</f>
        <v>1257250</v>
      </c>
      <c r="E7" s="77">
        <f>D7*0.16</f>
        <v>201160</v>
      </c>
      <c r="F7" s="77">
        <f>C7*0%</f>
        <v>0</v>
      </c>
      <c r="G7" s="77">
        <v>0</v>
      </c>
      <c r="H7" s="78">
        <f>D7+E7+G7</f>
        <v>1458410</v>
      </c>
      <c r="I7" s="79"/>
      <c r="J7" s="75">
        <f>(21*51450)+(4*53450)</f>
        <v>1294250</v>
      </c>
      <c r="K7" s="76">
        <f>J7</f>
        <v>1294250</v>
      </c>
      <c r="L7" s="77">
        <f>K7*0.16</f>
        <v>207080</v>
      </c>
      <c r="M7" s="77">
        <f>J7*0%</f>
        <v>0</v>
      </c>
      <c r="N7" s="77">
        <v>0</v>
      </c>
      <c r="O7" s="78">
        <f>K7+L7+N7</f>
        <v>1501330</v>
      </c>
    </row>
    <row r="8" spans="2:15" x14ac:dyDescent="0.25">
      <c r="B8" s="74" t="s">
        <v>69</v>
      </c>
      <c r="C8" s="75">
        <f t="shared" ref="C8:C17" si="0">(11*51950)+(10*47000)+(4*53950)</f>
        <v>1257250</v>
      </c>
      <c r="D8" s="76">
        <f t="shared" ref="D8:D17" si="1">C8</f>
        <v>1257250</v>
      </c>
      <c r="E8" s="77">
        <f t="shared" ref="E8:E17" si="2">D8*0.16</f>
        <v>201160</v>
      </c>
      <c r="F8" s="77">
        <f>C8*1%</f>
        <v>12572.5</v>
      </c>
      <c r="G8" s="77">
        <v>0</v>
      </c>
      <c r="H8" s="75">
        <f t="shared" ref="H8:H17" si="3">D8+E8+G8</f>
        <v>1458410</v>
      </c>
      <c r="I8" s="80"/>
      <c r="J8" s="75">
        <f t="shared" ref="J8:J17" si="4">(21*51450)+(4*53450)</f>
        <v>1294250</v>
      </c>
      <c r="K8" s="76">
        <f t="shared" ref="K8:K17" si="5">J8</f>
        <v>1294250</v>
      </c>
      <c r="L8" s="77">
        <f t="shared" ref="L8:L17" si="6">K8*0.16</f>
        <v>207080</v>
      </c>
      <c r="M8" s="77">
        <f>J8*1.5%</f>
        <v>19413.75</v>
      </c>
      <c r="N8" s="77">
        <v>0</v>
      </c>
      <c r="O8" s="75">
        <f t="shared" ref="O8:O17" si="7">K8+L8+N8</f>
        <v>1501330</v>
      </c>
    </row>
    <row r="9" spans="2:15" x14ac:dyDescent="0.25">
      <c r="B9" s="74" t="s">
        <v>70</v>
      </c>
      <c r="C9" s="75">
        <f t="shared" si="0"/>
        <v>1257250</v>
      </c>
      <c r="D9" s="76">
        <f t="shared" si="1"/>
        <v>1257250</v>
      </c>
      <c r="E9" s="77">
        <f t="shared" si="2"/>
        <v>201160</v>
      </c>
      <c r="F9" s="77">
        <f>C9*2%</f>
        <v>25145</v>
      </c>
      <c r="G9" s="77">
        <v>0</v>
      </c>
      <c r="H9" s="75">
        <f t="shared" si="3"/>
        <v>1458410</v>
      </c>
      <c r="I9" s="80"/>
      <c r="J9" s="75">
        <f t="shared" si="4"/>
        <v>1294250</v>
      </c>
      <c r="K9" s="76">
        <f t="shared" si="5"/>
        <v>1294250</v>
      </c>
      <c r="L9" s="77">
        <f t="shared" si="6"/>
        <v>207080</v>
      </c>
      <c r="M9" s="77">
        <f>J9*3%</f>
        <v>38827.5</v>
      </c>
      <c r="N9" s="77">
        <v>0</v>
      </c>
      <c r="O9" s="75">
        <f t="shared" si="7"/>
        <v>1501330</v>
      </c>
    </row>
    <row r="10" spans="2:15" x14ac:dyDescent="0.25">
      <c r="B10" s="81" t="s">
        <v>71</v>
      </c>
      <c r="C10" s="75">
        <f t="shared" si="0"/>
        <v>1257250</v>
      </c>
      <c r="D10" s="76">
        <f t="shared" si="1"/>
        <v>1257250</v>
      </c>
      <c r="E10" s="77">
        <f t="shared" si="2"/>
        <v>201160</v>
      </c>
      <c r="F10" s="77">
        <f>C10*3%</f>
        <v>37717.5</v>
      </c>
      <c r="G10" s="77">
        <v>0</v>
      </c>
      <c r="H10" s="75">
        <f t="shared" si="3"/>
        <v>1458410</v>
      </c>
      <c r="I10" s="80"/>
      <c r="J10" s="75">
        <f t="shared" si="4"/>
        <v>1294250</v>
      </c>
      <c r="K10" s="76">
        <f t="shared" si="5"/>
        <v>1294250</v>
      </c>
      <c r="L10" s="77">
        <f t="shared" si="6"/>
        <v>207080</v>
      </c>
      <c r="M10" s="77">
        <f>J10*4.5%</f>
        <v>58241.25</v>
      </c>
      <c r="N10" s="77">
        <v>0</v>
      </c>
      <c r="O10" s="75">
        <f t="shared" si="7"/>
        <v>1501330</v>
      </c>
    </row>
    <row r="11" spans="2:15" x14ac:dyDescent="0.25">
      <c r="B11" s="81" t="s">
        <v>72</v>
      </c>
      <c r="C11" s="75">
        <f t="shared" si="0"/>
        <v>1257250</v>
      </c>
      <c r="D11" s="76">
        <f t="shared" si="1"/>
        <v>1257250</v>
      </c>
      <c r="E11" s="77">
        <f t="shared" si="2"/>
        <v>201160</v>
      </c>
      <c r="F11" s="77">
        <f>C11*4%</f>
        <v>50290</v>
      </c>
      <c r="G11" s="77">
        <v>0</v>
      </c>
      <c r="H11" s="75">
        <f t="shared" si="3"/>
        <v>1458410</v>
      </c>
      <c r="I11" s="80"/>
      <c r="J11" s="75">
        <f t="shared" si="4"/>
        <v>1294250</v>
      </c>
      <c r="K11" s="76">
        <f t="shared" si="5"/>
        <v>1294250</v>
      </c>
      <c r="L11" s="77">
        <f t="shared" si="6"/>
        <v>207080</v>
      </c>
      <c r="M11" s="77">
        <f>J11*6%</f>
        <v>77655</v>
      </c>
      <c r="N11" s="77">
        <v>0</v>
      </c>
      <c r="O11" s="75">
        <f t="shared" si="7"/>
        <v>1501330</v>
      </c>
    </row>
    <row r="12" spans="2:15" x14ac:dyDescent="0.25">
      <c r="B12" s="81" t="s">
        <v>73</v>
      </c>
      <c r="C12" s="75">
        <f t="shared" si="0"/>
        <v>1257250</v>
      </c>
      <c r="D12" s="76">
        <f t="shared" si="1"/>
        <v>1257250</v>
      </c>
      <c r="E12" s="77">
        <f t="shared" si="2"/>
        <v>201160</v>
      </c>
      <c r="F12" s="77">
        <f>C12*5%</f>
        <v>62862.5</v>
      </c>
      <c r="G12" s="77">
        <v>0</v>
      </c>
      <c r="H12" s="75">
        <f t="shared" si="3"/>
        <v>1458410</v>
      </c>
      <c r="I12" s="80"/>
      <c r="J12" s="75">
        <f t="shared" si="4"/>
        <v>1294250</v>
      </c>
      <c r="K12" s="76">
        <f t="shared" si="5"/>
        <v>1294250</v>
      </c>
      <c r="L12" s="77">
        <f t="shared" si="6"/>
        <v>207080</v>
      </c>
      <c r="M12" s="77">
        <f>J12*7.5%</f>
        <v>97068.75</v>
      </c>
      <c r="N12" s="77">
        <v>0</v>
      </c>
      <c r="O12" s="75">
        <f t="shared" si="7"/>
        <v>1501330</v>
      </c>
    </row>
    <row r="13" spans="2:15" x14ac:dyDescent="0.25">
      <c r="B13" s="81" t="s">
        <v>74</v>
      </c>
      <c r="C13" s="75">
        <f t="shared" si="0"/>
        <v>1257250</v>
      </c>
      <c r="D13" s="76">
        <f t="shared" si="1"/>
        <v>1257250</v>
      </c>
      <c r="E13" s="77">
        <f t="shared" si="2"/>
        <v>201160</v>
      </c>
      <c r="F13" s="77">
        <f>C13*6%</f>
        <v>75435</v>
      </c>
      <c r="G13" s="77">
        <v>0</v>
      </c>
      <c r="H13" s="75">
        <f t="shared" si="3"/>
        <v>1458410</v>
      </c>
      <c r="I13" s="80"/>
      <c r="J13" s="75">
        <f t="shared" si="4"/>
        <v>1294250</v>
      </c>
      <c r="K13" s="76">
        <f t="shared" si="5"/>
        <v>1294250</v>
      </c>
      <c r="L13" s="77">
        <f t="shared" si="6"/>
        <v>207080</v>
      </c>
      <c r="M13" s="77">
        <f>J13*9%</f>
        <v>116482.5</v>
      </c>
      <c r="N13" s="77">
        <v>0</v>
      </c>
      <c r="O13" s="75">
        <f t="shared" si="7"/>
        <v>1501330</v>
      </c>
    </row>
    <row r="14" spans="2:15" x14ac:dyDescent="0.25">
      <c r="B14" s="81" t="s">
        <v>46</v>
      </c>
      <c r="C14" s="75">
        <f t="shared" si="0"/>
        <v>1257250</v>
      </c>
      <c r="D14" s="76">
        <f t="shared" si="1"/>
        <v>1257250</v>
      </c>
      <c r="E14" s="77">
        <f t="shared" si="2"/>
        <v>201160</v>
      </c>
      <c r="F14" s="77">
        <f>C14*7%</f>
        <v>88007.500000000015</v>
      </c>
      <c r="G14" s="77">
        <v>0</v>
      </c>
      <c r="H14" s="75">
        <f t="shared" si="3"/>
        <v>1458410</v>
      </c>
      <c r="I14" s="80"/>
      <c r="J14" s="75">
        <f t="shared" si="4"/>
        <v>1294250</v>
      </c>
      <c r="K14" s="76">
        <f t="shared" si="5"/>
        <v>1294250</v>
      </c>
      <c r="L14" s="77">
        <f t="shared" si="6"/>
        <v>207080</v>
      </c>
      <c r="M14" s="77">
        <f>J14*10.5%</f>
        <v>135896.25</v>
      </c>
      <c r="N14" s="77">
        <v>0</v>
      </c>
      <c r="O14" s="75">
        <f t="shared" si="7"/>
        <v>1501330</v>
      </c>
    </row>
    <row r="15" spans="2:15" x14ac:dyDescent="0.25">
      <c r="B15" s="81" t="s">
        <v>75</v>
      </c>
      <c r="C15" s="75">
        <f t="shared" si="0"/>
        <v>1257250</v>
      </c>
      <c r="D15" s="76">
        <f t="shared" si="1"/>
        <v>1257250</v>
      </c>
      <c r="E15" s="77">
        <f t="shared" si="2"/>
        <v>201160</v>
      </c>
      <c r="F15" s="77">
        <f>C15*8%</f>
        <v>100580</v>
      </c>
      <c r="G15" s="77">
        <v>0</v>
      </c>
      <c r="H15" s="75">
        <f t="shared" si="3"/>
        <v>1458410</v>
      </c>
      <c r="I15" s="80"/>
      <c r="J15" s="75">
        <f t="shared" si="4"/>
        <v>1294250</v>
      </c>
      <c r="K15" s="76">
        <f t="shared" si="5"/>
        <v>1294250</v>
      </c>
      <c r="L15" s="77">
        <f t="shared" si="6"/>
        <v>207080</v>
      </c>
      <c r="M15" s="77">
        <f>J15*12%</f>
        <v>155310</v>
      </c>
      <c r="N15" s="77">
        <v>0</v>
      </c>
      <c r="O15" s="75">
        <f t="shared" si="7"/>
        <v>1501330</v>
      </c>
    </row>
    <row r="16" spans="2:15" x14ac:dyDescent="0.25">
      <c r="B16" s="81" t="s">
        <v>76</v>
      </c>
      <c r="C16" s="75">
        <f t="shared" si="0"/>
        <v>1257250</v>
      </c>
      <c r="D16" s="76">
        <f t="shared" si="1"/>
        <v>1257250</v>
      </c>
      <c r="E16" s="77">
        <f t="shared" si="2"/>
        <v>201160</v>
      </c>
      <c r="F16" s="77">
        <f>C16*9%</f>
        <v>113152.5</v>
      </c>
      <c r="G16" s="77">
        <v>0</v>
      </c>
      <c r="H16" s="75">
        <f t="shared" si="3"/>
        <v>1458410</v>
      </c>
      <c r="I16" s="80"/>
      <c r="J16" s="75">
        <f t="shared" si="4"/>
        <v>1294250</v>
      </c>
      <c r="K16" s="76">
        <f t="shared" si="5"/>
        <v>1294250</v>
      </c>
      <c r="L16" s="77">
        <f t="shared" si="6"/>
        <v>207080</v>
      </c>
      <c r="M16" s="77">
        <f>J16*13.5%</f>
        <v>174723.75</v>
      </c>
      <c r="N16" s="77">
        <v>0</v>
      </c>
      <c r="O16" s="75">
        <f t="shared" si="7"/>
        <v>1501330</v>
      </c>
    </row>
    <row r="17" spans="2:17" x14ac:dyDescent="0.25">
      <c r="B17" s="81" t="s">
        <v>77</v>
      </c>
      <c r="C17" s="75">
        <f t="shared" si="0"/>
        <v>1257250</v>
      </c>
      <c r="D17" s="76">
        <f t="shared" si="1"/>
        <v>1257250</v>
      </c>
      <c r="E17" s="77">
        <f t="shared" si="2"/>
        <v>201160</v>
      </c>
      <c r="F17" s="77">
        <f>C17*10%</f>
        <v>125725</v>
      </c>
      <c r="G17" s="77">
        <v>0</v>
      </c>
      <c r="H17" s="75">
        <f t="shared" si="3"/>
        <v>1458410</v>
      </c>
      <c r="I17" s="80"/>
      <c r="J17" s="75">
        <f t="shared" si="4"/>
        <v>1294250</v>
      </c>
      <c r="K17" s="76">
        <f t="shared" si="5"/>
        <v>1294250</v>
      </c>
      <c r="L17" s="77">
        <f t="shared" si="6"/>
        <v>207080</v>
      </c>
      <c r="M17" s="77">
        <f>J17*15%</f>
        <v>194137.5</v>
      </c>
      <c r="N17" s="77">
        <v>0</v>
      </c>
      <c r="O17" s="75">
        <f t="shared" si="7"/>
        <v>1501330</v>
      </c>
    </row>
    <row r="18" spans="2:17" ht="15.75" thickBot="1" x14ac:dyDescent="0.3">
      <c r="B18" s="82"/>
      <c r="C18" s="83"/>
      <c r="D18" s="84"/>
      <c r="E18" s="85"/>
      <c r="F18" s="85"/>
      <c r="G18" s="77"/>
      <c r="H18" s="86"/>
      <c r="I18" s="87"/>
      <c r="J18" s="83"/>
      <c r="K18" s="84"/>
      <c r="L18" s="85"/>
      <c r="M18" s="77"/>
      <c r="N18" s="86"/>
      <c r="O18" s="86"/>
    </row>
    <row r="19" spans="2:17" ht="15.75" thickBot="1" x14ac:dyDescent="0.3">
      <c r="B19" s="88" t="s">
        <v>78</v>
      </c>
      <c r="C19" s="88"/>
      <c r="D19" s="89">
        <f>SUM(D7:D18)</f>
        <v>13829750</v>
      </c>
      <c r="E19" s="90">
        <f>SUM(E7:E18)</f>
        <v>2212760</v>
      </c>
      <c r="F19" s="91">
        <f>SUM(F7:F18)</f>
        <v>691487.5</v>
      </c>
      <c r="G19" s="90">
        <f>SUM(G7:G18)</f>
        <v>0</v>
      </c>
      <c r="H19" s="92">
        <f>SUM(H7:H18)</f>
        <v>16042510</v>
      </c>
      <c r="I19" s="93"/>
      <c r="J19" s="88"/>
      <c r="K19" s="89">
        <f>SUM(K7:K18)</f>
        <v>14236750</v>
      </c>
      <c r="L19" s="90">
        <f>SUM(L7:L18)</f>
        <v>2277880</v>
      </c>
      <c r="M19" s="91">
        <f>SUM(M7:M18)</f>
        <v>1067756.25</v>
      </c>
      <c r="N19" s="92">
        <f>SUM(N7:N18)</f>
        <v>0</v>
      </c>
      <c r="O19" s="92">
        <f>SUM(O7:O18)</f>
        <v>16514630</v>
      </c>
    </row>
    <row r="20" spans="2:17" x14ac:dyDescent="0.25">
      <c r="B20" s="66"/>
    </row>
    <row r="21" spans="2:17" x14ac:dyDescent="0.25">
      <c r="B21" s="94" t="s">
        <v>79</v>
      </c>
    </row>
    <row r="22" spans="2:17" x14ac:dyDescent="0.25">
      <c r="B22" s="66" t="s">
        <v>80</v>
      </c>
      <c r="D22" s="95">
        <f>(1500*25)*11</f>
        <v>412500</v>
      </c>
      <c r="K22" s="96">
        <f>D22/2</f>
        <v>206250</v>
      </c>
      <c r="O22" s="97"/>
    </row>
    <row r="23" spans="2:17" x14ac:dyDescent="0.25">
      <c r="B23" s="66" t="s">
        <v>81</v>
      </c>
      <c r="D23" s="98">
        <v>0</v>
      </c>
      <c r="O23" s="97"/>
    </row>
    <row r="24" spans="2:17" x14ac:dyDescent="0.25">
      <c r="B24" s="66" t="s">
        <v>82</v>
      </c>
      <c r="D24" s="99">
        <f>F19</f>
        <v>691487.5</v>
      </c>
      <c r="K24" s="100">
        <f>M19</f>
        <v>1067756.25</v>
      </c>
      <c r="O24" s="101"/>
    </row>
    <row r="25" spans="2:17" x14ac:dyDescent="0.25">
      <c r="B25" s="66" t="s">
        <v>83</v>
      </c>
      <c r="D25" s="102">
        <v>0</v>
      </c>
      <c r="K25" s="103"/>
      <c r="M25" s="104"/>
      <c r="O25" s="105"/>
    </row>
    <row r="26" spans="2:17" x14ac:dyDescent="0.25">
      <c r="B26" s="66"/>
      <c r="D26" s="106">
        <f>D19-D22-D24</f>
        <v>12725762.5</v>
      </c>
      <c r="K26" s="107">
        <f>K19-K22-K24</f>
        <v>12962743.75</v>
      </c>
      <c r="O26" s="106"/>
      <c r="Q26" s="96"/>
    </row>
    <row r="27" spans="2:17" ht="15.75" thickBot="1" x14ac:dyDescent="0.3">
      <c r="O27" s="65"/>
    </row>
    <row r="28" spans="2:17" ht="16.5" thickBot="1" x14ac:dyDescent="0.3">
      <c r="B28" s="108" t="s">
        <v>84</v>
      </c>
      <c r="D28" s="109">
        <f>D26*1.16</f>
        <v>14761884.499999998</v>
      </c>
      <c r="E28" s="110"/>
      <c r="F28" s="110"/>
      <c r="G28" s="110"/>
      <c r="H28" s="110"/>
      <c r="I28" s="111"/>
      <c r="J28" s="110"/>
      <c r="K28" s="112">
        <f>K26*1.16</f>
        <v>15036782.749999998</v>
      </c>
      <c r="L28" s="110"/>
      <c r="O28" s="113"/>
    </row>
    <row r="30" spans="2:17" x14ac:dyDescent="0.25">
      <c r="K30" s="107">
        <f>K19+L19</f>
        <v>16514630</v>
      </c>
    </row>
    <row r="31" spans="2:17" x14ac:dyDescent="0.25">
      <c r="K31" s="114">
        <f>(K30/1150)/10</f>
        <v>1436.0547826086956</v>
      </c>
    </row>
  </sheetData>
  <mergeCells count="3">
    <mergeCell ref="B4:O4"/>
    <mergeCell ref="C5:H5"/>
    <mergeCell ref="J5:O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opLeftCell="A5" workbookViewId="0">
      <selection activeCell="C7" sqref="C7:C17"/>
    </sheetView>
  </sheetViews>
  <sheetFormatPr baseColWidth="10" defaultRowHeight="15" x14ac:dyDescent="0.25"/>
  <cols>
    <col min="1" max="1" width="4.140625" customWidth="1"/>
    <col min="2" max="2" width="22.85546875" bestFit="1" customWidth="1"/>
    <col min="3" max="3" width="11.42578125" customWidth="1"/>
    <col min="4" max="4" width="13.85546875" bestFit="1" customWidth="1"/>
    <col min="8" max="8" width="13.85546875" customWidth="1"/>
    <col min="9" max="9" width="4.42578125" style="65" customWidth="1"/>
    <col min="10" max="13" width="11.42578125" customWidth="1"/>
  </cols>
  <sheetData>
    <row r="2" spans="2:9" x14ac:dyDescent="0.25">
      <c r="B2" s="64" t="s">
        <v>58</v>
      </c>
    </row>
    <row r="3" spans="2:9" ht="15.75" thickBot="1" x14ac:dyDescent="0.3">
      <c r="B3" s="66"/>
    </row>
    <row r="4" spans="2:9" ht="19.5" customHeight="1" thickBot="1" x14ac:dyDescent="0.3">
      <c r="B4" s="184" t="s">
        <v>107</v>
      </c>
      <c r="C4" s="185"/>
      <c r="D4" s="185"/>
      <c r="E4" s="185"/>
      <c r="F4" s="185"/>
      <c r="G4" s="185"/>
      <c r="H4" s="185"/>
      <c r="I4" s="186"/>
    </row>
    <row r="5" spans="2:9" ht="19.5" customHeight="1" thickBot="1" x14ac:dyDescent="0.3">
      <c r="B5" s="67"/>
      <c r="C5" s="178" t="s">
        <v>112</v>
      </c>
      <c r="D5" s="179"/>
      <c r="E5" s="179"/>
      <c r="F5" s="179"/>
      <c r="G5" s="179"/>
      <c r="H5" s="180"/>
      <c r="I5" s="140"/>
    </row>
    <row r="6" spans="2:9" ht="75.75" thickBot="1" x14ac:dyDescent="0.3">
      <c r="B6" s="69" t="s">
        <v>62</v>
      </c>
      <c r="C6" s="70" t="s">
        <v>63</v>
      </c>
      <c r="D6" s="70" t="s">
        <v>64</v>
      </c>
      <c r="E6" s="69" t="s">
        <v>34</v>
      </c>
      <c r="F6" s="71" t="s">
        <v>85</v>
      </c>
      <c r="G6" s="70" t="s">
        <v>66</v>
      </c>
      <c r="H6" s="72" t="s">
        <v>1</v>
      </c>
      <c r="I6" s="141"/>
    </row>
    <row r="7" spans="2:9" x14ac:dyDescent="0.25">
      <c r="B7" s="142" t="s">
        <v>68</v>
      </c>
      <c r="C7" s="75">
        <f>(28*53538.96)/1.16</f>
        <v>1292319.7241379311</v>
      </c>
      <c r="D7" s="76">
        <f>C7</f>
        <v>1292319.7241379311</v>
      </c>
      <c r="E7" s="77">
        <f>D7*0.16</f>
        <v>206771.15586206899</v>
      </c>
      <c r="F7" s="77">
        <f>0</f>
        <v>0</v>
      </c>
      <c r="G7" s="77">
        <v>0</v>
      </c>
      <c r="H7" s="78">
        <f>D7+E7+G7</f>
        <v>1499090.8800000001</v>
      </c>
      <c r="I7" s="143"/>
    </row>
    <row r="8" spans="2:9" x14ac:dyDescent="0.25">
      <c r="B8" s="142" t="s">
        <v>69</v>
      </c>
      <c r="C8" s="75">
        <f t="shared" ref="C8:C17" si="0">(28*53538.96)/1.16</f>
        <v>1292319.7241379311</v>
      </c>
      <c r="D8" s="76">
        <f t="shared" ref="D8:D17" si="1">C8</f>
        <v>1292319.7241379311</v>
      </c>
      <c r="E8" s="77">
        <f t="shared" ref="E8:E17" si="2">D8*0.16</f>
        <v>206771.15586206899</v>
      </c>
      <c r="F8" s="77">
        <f>0</f>
        <v>0</v>
      </c>
      <c r="G8" s="77">
        <v>0</v>
      </c>
      <c r="H8" s="75">
        <f t="shared" ref="H8:H17" si="3">D8+E8+G8</f>
        <v>1499090.8800000001</v>
      </c>
      <c r="I8" s="144"/>
    </row>
    <row r="9" spans="2:9" x14ac:dyDescent="0.25">
      <c r="B9" s="142" t="s">
        <v>70</v>
      </c>
      <c r="C9" s="75">
        <f t="shared" si="0"/>
        <v>1292319.7241379311</v>
      </c>
      <c r="D9" s="76">
        <f t="shared" si="1"/>
        <v>1292319.7241379311</v>
      </c>
      <c r="E9" s="77">
        <f t="shared" si="2"/>
        <v>206771.15586206899</v>
      </c>
      <c r="F9" s="77">
        <f>0</f>
        <v>0</v>
      </c>
      <c r="G9" s="77">
        <v>0</v>
      </c>
      <c r="H9" s="75">
        <f t="shared" si="3"/>
        <v>1499090.8800000001</v>
      </c>
      <c r="I9" s="144"/>
    </row>
    <row r="10" spans="2:9" x14ac:dyDescent="0.25">
      <c r="B10" s="145" t="s">
        <v>71</v>
      </c>
      <c r="C10" s="75">
        <f t="shared" si="0"/>
        <v>1292319.7241379311</v>
      </c>
      <c r="D10" s="76">
        <f t="shared" si="1"/>
        <v>1292319.7241379311</v>
      </c>
      <c r="E10" s="77">
        <f t="shared" si="2"/>
        <v>206771.15586206899</v>
      </c>
      <c r="F10" s="77">
        <f>0</f>
        <v>0</v>
      </c>
      <c r="G10" s="77">
        <v>0</v>
      </c>
      <c r="H10" s="75">
        <f t="shared" si="3"/>
        <v>1499090.8800000001</v>
      </c>
      <c r="I10" s="144"/>
    </row>
    <row r="11" spans="2:9" x14ac:dyDescent="0.25">
      <c r="B11" s="145" t="s">
        <v>72</v>
      </c>
      <c r="C11" s="75">
        <f t="shared" si="0"/>
        <v>1292319.7241379311</v>
      </c>
      <c r="D11" s="76">
        <f t="shared" si="1"/>
        <v>1292319.7241379311</v>
      </c>
      <c r="E11" s="77">
        <f t="shared" si="2"/>
        <v>206771.15586206899</v>
      </c>
      <c r="F11" s="77">
        <f>0</f>
        <v>0</v>
      </c>
      <c r="G11" s="77">
        <v>0</v>
      </c>
      <c r="H11" s="75">
        <f t="shared" si="3"/>
        <v>1499090.8800000001</v>
      </c>
      <c r="I11" s="144"/>
    </row>
    <row r="12" spans="2:9" x14ac:dyDescent="0.25">
      <c r="B12" s="145" t="s">
        <v>73</v>
      </c>
      <c r="C12" s="75">
        <f t="shared" si="0"/>
        <v>1292319.7241379311</v>
      </c>
      <c r="D12" s="76">
        <f t="shared" si="1"/>
        <v>1292319.7241379311</v>
      </c>
      <c r="E12" s="77">
        <f t="shared" si="2"/>
        <v>206771.15586206899</v>
      </c>
      <c r="F12" s="77">
        <f>0</f>
        <v>0</v>
      </c>
      <c r="G12" s="77">
        <v>0</v>
      </c>
      <c r="H12" s="75">
        <f t="shared" si="3"/>
        <v>1499090.8800000001</v>
      </c>
      <c r="I12" s="144"/>
    </row>
    <row r="13" spans="2:9" x14ac:dyDescent="0.25">
      <c r="B13" s="145" t="s">
        <v>74</v>
      </c>
      <c r="C13" s="75">
        <f t="shared" si="0"/>
        <v>1292319.7241379311</v>
      </c>
      <c r="D13" s="76">
        <f t="shared" si="1"/>
        <v>1292319.7241379311</v>
      </c>
      <c r="E13" s="77">
        <f t="shared" si="2"/>
        <v>206771.15586206899</v>
      </c>
      <c r="F13" s="77">
        <f>0</f>
        <v>0</v>
      </c>
      <c r="G13" s="77">
        <v>0</v>
      </c>
      <c r="H13" s="75">
        <f t="shared" si="3"/>
        <v>1499090.8800000001</v>
      </c>
      <c r="I13" s="144"/>
    </row>
    <row r="14" spans="2:9" x14ac:dyDescent="0.25">
      <c r="B14" s="145" t="s">
        <v>46</v>
      </c>
      <c r="C14" s="75">
        <f t="shared" si="0"/>
        <v>1292319.7241379311</v>
      </c>
      <c r="D14" s="76">
        <f t="shared" si="1"/>
        <v>1292319.7241379311</v>
      </c>
      <c r="E14" s="77">
        <f t="shared" si="2"/>
        <v>206771.15586206899</v>
      </c>
      <c r="F14" s="77">
        <f>0</f>
        <v>0</v>
      </c>
      <c r="G14" s="77">
        <v>0</v>
      </c>
      <c r="H14" s="75">
        <f t="shared" si="3"/>
        <v>1499090.8800000001</v>
      </c>
      <c r="I14" s="144"/>
    </row>
    <row r="15" spans="2:9" x14ac:dyDescent="0.25">
      <c r="B15" s="145" t="s">
        <v>75</v>
      </c>
      <c r="C15" s="75">
        <f t="shared" si="0"/>
        <v>1292319.7241379311</v>
      </c>
      <c r="D15" s="76">
        <f t="shared" si="1"/>
        <v>1292319.7241379311</v>
      </c>
      <c r="E15" s="77">
        <f t="shared" si="2"/>
        <v>206771.15586206899</v>
      </c>
      <c r="F15" s="77">
        <f>0</f>
        <v>0</v>
      </c>
      <c r="G15" s="77">
        <v>0</v>
      </c>
      <c r="H15" s="75">
        <f t="shared" si="3"/>
        <v>1499090.8800000001</v>
      </c>
      <c r="I15" s="144"/>
    </row>
    <row r="16" spans="2:9" x14ac:dyDescent="0.25">
      <c r="B16" s="145" t="s">
        <v>76</v>
      </c>
      <c r="C16" s="75">
        <f t="shared" si="0"/>
        <v>1292319.7241379311</v>
      </c>
      <c r="D16" s="76">
        <f t="shared" si="1"/>
        <v>1292319.7241379311</v>
      </c>
      <c r="E16" s="77">
        <f t="shared" si="2"/>
        <v>206771.15586206899</v>
      </c>
      <c r="F16" s="77">
        <f>0</f>
        <v>0</v>
      </c>
      <c r="G16" s="77">
        <v>0</v>
      </c>
      <c r="H16" s="75">
        <f t="shared" si="3"/>
        <v>1499090.8800000001</v>
      </c>
      <c r="I16" s="144"/>
    </row>
    <row r="17" spans="2:11" x14ac:dyDescent="0.25">
      <c r="B17" s="145" t="s">
        <v>77</v>
      </c>
      <c r="C17" s="75">
        <f t="shared" si="0"/>
        <v>1292319.7241379311</v>
      </c>
      <c r="D17" s="76">
        <f t="shared" si="1"/>
        <v>1292319.7241379311</v>
      </c>
      <c r="E17" s="77">
        <f t="shared" si="2"/>
        <v>206771.15586206899</v>
      </c>
      <c r="F17" s="77">
        <f>0</f>
        <v>0</v>
      </c>
      <c r="G17" s="77">
        <v>0</v>
      </c>
      <c r="H17" s="75">
        <f t="shared" si="3"/>
        <v>1499090.8800000001</v>
      </c>
      <c r="I17" s="144"/>
    </row>
    <row r="18" spans="2:11" ht="15.75" thickBot="1" x14ac:dyDescent="0.3">
      <c r="B18" s="146"/>
      <c r="C18" s="147"/>
      <c r="D18" s="148"/>
      <c r="E18" s="149"/>
      <c r="F18" s="149"/>
      <c r="G18" s="150"/>
      <c r="H18" s="147"/>
      <c r="I18" s="151"/>
    </row>
    <row r="19" spans="2:11" ht="15.75" thickBot="1" x14ac:dyDescent="0.3">
      <c r="B19" s="88" t="s">
        <v>78</v>
      </c>
      <c r="C19" s="88"/>
      <c r="D19" s="136">
        <f>SUM(D7:D18)</f>
        <v>14215516.965517245</v>
      </c>
      <c r="E19" s="137">
        <f>SUM(E7:E18)</f>
        <v>2274482.7144827591</v>
      </c>
      <c r="F19" s="138">
        <f>SUM(F7:F18)</f>
        <v>0</v>
      </c>
      <c r="G19" s="137">
        <f>SUM(G7:G18)</f>
        <v>0</v>
      </c>
      <c r="H19" s="139">
        <f>SUM(H7:H18)</f>
        <v>16489999.680000005</v>
      </c>
      <c r="I19" s="93"/>
    </row>
    <row r="20" spans="2:11" x14ac:dyDescent="0.25">
      <c r="B20" s="66"/>
    </row>
    <row r="21" spans="2:11" x14ac:dyDescent="0.25">
      <c r="B21" s="94" t="s">
        <v>79</v>
      </c>
    </row>
    <row r="22" spans="2:11" x14ac:dyDescent="0.25">
      <c r="B22" s="66" t="s">
        <v>80</v>
      </c>
      <c r="D22" s="95">
        <f>0</f>
        <v>0</v>
      </c>
    </row>
    <row r="23" spans="2:11" x14ac:dyDescent="0.25">
      <c r="B23" s="66" t="s">
        <v>81</v>
      </c>
      <c r="D23" s="98">
        <f>0</f>
        <v>0</v>
      </c>
    </row>
    <row r="24" spans="2:11" x14ac:dyDescent="0.25">
      <c r="B24" s="66" t="s">
        <v>82</v>
      </c>
      <c r="D24" s="99">
        <f>F19</f>
        <v>0</v>
      </c>
    </row>
    <row r="25" spans="2:11" x14ac:dyDescent="0.25">
      <c r="B25" s="66" t="s">
        <v>83</v>
      </c>
      <c r="D25" s="102">
        <v>0</v>
      </c>
    </row>
    <row r="26" spans="2:11" x14ac:dyDescent="0.25">
      <c r="B26" s="66"/>
      <c r="D26" s="106">
        <f>D19-D22-D24</f>
        <v>14215516.965517245</v>
      </c>
      <c r="K26" s="96"/>
    </row>
    <row r="27" spans="2:11" ht="15.75" thickBot="1" x14ac:dyDescent="0.3"/>
    <row r="28" spans="2:11" ht="16.5" thickBot="1" x14ac:dyDescent="0.3">
      <c r="B28" s="108" t="s">
        <v>84</v>
      </c>
      <c r="D28" s="109">
        <f>D26*1.16</f>
        <v>16489999.680000003</v>
      </c>
      <c r="E28" s="110"/>
      <c r="F28" s="110"/>
      <c r="G28" s="110"/>
      <c r="H28" s="110"/>
      <c r="I28" s="111"/>
    </row>
  </sheetData>
  <mergeCells count="2">
    <mergeCell ref="B4:I4"/>
    <mergeCell ref="C5:H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"/>
  <sheetViews>
    <sheetView workbookViewId="0">
      <selection activeCell="B3" sqref="B3"/>
    </sheetView>
  </sheetViews>
  <sheetFormatPr baseColWidth="10" defaultRowHeight="15" x14ac:dyDescent="0.25"/>
  <cols>
    <col min="9" max="9" width="11.85546875" bestFit="1" customWidth="1"/>
  </cols>
  <sheetData>
    <row r="3" spans="2:9" x14ac:dyDescent="0.25">
      <c r="B3" s="43">
        <v>43313</v>
      </c>
      <c r="C3" s="43">
        <v>43344</v>
      </c>
      <c r="D3" s="43">
        <v>43374</v>
      </c>
      <c r="E3" s="43">
        <v>43405</v>
      </c>
      <c r="F3" s="43">
        <v>43435</v>
      </c>
      <c r="G3" s="43">
        <v>43466</v>
      </c>
      <c r="H3" s="43"/>
      <c r="I3" t="s">
        <v>36</v>
      </c>
    </row>
    <row r="4" spans="2:9" x14ac:dyDescent="0.25">
      <c r="B4">
        <v>19.78</v>
      </c>
      <c r="C4">
        <v>20.05</v>
      </c>
      <c r="D4">
        <v>20.260000000000002</v>
      </c>
      <c r="E4">
        <v>20.399999999999999</v>
      </c>
      <c r="F4">
        <v>20.350000000000001</v>
      </c>
      <c r="G4">
        <v>20.32</v>
      </c>
      <c r="I4" s="44">
        <f>(G4/B4)-1</f>
        <v>2.7300303336703635E-2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COMPARATIVO</vt:lpstr>
      <vt:lpstr>Propuesta LIPU ok</vt:lpstr>
      <vt:lpstr>Propuesta EDYEN ok </vt:lpstr>
      <vt:lpstr>Propuesta SCHOOLASTICO ok </vt:lpstr>
      <vt:lpstr>Aumento Diésel 2018-2019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Zielanowski</dc:creator>
  <cp:lastModifiedBy>HP</cp:lastModifiedBy>
  <dcterms:created xsi:type="dcterms:W3CDTF">2017-05-31T20:40:12Z</dcterms:created>
  <dcterms:modified xsi:type="dcterms:W3CDTF">2019-05-22T22:26:26Z</dcterms:modified>
</cp:coreProperties>
</file>